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D71ECDD1-9AA3-4FC1-B5E8-40DA12779FA0}"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ched-E" sheetId="5" r:id="rId8"/>
    <sheet name="Summary-Sched-E" sheetId="27" r:id="rId9"/>
    <sheet name="Sched-F-G" sheetId="6" r:id="rId10"/>
    <sheet name="Property Inventory" sheetId="10"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4-2017 COMPARISON" sheetId="23" r:id="rId21"/>
    <sheet name="Sheet1" sheetId="31" r:id="rId22"/>
  </sheets>
  <definedNames>
    <definedName name="_xlnm._FilterDatabase" localSheetId="10" hidden="1">'Property Inventory'!$A$2:$G$57</definedName>
    <definedName name="_xlnm.Print_Area" localSheetId="15">'Avg Daily Community Jails'!$A$65:$Q$107</definedName>
    <definedName name="_xlnm.Print_Area" localSheetId="13">'BILLING RATE CALC'!$A$1:$K$41</definedName>
    <definedName name="_xlnm.Print_Area" localSheetId="20">'COC 2014-2017 COMPARISON'!$A$1:$BC$23</definedName>
    <definedName name="_xlnm.Print_Area" localSheetId="12">'COST ALLOCATION'!$A$1:$J$56</definedName>
    <definedName name="_xlnm.Print_Area" localSheetId="11">CostReim!$A$1:$F$31</definedName>
    <definedName name="_xlnm.Print_Area" localSheetId="0">'Daily Cost Calc'!$A$1:$B$41</definedName>
    <definedName name="_xlnm.Print_Area" localSheetId="16">'IADP-By Gender'!$A$1:$M$49</definedName>
    <definedName name="_xlnm.Print_Area" localSheetId="14">'Inmate Avg Daily Population'!$A$1:$O$28</definedName>
    <definedName name="_xlnm.Print_Area" localSheetId="17">'Monthly PO Workload Stats'!$A$564:$R$585</definedName>
    <definedName name="_xlnm.Print_Area" localSheetId="10">'Property Inventory'!$A$1:$G$55</definedName>
    <definedName name="_xlnm.Print_Area" localSheetId="18">'Qtrly''s-Cntsht Book'!$A$1:$Y$32</definedName>
    <definedName name="_xlnm.Print_Area" localSheetId="3">'Sched-B2'!$A$1:$E$225</definedName>
    <definedName name="_xlnm.Print_Area" localSheetId="4">'Sched-C'!$A$1:$D$25</definedName>
    <definedName name="_xlnm.Print_Area" localSheetId="5">'Sched-D1'!$A$1:$F$660</definedName>
    <definedName name="_xlnm.Print_Area" localSheetId="6">'Sched-D2'!$A$1:$F$123</definedName>
    <definedName name="_xlnm.Print_Area" localSheetId="7">'Sched-E'!$A$1:$E$7</definedName>
    <definedName name="_xlnm.Print_Area" localSheetId="9">'Sched-F-G'!$A$1:$E$41</definedName>
    <definedName name="_xlnm.Print_Titles" localSheetId="12">'COST ALLOCATION'!$2:$2</definedName>
    <definedName name="_xlnm.Print_Titles" localSheetId="10">'Property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7">'Sched-E'!$1:$2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24" l="1"/>
  <c r="Y15" i="24" s="1"/>
  <c r="AB14" i="24"/>
  <c r="L14" i="24"/>
  <c r="M14" i="24" s="1"/>
  <c r="D614" i="4" l="1"/>
  <c r="D556" i="4"/>
  <c r="D502" i="4"/>
  <c r="D448" i="4"/>
  <c r="E448" i="4" s="1"/>
  <c r="D399" i="4"/>
  <c r="D346" i="4"/>
  <c r="D297" i="4"/>
  <c r="D243" i="4"/>
  <c r="D140" i="4"/>
  <c r="D91" i="4"/>
  <c r="D46" i="4"/>
  <c r="D4" i="4"/>
  <c r="N483" i="4" l="1"/>
  <c r="N484" i="4" s="1"/>
  <c r="N485" i="4" s="1"/>
  <c r="I496" i="4"/>
  <c r="M500" i="4"/>
  <c r="M498" i="4"/>
  <c r="F29" i="19" l="1"/>
  <c r="O298" i="30" l="1"/>
  <c r="N298" i="30"/>
  <c r="M298" i="30"/>
  <c r="L298" i="30"/>
  <c r="K298" i="30"/>
  <c r="J298" i="30"/>
  <c r="I298" i="30"/>
  <c r="H298" i="30"/>
  <c r="G298" i="30"/>
  <c r="F298" i="30"/>
  <c r="E298" i="30"/>
  <c r="D298" i="30"/>
  <c r="C298" i="30"/>
  <c r="N297" i="30"/>
  <c r="M297" i="30"/>
  <c r="L297" i="30"/>
  <c r="K297" i="30"/>
  <c r="J297" i="30"/>
  <c r="I297" i="30"/>
  <c r="H297" i="30"/>
  <c r="G297" i="30"/>
  <c r="F297" i="30"/>
  <c r="E297" i="30"/>
  <c r="D297" i="30"/>
  <c r="C297" i="30"/>
  <c r="N296" i="30"/>
  <c r="M296" i="30"/>
  <c r="L296" i="30"/>
  <c r="K296" i="30"/>
  <c r="J296" i="30"/>
  <c r="I296" i="30"/>
  <c r="H296" i="30"/>
  <c r="G296" i="30"/>
  <c r="F296" i="30"/>
  <c r="E296" i="30"/>
  <c r="D296" i="30"/>
  <c r="C296" i="30"/>
  <c r="N295" i="30"/>
  <c r="M295" i="30"/>
  <c r="L295" i="30"/>
  <c r="K295" i="30"/>
  <c r="J295" i="30"/>
  <c r="I295" i="30"/>
  <c r="H295" i="30"/>
  <c r="G295" i="30"/>
  <c r="F295" i="30"/>
  <c r="E295" i="30"/>
  <c r="D295" i="30"/>
  <c r="C295" i="30"/>
  <c r="N294" i="30"/>
  <c r="M294" i="30"/>
  <c r="L294" i="30"/>
  <c r="K294" i="30"/>
  <c r="J294" i="30"/>
  <c r="I294" i="30"/>
  <c r="H294" i="30"/>
  <c r="G294" i="30"/>
  <c r="F294" i="30"/>
  <c r="E294" i="30"/>
  <c r="D294" i="30"/>
  <c r="C294" i="30"/>
  <c r="N293" i="30"/>
  <c r="M293" i="30"/>
  <c r="L293" i="30"/>
  <c r="K293" i="30"/>
  <c r="J293" i="30"/>
  <c r="I293" i="30"/>
  <c r="H293" i="30"/>
  <c r="G293" i="30"/>
  <c r="F293" i="30"/>
  <c r="E293" i="30"/>
  <c r="D293" i="30"/>
  <c r="C293" i="30"/>
  <c r="N292" i="30"/>
  <c r="M292" i="30"/>
  <c r="L292" i="30"/>
  <c r="K292" i="30"/>
  <c r="J292" i="30"/>
  <c r="I292" i="30"/>
  <c r="H292" i="30"/>
  <c r="G292" i="30"/>
  <c r="F292" i="30"/>
  <c r="E292" i="30"/>
  <c r="D292" i="30"/>
  <c r="C292" i="30"/>
  <c r="N291" i="30"/>
  <c r="M291" i="30"/>
  <c r="L291" i="30"/>
  <c r="K291" i="30"/>
  <c r="J291" i="30"/>
  <c r="I291" i="30"/>
  <c r="H291" i="30"/>
  <c r="G291" i="30"/>
  <c r="F291" i="30"/>
  <c r="E291" i="30"/>
  <c r="D291" i="30"/>
  <c r="C291" i="30"/>
  <c r="N290" i="30"/>
  <c r="M290" i="30"/>
  <c r="L290" i="30"/>
  <c r="K290" i="30"/>
  <c r="J290" i="30"/>
  <c r="I290" i="30"/>
  <c r="H290" i="30"/>
  <c r="G290" i="30"/>
  <c r="F290" i="30"/>
  <c r="E290" i="30"/>
  <c r="D290" i="30"/>
  <c r="C290" i="30"/>
  <c r="N289" i="30"/>
  <c r="M289" i="30"/>
  <c r="L289" i="30"/>
  <c r="K289" i="30"/>
  <c r="J289" i="30"/>
  <c r="I289" i="30"/>
  <c r="H289" i="30"/>
  <c r="G289" i="30"/>
  <c r="F289" i="30"/>
  <c r="E289" i="30"/>
  <c r="D289" i="30"/>
  <c r="C289" i="30"/>
  <c r="N288" i="30"/>
  <c r="M288" i="30"/>
  <c r="L288" i="30"/>
  <c r="K288" i="30"/>
  <c r="J288" i="30"/>
  <c r="I288" i="30"/>
  <c r="H288" i="30"/>
  <c r="G288" i="30"/>
  <c r="F288" i="30"/>
  <c r="E288" i="30"/>
  <c r="D288" i="30"/>
  <c r="C288" i="30"/>
  <c r="N287" i="30"/>
  <c r="M287" i="30"/>
  <c r="L287" i="30"/>
  <c r="K287" i="30"/>
  <c r="J287" i="30"/>
  <c r="I287" i="30"/>
  <c r="H287" i="30"/>
  <c r="G287" i="30"/>
  <c r="F287" i="30"/>
  <c r="E287" i="30"/>
  <c r="D287" i="30"/>
  <c r="C287" i="30"/>
  <c r="N286" i="30"/>
  <c r="M286" i="30"/>
  <c r="L286" i="30"/>
  <c r="K286" i="30"/>
  <c r="J286" i="30"/>
  <c r="I286" i="30"/>
  <c r="H286" i="30"/>
  <c r="G286" i="30"/>
  <c r="F286" i="30"/>
  <c r="E286" i="30"/>
  <c r="D286" i="30"/>
  <c r="C286" i="30"/>
  <c r="N285" i="30"/>
  <c r="M285" i="30"/>
  <c r="L285" i="30"/>
  <c r="K285" i="30"/>
  <c r="J285" i="30"/>
  <c r="I285" i="30"/>
  <c r="H285" i="30"/>
  <c r="G285" i="30"/>
  <c r="F285" i="30"/>
  <c r="E285" i="30"/>
  <c r="D285" i="30"/>
  <c r="C285" i="30"/>
  <c r="N284" i="30"/>
  <c r="M284" i="30"/>
  <c r="L284" i="30"/>
  <c r="K284" i="30"/>
  <c r="J284" i="30"/>
  <c r="I284" i="30"/>
  <c r="H284" i="30"/>
  <c r="G284" i="30"/>
  <c r="F284" i="30"/>
  <c r="E284" i="30"/>
  <c r="D284" i="30"/>
  <c r="C284" i="30"/>
  <c r="N283" i="30"/>
  <c r="M283" i="30"/>
  <c r="L283" i="30"/>
  <c r="K283" i="30"/>
  <c r="J283" i="30"/>
  <c r="I283" i="30"/>
  <c r="H283" i="30"/>
  <c r="G283" i="30"/>
  <c r="F283" i="30"/>
  <c r="E283" i="30"/>
  <c r="D283" i="30"/>
  <c r="C283" i="30"/>
  <c r="N282" i="30"/>
  <c r="M282" i="30"/>
  <c r="L282" i="30"/>
  <c r="K282" i="30"/>
  <c r="J282" i="30"/>
  <c r="I282" i="30"/>
  <c r="H282" i="30"/>
  <c r="G282" i="30"/>
  <c r="F282" i="30"/>
  <c r="E282" i="30"/>
  <c r="D282" i="30"/>
  <c r="C282" i="30"/>
  <c r="N281" i="30"/>
  <c r="M281" i="30"/>
  <c r="L281" i="30"/>
  <c r="K281" i="30"/>
  <c r="J281" i="30"/>
  <c r="I281" i="30"/>
  <c r="H281" i="30"/>
  <c r="G281" i="30"/>
  <c r="F281" i="30"/>
  <c r="E281" i="30"/>
  <c r="D281" i="30"/>
  <c r="C281" i="30"/>
  <c r="N280" i="30"/>
  <c r="M280" i="30"/>
  <c r="L280" i="30"/>
  <c r="K280" i="30"/>
  <c r="J280" i="30"/>
  <c r="I280" i="30"/>
  <c r="H280" i="30"/>
  <c r="G280" i="30"/>
  <c r="F280" i="30"/>
  <c r="E280" i="30"/>
  <c r="D280" i="30"/>
  <c r="C280" i="30"/>
  <c r="O276" i="30"/>
  <c r="O275" i="30"/>
  <c r="O274" i="30"/>
  <c r="O273" i="30"/>
  <c r="O272" i="30"/>
  <c r="O271" i="30"/>
  <c r="O270" i="30"/>
  <c r="O269" i="30"/>
  <c r="O266" i="30"/>
  <c r="O265" i="30"/>
  <c r="O264" i="30"/>
  <c r="P265" i="30" s="1"/>
  <c r="Q265" i="30" s="1"/>
  <c r="O263" i="30"/>
  <c r="P263" i="30" s="1"/>
  <c r="Q263" i="30" s="1"/>
  <c r="O262" i="30"/>
  <c r="O261" i="30"/>
  <c r="O260" i="30"/>
  <c r="O259" i="30"/>
  <c r="O258" i="30"/>
  <c r="O257" i="30"/>
  <c r="O256" i="30"/>
  <c r="P257" i="30" s="1"/>
  <c r="Q257" i="30" s="1"/>
  <c r="O255" i="30"/>
  <c r="O254" i="30"/>
  <c r="O253" i="30"/>
  <c r="O252" i="30"/>
  <c r="P253" i="30" s="1"/>
  <c r="Q253" i="30" s="1"/>
  <c r="O251" i="30"/>
  <c r="O250" i="30"/>
  <c r="O249" i="30"/>
  <c r="O245" i="30"/>
  <c r="O244" i="30"/>
  <c r="O243" i="30"/>
  <c r="O242" i="30"/>
  <c r="O241" i="30"/>
  <c r="O240" i="30"/>
  <c r="O239" i="30"/>
  <c r="O238" i="30"/>
  <c r="O237" i="30"/>
  <c r="O236" i="30"/>
  <c r="O235" i="30"/>
  <c r="O234" i="30"/>
  <c r="O233" i="30"/>
  <c r="O232" i="30"/>
  <c r="O231" i="30"/>
  <c r="O230" i="30"/>
  <c r="O229" i="30"/>
  <c r="O228" i="30"/>
  <c r="O225" i="30"/>
  <c r="O224" i="30"/>
  <c r="O223" i="30"/>
  <c r="P224" i="30" s="1"/>
  <c r="Q224" i="30" s="1"/>
  <c r="O222" i="30"/>
  <c r="O221" i="30"/>
  <c r="O220" i="30"/>
  <c r="O219" i="30"/>
  <c r="P220" i="30" s="1"/>
  <c r="Q220" i="30" s="1"/>
  <c r="O218" i="30"/>
  <c r="O217" i="30"/>
  <c r="O216" i="30"/>
  <c r="O215" i="30"/>
  <c r="O214" i="30"/>
  <c r="O213" i="30"/>
  <c r="O212" i="30"/>
  <c r="O211" i="30"/>
  <c r="P212" i="30" s="1"/>
  <c r="Q212" i="30" s="1"/>
  <c r="O210" i="30"/>
  <c r="O209" i="30"/>
  <c r="O208" i="30"/>
  <c r="O204" i="30"/>
  <c r="O203" i="30"/>
  <c r="O202" i="30"/>
  <c r="O201" i="30"/>
  <c r="O200" i="30"/>
  <c r="O199" i="30"/>
  <c r="O198" i="30"/>
  <c r="O197" i="30"/>
  <c r="O196" i="30"/>
  <c r="O195" i="30"/>
  <c r="O194" i="30"/>
  <c r="O193" i="30"/>
  <c r="O192" i="30"/>
  <c r="O191" i="30"/>
  <c r="O190" i="30"/>
  <c r="O189" i="30"/>
  <c r="O188" i="30"/>
  <c r="O187" i="30"/>
  <c r="O184" i="30"/>
  <c r="O183" i="30"/>
  <c r="O182" i="30"/>
  <c r="O181" i="30"/>
  <c r="P181" i="30" s="1"/>
  <c r="Q181" i="30" s="1"/>
  <c r="O180" i="30"/>
  <c r="O179" i="30"/>
  <c r="O178" i="30"/>
  <c r="P179" i="30" s="1"/>
  <c r="Q179" i="30" s="1"/>
  <c r="O177" i="30"/>
  <c r="O176" i="30"/>
  <c r="O175" i="30"/>
  <c r="O174" i="30"/>
  <c r="P175" i="30" s="1"/>
  <c r="Q175" i="30" s="1"/>
  <c r="O173" i="30"/>
  <c r="O172" i="30"/>
  <c r="O171" i="30"/>
  <c r="O170" i="30"/>
  <c r="P171" i="30" s="1"/>
  <c r="Q171" i="30" s="1"/>
  <c r="O169" i="30"/>
  <c r="P169" i="30" s="1"/>
  <c r="Q169" i="30" s="1"/>
  <c r="O168" i="30"/>
  <c r="O167" i="30"/>
  <c r="O163" i="30"/>
  <c r="O162" i="30"/>
  <c r="O161" i="30"/>
  <c r="O160" i="30"/>
  <c r="O159" i="30"/>
  <c r="O158" i="30"/>
  <c r="O157" i="30"/>
  <c r="O156" i="30"/>
  <c r="O155" i="30"/>
  <c r="O154" i="30"/>
  <c r="O153" i="30"/>
  <c r="O152" i="30"/>
  <c r="O151" i="30"/>
  <c r="O150" i="30"/>
  <c r="O149" i="30"/>
  <c r="O148" i="30"/>
  <c r="O147" i="30"/>
  <c r="O146" i="30"/>
  <c r="O143" i="30"/>
  <c r="O142" i="30"/>
  <c r="O141" i="30"/>
  <c r="O140" i="30"/>
  <c r="O139" i="30"/>
  <c r="O138" i="30"/>
  <c r="O137" i="30"/>
  <c r="O136" i="30"/>
  <c r="O135" i="30"/>
  <c r="O134" i="30"/>
  <c r="O133" i="30"/>
  <c r="O132" i="30"/>
  <c r="O131" i="30"/>
  <c r="O130" i="30"/>
  <c r="O129" i="30"/>
  <c r="O128" i="30"/>
  <c r="O127" i="30"/>
  <c r="O126" i="30"/>
  <c r="O122" i="30"/>
  <c r="O121" i="30"/>
  <c r="O120" i="30"/>
  <c r="O119" i="30"/>
  <c r="O118" i="30"/>
  <c r="O117" i="30"/>
  <c r="O116" i="30"/>
  <c r="O115" i="30"/>
  <c r="O114" i="30"/>
  <c r="O113" i="30"/>
  <c r="O112" i="30"/>
  <c r="O111" i="30"/>
  <c r="O110" i="30"/>
  <c r="O109" i="30"/>
  <c r="O108" i="30"/>
  <c r="O107" i="30"/>
  <c r="O106" i="30"/>
  <c r="O105" i="30"/>
  <c r="O102" i="30"/>
  <c r="O101" i="30"/>
  <c r="O100" i="30"/>
  <c r="O99" i="30"/>
  <c r="O98" i="30"/>
  <c r="O97" i="30"/>
  <c r="O96" i="30"/>
  <c r="O95" i="30"/>
  <c r="O94" i="30"/>
  <c r="O93" i="30"/>
  <c r="O92" i="30"/>
  <c r="P92" i="30" s="1"/>
  <c r="Q92" i="30" s="1"/>
  <c r="O91" i="30"/>
  <c r="O90" i="30"/>
  <c r="O89" i="30"/>
  <c r="O88" i="30"/>
  <c r="O87" i="30"/>
  <c r="O86" i="30"/>
  <c r="O85" i="30"/>
  <c r="O81" i="30"/>
  <c r="O80" i="30"/>
  <c r="O79" i="30"/>
  <c r="O78" i="30"/>
  <c r="O77" i="30"/>
  <c r="O76" i="30"/>
  <c r="O75" i="30"/>
  <c r="O74" i="30"/>
  <c r="O73" i="30"/>
  <c r="O72" i="30"/>
  <c r="P72" i="30" s="1"/>
  <c r="Q72" i="30" s="1"/>
  <c r="O71" i="30"/>
  <c r="O70" i="30"/>
  <c r="O69" i="30"/>
  <c r="O68" i="30"/>
  <c r="O67" i="30"/>
  <c r="O66" i="30"/>
  <c r="O65" i="30"/>
  <c r="O64" i="30"/>
  <c r="O61" i="30"/>
  <c r="O60" i="30"/>
  <c r="O59" i="30"/>
  <c r="O58" i="30"/>
  <c r="O57" i="30"/>
  <c r="O56" i="30"/>
  <c r="O55" i="30"/>
  <c r="O54" i="30"/>
  <c r="O53" i="30"/>
  <c r="O52" i="30"/>
  <c r="O51" i="30"/>
  <c r="O50" i="30"/>
  <c r="O49" i="30"/>
  <c r="O48" i="30"/>
  <c r="O47" i="30"/>
  <c r="O46" i="30"/>
  <c r="O45" i="30"/>
  <c r="O44" i="30"/>
  <c r="O40" i="30"/>
  <c r="O39" i="30"/>
  <c r="O38" i="30"/>
  <c r="O37" i="30"/>
  <c r="O36" i="30"/>
  <c r="O35" i="30"/>
  <c r="O34" i="30"/>
  <c r="O33" i="30"/>
  <c r="O32" i="30"/>
  <c r="O31" i="30"/>
  <c r="O30" i="30"/>
  <c r="O29" i="30"/>
  <c r="O28" i="30"/>
  <c r="O27" i="30"/>
  <c r="O26" i="30"/>
  <c r="O25" i="30"/>
  <c r="O24" i="30"/>
  <c r="O23" i="30"/>
  <c r="O20" i="30"/>
  <c r="O19" i="30"/>
  <c r="O18" i="30"/>
  <c r="O17" i="30"/>
  <c r="O16" i="30"/>
  <c r="O15" i="30"/>
  <c r="O14" i="30"/>
  <c r="O13" i="30"/>
  <c r="O12" i="30"/>
  <c r="O11" i="30"/>
  <c r="O10" i="30"/>
  <c r="O9" i="30"/>
  <c r="O8" i="30"/>
  <c r="O7" i="30"/>
  <c r="O6" i="30"/>
  <c r="O5" i="30"/>
  <c r="O4" i="30"/>
  <c r="O3" i="30"/>
  <c r="P173" i="30" l="1"/>
  <c r="Q173" i="30" s="1"/>
  <c r="P95" i="30"/>
  <c r="Q95" i="30" s="1"/>
  <c r="P129" i="30"/>
  <c r="Q129" i="30" s="1"/>
  <c r="P222" i="30"/>
  <c r="Q222" i="30" s="1"/>
  <c r="P80" i="30"/>
  <c r="Q80" i="30" s="1"/>
  <c r="P177" i="30"/>
  <c r="Q177" i="30" s="1"/>
  <c r="P210" i="30"/>
  <c r="Q210" i="30" s="1"/>
  <c r="P48" i="30"/>
  <c r="Q48" i="30" s="1"/>
  <c r="P259" i="30"/>
  <c r="Q259" i="30" s="1"/>
  <c r="P36" i="30"/>
  <c r="Q36" i="30" s="1"/>
  <c r="P261" i="30"/>
  <c r="Q261" i="30" s="1"/>
  <c r="P109" i="30"/>
  <c r="Q109" i="30" s="1"/>
  <c r="P255" i="30"/>
  <c r="Q255" i="30" s="1"/>
  <c r="P214" i="30"/>
  <c r="Q214" i="30" s="1"/>
  <c r="P46" i="30"/>
  <c r="Q46" i="30" s="1"/>
  <c r="P132" i="30"/>
  <c r="Q132" i="30" s="1"/>
  <c r="P54" i="30"/>
  <c r="Q54" i="30" s="1"/>
  <c r="P39" i="30"/>
  <c r="Q39" i="30" s="1"/>
  <c r="P183" i="30"/>
  <c r="Q183" i="30" s="1"/>
  <c r="P216" i="30"/>
  <c r="Q216" i="30" s="1"/>
  <c r="P26" i="30"/>
  <c r="Q26" i="30" s="1"/>
  <c r="P40" i="30"/>
  <c r="Q40" i="30" s="1"/>
  <c r="P57" i="30"/>
  <c r="Q57" i="30" s="1"/>
  <c r="P218" i="30"/>
  <c r="Q218" i="30" s="1"/>
  <c r="P251" i="30"/>
  <c r="Q251" i="30" s="1"/>
  <c r="P13" i="30"/>
  <c r="Q13" i="30" s="1"/>
  <c r="P30" i="30"/>
  <c r="Q30" i="30" s="1"/>
  <c r="P69" i="30"/>
  <c r="Q69" i="30" s="1"/>
  <c r="P119" i="30"/>
  <c r="Q119" i="30" s="1"/>
  <c r="P34" i="30"/>
  <c r="Q34" i="30" s="1"/>
  <c r="P51" i="30"/>
  <c r="Q51" i="30" s="1"/>
  <c r="P65" i="30"/>
  <c r="Q65" i="30" s="1"/>
  <c r="P86" i="30"/>
  <c r="Q86" i="30" s="1"/>
  <c r="P101" i="30"/>
  <c r="Q101" i="30" s="1"/>
  <c r="P6" i="30"/>
  <c r="Q6" i="30" s="1"/>
  <c r="P10" i="30"/>
  <c r="Q10" i="30" s="1"/>
  <c r="P27" i="30"/>
  <c r="Q27" i="30" s="1"/>
  <c r="P31" i="30"/>
  <c r="Q31" i="30" s="1"/>
  <c r="P66" i="30"/>
  <c r="Q66" i="30" s="1"/>
  <c r="P70" i="30"/>
  <c r="Q70" i="30" s="1"/>
  <c r="P73" i="30"/>
  <c r="Q73" i="30" s="1"/>
  <c r="P77" i="30"/>
  <c r="Q77" i="30" s="1"/>
  <c r="P90" i="30"/>
  <c r="Q90" i="30" s="1"/>
  <c r="P98" i="30"/>
  <c r="Q98" i="30" s="1"/>
  <c r="P112" i="30"/>
  <c r="Q112" i="30" s="1"/>
  <c r="P116" i="30"/>
  <c r="Q116" i="30" s="1"/>
  <c r="P120" i="30"/>
  <c r="Q120" i="30" s="1"/>
  <c r="P135" i="30"/>
  <c r="Q135" i="30" s="1"/>
  <c r="P49" i="30"/>
  <c r="Q49" i="30" s="1"/>
  <c r="O280" i="30"/>
  <c r="O281" i="30"/>
  <c r="P281" i="30" s="1"/>
  <c r="O282" i="30"/>
  <c r="P282" i="30" s="1"/>
  <c r="O283" i="30"/>
  <c r="P283" i="30" s="1"/>
  <c r="Q283" i="30" s="1"/>
  <c r="O284" i="30"/>
  <c r="P284" i="30" s="1"/>
  <c r="O285" i="30"/>
  <c r="P285" i="30" s="1"/>
  <c r="Q285" i="30" s="1"/>
  <c r="O286" i="30"/>
  <c r="P286" i="30" s="1"/>
  <c r="Q286" i="30" s="1"/>
  <c r="O287" i="30"/>
  <c r="P287" i="30" s="1"/>
  <c r="O288" i="30"/>
  <c r="O289" i="30"/>
  <c r="O290" i="30"/>
  <c r="O291" i="30"/>
  <c r="P291" i="30" s="1"/>
  <c r="Q291" i="30" s="1"/>
  <c r="O292" i="30"/>
  <c r="P14" i="30"/>
  <c r="Q14" i="30" s="1"/>
  <c r="P47" i="30"/>
  <c r="Q47" i="30" s="1"/>
  <c r="P106" i="30"/>
  <c r="Q106" i="30" s="1"/>
  <c r="P8" i="30"/>
  <c r="Q8" i="30" s="1"/>
  <c r="P38" i="30"/>
  <c r="Q38" i="30" s="1"/>
  <c r="P55" i="30"/>
  <c r="Q55" i="30" s="1"/>
  <c r="P134" i="30"/>
  <c r="Q134" i="30" s="1"/>
  <c r="P133" i="30"/>
  <c r="Q133" i="30" s="1"/>
  <c r="O295" i="30"/>
  <c r="P24" i="30"/>
  <c r="Q24" i="30" s="1"/>
  <c r="P37" i="30"/>
  <c r="Q37" i="30" s="1"/>
  <c r="P61" i="30"/>
  <c r="Q61" i="30" s="1"/>
  <c r="P117" i="30"/>
  <c r="Q117" i="30" s="1"/>
  <c r="P128" i="30"/>
  <c r="Q128" i="30" s="1"/>
  <c r="P136" i="30"/>
  <c r="Q136" i="30" s="1"/>
  <c r="P28" i="30"/>
  <c r="Q28" i="30" s="1"/>
  <c r="P9" i="30"/>
  <c r="Q9" i="30" s="1"/>
  <c r="O293" i="30"/>
  <c r="P293" i="30" s="1"/>
  <c r="Q293" i="30" s="1"/>
  <c r="O297" i="30"/>
  <c r="P29" i="30"/>
  <c r="Q29" i="30" s="1"/>
  <c r="P32" i="30"/>
  <c r="Q32" i="30" s="1"/>
  <c r="P35" i="30"/>
  <c r="Q35" i="30" s="1"/>
  <c r="P56" i="30"/>
  <c r="Q56" i="30" s="1"/>
  <c r="P93" i="30"/>
  <c r="Q93" i="30" s="1"/>
  <c r="P142" i="30"/>
  <c r="Q142" i="30" s="1"/>
  <c r="P151" i="30"/>
  <c r="Q151" i="30" s="1"/>
  <c r="P155" i="30"/>
  <c r="Q155" i="30" s="1"/>
  <c r="P159" i="30"/>
  <c r="Q159" i="30" s="1"/>
  <c r="P163" i="30"/>
  <c r="Q163" i="30" s="1"/>
  <c r="P188" i="30"/>
  <c r="Q188" i="30" s="1"/>
  <c r="P192" i="30"/>
  <c r="Q192" i="30" s="1"/>
  <c r="P196" i="30"/>
  <c r="Q196" i="30" s="1"/>
  <c r="P200" i="30"/>
  <c r="Q200" i="30" s="1"/>
  <c r="P204" i="30"/>
  <c r="Q204" i="30" s="1"/>
  <c r="P229" i="30"/>
  <c r="Q229" i="30" s="1"/>
  <c r="P233" i="30"/>
  <c r="Q233" i="30" s="1"/>
  <c r="P237" i="30"/>
  <c r="Q237" i="30" s="1"/>
  <c r="P241" i="30"/>
  <c r="Q241" i="30" s="1"/>
  <c r="P245" i="30"/>
  <c r="Q245" i="30" s="1"/>
  <c r="P270" i="30"/>
  <c r="Q270" i="30" s="1"/>
  <c r="P274" i="30"/>
  <c r="Q274" i="30" s="1"/>
  <c r="P67" i="30"/>
  <c r="Q67" i="30" s="1"/>
  <c r="P74" i="30"/>
  <c r="Q74" i="30" s="1"/>
  <c r="P81" i="30"/>
  <c r="Q81" i="30" s="1"/>
  <c r="P96" i="30"/>
  <c r="Q96" i="30" s="1"/>
  <c r="P102" i="30"/>
  <c r="Q102" i="30" s="1"/>
  <c r="P114" i="30"/>
  <c r="Q114" i="30" s="1"/>
  <c r="P138" i="30"/>
  <c r="Q138" i="30" s="1"/>
  <c r="P148" i="30"/>
  <c r="Q148" i="30" s="1"/>
  <c r="P156" i="30"/>
  <c r="Q156" i="30" s="1"/>
  <c r="P189" i="30"/>
  <c r="Q189" i="30" s="1"/>
  <c r="P201" i="30"/>
  <c r="Q201" i="30" s="1"/>
  <c r="P234" i="30"/>
  <c r="Q234" i="30" s="1"/>
  <c r="P242" i="30"/>
  <c r="Q242" i="30" s="1"/>
  <c r="P275" i="30"/>
  <c r="Q275" i="30" s="1"/>
  <c r="P53" i="30"/>
  <c r="Q53" i="30" s="1"/>
  <c r="P58" i="30"/>
  <c r="Q58" i="30" s="1"/>
  <c r="P71" i="30"/>
  <c r="Q71" i="30" s="1"/>
  <c r="P78" i="30"/>
  <c r="Q78" i="30" s="1"/>
  <c r="P87" i="30"/>
  <c r="Q87" i="30" s="1"/>
  <c r="P99" i="30"/>
  <c r="Q99" i="30" s="1"/>
  <c r="P107" i="30"/>
  <c r="Q107" i="30" s="1"/>
  <c r="P110" i="30"/>
  <c r="Q110" i="30" s="1"/>
  <c r="P131" i="30"/>
  <c r="Q131" i="30" s="1"/>
  <c r="P139" i="30"/>
  <c r="Q139" i="30" s="1"/>
  <c r="P152" i="30"/>
  <c r="Q152" i="30" s="1"/>
  <c r="P160" i="30"/>
  <c r="Q160" i="30" s="1"/>
  <c r="P193" i="30"/>
  <c r="Q193" i="30" s="1"/>
  <c r="P197" i="30"/>
  <c r="Q197" i="30" s="1"/>
  <c r="P230" i="30"/>
  <c r="Q230" i="30" s="1"/>
  <c r="P238" i="30"/>
  <c r="Q238" i="30" s="1"/>
  <c r="P271" i="30"/>
  <c r="Q271" i="30" s="1"/>
  <c r="P5" i="30"/>
  <c r="Q5" i="30" s="1"/>
  <c r="P12" i="30"/>
  <c r="Q12" i="30" s="1"/>
  <c r="O296" i="30"/>
  <c r="P296" i="30" s="1"/>
  <c r="Q296" i="30" s="1"/>
  <c r="P25" i="30"/>
  <c r="Q25" i="30" s="1"/>
  <c r="P33" i="30"/>
  <c r="Q33" i="30" s="1"/>
  <c r="P50" i="30"/>
  <c r="Q50" i="30" s="1"/>
  <c r="P59" i="30"/>
  <c r="Q59" i="30" s="1"/>
  <c r="P75" i="30"/>
  <c r="Q75" i="30" s="1"/>
  <c r="P79" i="30"/>
  <c r="Q79" i="30" s="1"/>
  <c r="P88" i="30"/>
  <c r="Q88" i="30" s="1"/>
  <c r="P91" i="30"/>
  <c r="Q91" i="30" s="1"/>
  <c r="P94" i="30"/>
  <c r="Q94" i="30" s="1"/>
  <c r="P100" i="30"/>
  <c r="Q100" i="30" s="1"/>
  <c r="P108" i="30"/>
  <c r="Q108" i="30" s="1"/>
  <c r="P111" i="30"/>
  <c r="Q111" i="30" s="1"/>
  <c r="P115" i="30"/>
  <c r="Q115" i="30" s="1"/>
  <c r="P118" i="30"/>
  <c r="Q118" i="30" s="1"/>
  <c r="P122" i="30"/>
  <c r="Q122" i="30" s="1"/>
  <c r="P137" i="30"/>
  <c r="Q137" i="30" s="1"/>
  <c r="P143" i="30"/>
  <c r="Q143" i="30" s="1"/>
  <c r="P150" i="30"/>
  <c r="Q150" i="30" s="1"/>
  <c r="P154" i="30"/>
  <c r="Q154" i="30" s="1"/>
  <c r="P158" i="30"/>
  <c r="Q158" i="30" s="1"/>
  <c r="P162" i="30"/>
  <c r="Q162" i="30" s="1"/>
  <c r="P168" i="30"/>
  <c r="Q168" i="30" s="1"/>
  <c r="P172" i="30"/>
  <c r="Q172" i="30" s="1"/>
  <c r="P176" i="30"/>
  <c r="Q176" i="30" s="1"/>
  <c r="P180" i="30"/>
  <c r="Q180" i="30" s="1"/>
  <c r="P184" i="30"/>
  <c r="Q184" i="30" s="1"/>
  <c r="P191" i="30"/>
  <c r="Q191" i="30" s="1"/>
  <c r="P195" i="30"/>
  <c r="Q195" i="30" s="1"/>
  <c r="P199" i="30"/>
  <c r="Q199" i="30" s="1"/>
  <c r="P203" i="30"/>
  <c r="Q203" i="30" s="1"/>
  <c r="P209" i="30"/>
  <c r="Q209" i="30" s="1"/>
  <c r="P213" i="30"/>
  <c r="Q213" i="30" s="1"/>
  <c r="P217" i="30"/>
  <c r="Q217" i="30" s="1"/>
  <c r="P221" i="30"/>
  <c r="Q221" i="30" s="1"/>
  <c r="P225" i="30"/>
  <c r="Q225" i="30" s="1"/>
  <c r="P232" i="30"/>
  <c r="Q232" i="30" s="1"/>
  <c r="P236" i="30"/>
  <c r="Q236" i="30" s="1"/>
  <c r="P240" i="30"/>
  <c r="Q240" i="30" s="1"/>
  <c r="P244" i="30"/>
  <c r="Q244" i="30" s="1"/>
  <c r="P250" i="30"/>
  <c r="Q250" i="30" s="1"/>
  <c r="P254" i="30"/>
  <c r="Q254" i="30" s="1"/>
  <c r="P258" i="30"/>
  <c r="Q258" i="30" s="1"/>
  <c r="P262" i="30"/>
  <c r="Q262" i="30" s="1"/>
  <c r="P266" i="30"/>
  <c r="Q266" i="30" s="1"/>
  <c r="P272" i="30"/>
  <c r="Q272" i="30" s="1"/>
  <c r="P276" i="30"/>
  <c r="Q276" i="30" s="1"/>
  <c r="P52" i="30"/>
  <c r="Q52" i="30" s="1"/>
  <c r="P60" i="30"/>
  <c r="Q60" i="30" s="1"/>
  <c r="P89" i="30"/>
  <c r="Q89" i="30" s="1"/>
  <c r="P97" i="30"/>
  <c r="Q97" i="30" s="1"/>
  <c r="P7" i="30"/>
  <c r="Q7" i="30" s="1"/>
  <c r="P11" i="30"/>
  <c r="Q11" i="30" s="1"/>
  <c r="P15" i="30"/>
  <c r="Q15" i="30" s="1"/>
  <c r="O294" i="30"/>
  <c r="P17" i="30"/>
  <c r="Q17" i="30" s="1"/>
  <c r="P19" i="30"/>
  <c r="Q19" i="30" s="1"/>
  <c r="P45" i="30"/>
  <c r="Q45" i="30" s="1"/>
  <c r="P68" i="30"/>
  <c r="Q68" i="30" s="1"/>
  <c r="P76" i="30"/>
  <c r="Q76" i="30" s="1"/>
  <c r="P113" i="30"/>
  <c r="Q113" i="30" s="1"/>
  <c r="P121" i="30"/>
  <c r="Q121" i="30" s="1"/>
  <c r="P140" i="30"/>
  <c r="Q140" i="30" s="1"/>
  <c r="P141" i="30"/>
  <c r="Q141" i="30" s="1"/>
  <c r="P4" i="30"/>
  <c r="Q4" i="30" s="1"/>
  <c r="P18" i="30"/>
  <c r="Q18" i="30" s="1"/>
  <c r="P130" i="30"/>
  <c r="Q130" i="30" s="1"/>
  <c r="P16" i="30"/>
  <c r="Q16" i="30" s="1"/>
  <c r="P20" i="30"/>
  <c r="Q20" i="30" s="1"/>
  <c r="P147" i="30"/>
  <c r="Q147" i="30" s="1"/>
  <c r="P127" i="30"/>
  <c r="Q127" i="30" s="1"/>
  <c r="Q281" i="30"/>
  <c r="Q282" i="30"/>
  <c r="P289" i="30"/>
  <c r="Q289" i="30" s="1"/>
  <c r="P290" i="30"/>
  <c r="Q290" i="30" s="1"/>
  <c r="P273" i="30"/>
  <c r="Q273" i="30" s="1"/>
  <c r="P149" i="30"/>
  <c r="Q149" i="30" s="1"/>
  <c r="P153" i="30"/>
  <c r="Q153" i="30" s="1"/>
  <c r="P157" i="30"/>
  <c r="Q157" i="30" s="1"/>
  <c r="P161" i="30"/>
  <c r="Q161" i="30" s="1"/>
  <c r="P170" i="30"/>
  <c r="Q170" i="30" s="1"/>
  <c r="P174" i="30"/>
  <c r="Q174" i="30" s="1"/>
  <c r="P178" i="30"/>
  <c r="Q178" i="30" s="1"/>
  <c r="P182" i="30"/>
  <c r="Q182" i="30" s="1"/>
  <c r="P190" i="30"/>
  <c r="Q190" i="30" s="1"/>
  <c r="P194" i="30"/>
  <c r="Q194" i="30" s="1"/>
  <c r="P198" i="30"/>
  <c r="Q198" i="30" s="1"/>
  <c r="P202" i="30"/>
  <c r="Q202" i="30" s="1"/>
  <c r="P211" i="30"/>
  <c r="Q211" i="30" s="1"/>
  <c r="P215" i="30"/>
  <c r="Q215" i="30" s="1"/>
  <c r="P219" i="30"/>
  <c r="Q219" i="30" s="1"/>
  <c r="P223" i="30"/>
  <c r="Q223" i="30" s="1"/>
  <c r="P231" i="30"/>
  <c r="Q231" i="30" s="1"/>
  <c r="P235" i="30"/>
  <c r="Q235" i="30" s="1"/>
  <c r="P239" i="30"/>
  <c r="Q239" i="30" s="1"/>
  <c r="P243" i="30"/>
  <c r="Q243" i="30" s="1"/>
  <c r="P252" i="30"/>
  <c r="Q252" i="30" s="1"/>
  <c r="P256" i="30"/>
  <c r="Q256" i="30" s="1"/>
  <c r="P260" i="30"/>
  <c r="Q260" i="30" s="1"/>
  <c r="P264" i="30"/>
  <c r="Q264" i="30" s="1"/>
  <c r="P294" i="30" l="1"/>
  <c r="Q294" i="30" s="1"/>
  <c r="Q287" i="30"/>
  <c r="P292" i="30"/>
  <c r="Q292" i="30" s="1"/>
  <c r="R294" i="30" s="1"/>
  <c r="P288" i="30"/>
  <c r="Q288" i="30" s="1"/>
  <c r="Q284" i="30"/>
  <c r="R286" i="30" s="1"/>
  <c r="P297" i="30"/>
  <c r="Q297" i="30" s="1"/>
  <c r="B18" i="18"/>
  <c r="G299" i="30"/>
  <c r="R288" i="30"/>
  <c r="R291" i="30"/>
  <c r="R287" i="30"/>
  <c r="R285" i="30"/>
  <c r="R284" i="30"/>
  <c r="R283" i="30"/>
  <c r="R282" i="30"/>
  <c r="P295" i="30"/>
  <c r="Q295" i="30" s="1"/>
  <c r="R292" i="30"/>
  <c r="R293" i="30"/>
  <c r="R289" i="30"/>
  <c r="AU3" i="23"/>
  <c r="AU2" i="23"/>
  <c r="AU16" i="23"/>
  <c r="AU15" i="23"/>
  <c r="AU14" i="23"/>
  <c r="AU11" i="23"/>
  <c r="AU10" i="23"/>
  <c r="AU9" i="23"/>
  <c r="AU8" i="23"/>
  <c r="AU7" i="23"/>
  <c r="AU6" i="23"/>
  <c r="AU5" i="23"/>
  <c r="R296" i="30" l="1"/>
  <c r="R290" i="30"/>
  <c r="R297" i="30"/>
  <c r="R295" i="30"/>
  <c r="F46" i="11"/>
  <c r="F45" i="11"/>
  <c r="F12" i="11"/>
  <c r="H124" i="21"/>
  <c r="E105" i="21"/>
  <c r="E102" i="21"/>
  <c r="E101" i="21"/>
  <c r="E106" i="21"/>
  <c r="E104" i="21"/>
  <c r="E103" i="21"/>
  <c r="D108" i="21"/>
  <c r="E84" i="21"/>
  <c r="E83" i="21"/>
  <c r="E77" i="21"/>
  <c r="E76" i="21"/>
  <c r="E75" i="21"/>
  <c r="E74" i="21"/>
  <c r="E73" i="21"/>
  <c r="E97" i="21"/>
  <c r="E86" i="21"/>
  <c r="E85" i="21"/>
  <c r="E66" i="21"/>
  <c r="E65" i="21"/>
  <c r="E64" i="21"/>
  <c r="E63" i="21"/>
  <c r="E47" i="21"/>
  <c r="E46" i="21"/>
  <c r="H61" i="21"/>
  <c r="E30" i="21"/>
  <c r="D39" i="21"/>
  <c r="E29" i="21"/>
  <c r="H44" i="21"/>
  <c r="H121" i="21" l="1"/>
  <c r="F107" i="21"/>
  <c r="H107" i="21"/>
  <c r="F14" i="11"/>
  <c r="C18" i="16" s="1"/>
  <c r="E18" i="21"/>
  <c r="F681" i="4"/>
  <c r="E556" i="4"/>
  <c r="E502" i="4"/>
  <c r="E447" i="4"/>
  <c r="D436" i="4"/>
  <c r="E399" i="4"/>
  <c r="E346" i="4"/>
  <c r="E296" i="4"/>
  <c r="H300" i="4"/>
  <c r="D299" i="4"/>
  <c r="D23" i="8" s="1"/>
  <c r="E243" i="4"/>
  <c r="E191" i="4"/>
  <c r="E192" i="4"/>
  <c r="E140" i="4"/>
  <c r="E91" i="4"/>
  <c r="E45" i="4"/>
  <c r="E4" i="4"/>
  <c r="E46" i="4"/>
  <c r="H46" i="4" s="1"/>
  <c r="D17" i="3"/>
  <c r="D13" i="3"/>
  <c r="G14" i="3"/>
  <c r="D24" i="3" l="1"/>
  <c r="E297" i="4"/>
  <c r="H101" i="32"/>
  <c r="Q102" i="32" s="1"/>
  <c r="B104" i="32" s="1"/>
  <c r="C17" i="3" l="1"/>
  <c r="C8" i="3"/>
  <c r="C3" i="3"/>
  <c r="C13" i="3"/>
  <c r="L71" i="28"/>
  <c r="F17" i="2"/>
  <c r="C21" i="12" l="1"/>
  <c r="D21" i="12"/>
  <c r="E21" i="12"/>
  <c r="F21" i="12"/>
  <c r="G21" i="12"/>
  <c r="K21" i="12"/>
  <c r="M21" i="12"/>
  <c r="B22" i="12"/>
  <c r="C22" i="12"/>
  <c r="D22" i="12"/>
  <c r="E22" i="12"/>
  <c r="F22" i="12"/>
  <c r="G22" i="12"/>
  <c r="H22" i="12"/>
  <c r="I22" i="12"/>
  <c r="J22" i="12"/>
  <c r="K22" i="12"/>
  <c r="L22" i="12"/>
  <c r="M22" i="12"/>
  <c r="B23" i="12"/>
  <c r="C23" i="12"/>
  <c r="D23" i="12"/>
  <c r="E23" i="12"/>
  <c r="F23" i="12"/>
  <c r="G23" i="12"/>
  <c r="H23" i="12"/>
  <c r="I23" i="12"/>
  <c r="J23" i="12"/>
  <c r="K23" i="12"/>
  <c r="L23" i="12"/>
  <c r="M23" i="12"/>
  <c r="B24" i="12"/>
  <c r="C24" i="12"/>
  <c r="D24" i="12"/>
  <c r="E24" i="12"/>
  <c r="F24" i="12"/>
  <c r="G24" i="12"/>
  <c r="H24" i="12"/>
  <c r="I24" i="12"/>
  <c r="J24" i="12"/>
  <c r="K24" i="12"/>
  <c r="L24" i="12"/>
  <c r="M24" i="12"/>
  <c r="B25" i="12"/>
  <c r="C25" i="12"/>
  <c r="D25" i="12"/>
  <c r="E25" i="12"/>
  <c r="F25" i="12"/>
  <c r="G25" i="12"/>
  <c r="H25" i="12"/>
  <c r="I25" i="12"/>
  <c r="J25" i="12"/>
  <c r="K25" i="12"/>
  <c r="L25" i="12"/>
  <c r="M25" i="12"/>
  <c r="L20" i="12"/>
  <c r="M20" i="12"/>
  <c r="K20" i="12"/>
  <c r="I20" i="12"/>
  <c r="J20" i="12"/>
  <c r="H20" i="12"/>
  <c r="F20" i="12"/>
  <c r="G20" i="12"/>
  <c r="E20" i="12"/>
  <c r="C20" i="12"/>
  <c r="D20" i="12"/>
  <c r="B20" i="12"/>
  <c r="B8" i="12"/>
  <c r="C8" i="12"/>
  <c r="D8" i="12"/>
  <c r="E8" i="12"/>
  <c r="F8" i="12"/>
  <c r="G8" i="12"/>
  <c r="H8" i="12"/>
  <c r="I8" i="12"/>
  <c r="J8" i="12"/>
  <c r="K8" i="12"/>
  <c r="L8" i="12"/>
  <c r="M8" i="12"/>
  <c r="B9" i="12"/>
  <c r="C9" i="12"/>
  <c r="D9" i="12"/>
  <c r="E9" i="12"/>
  <c r="F9" i="12"/>
  <c r="G9" i="12"/>
  <c r="H9" i="12"/>
  <c r="I9" i="12"/>
  <c r="J9" i="12"/>
  <c r="K9" i="12"/>
  <c r="L9" i="12"/>
  <c r="M9" i="12"/>
  <c r="B10" i="12"/>
  <c r="C10" i="12"/>
  <c r="D10" i="12"/>
  <c r="E10" i="12"/>
  <c r="F10" i="12"/>
  <c r="G10" i="12"/>
  <c r="H10" i="12"/>
  <c r="I10" i="12"/>
  <c r="J10" i="12"/>
  <c r="K10" i="12"/>
  <c r="L10" i="12"/>
  <c r="M10" i="12"/>
  <c r="B11" i="12"/>
  <c r="C11" i="12"/>
  <c r="D11" i="12"/>
  <c r="E11" i="12"/>
  <c r="F11" i="12"/>
  <c r="G11" i="12"/>
  <c r="H11" i="12"/>
  <c r="I11" i="12"/>
  <c r="J11" i="12"/>
  <c r="K11" i="12"/>
  <c r="L11" i="12"/>
  <c r="M11" i="12"/>
  <c r="D12" i="12"/>
  <c r="E12" i="12"/>
  <c r="F12" i="12"/>
  <c r="G12" i="12"/>
  <c r="H12" i="12"/>
  <c r="I12" i="12"/>
  <c r="J12" i="12"/>
  <c r="K12" i="12"/>
  <c r="L12" i="12"/>
  <c r="M12" i="12"/>
  <c r="B13" i="12"/>
  <c r="C13" i="12"/>
  <c r="D13" i="12"/>
  <c r="E13" i="12"/>
  <c r="F13" i="12"/>
  <c r="G13" i="12"/>
  <c r="H13" i="12"/>
  <c r="I13" i="12"/>
  <c r="J13" i="12"/>
  <c r="K13" i="12"/>
  <c r="L13" i="12"/>
  <c r="M13" i="12"/>
  <c r="B14" i="12"/>
  <c r="C14" i="12"/>
  <c r="D14" i="12"/>
  <c r="E14" i="12"/>
  <c r="F14" i="12"/>
  <c r="G14" i="12"/>
  <c r="H14" i="12"/>
  <c r="I14" i="12"/>
  <c r="J14" i="12"/>
  <c r="K14" i="12"/>
  <c r="L14" i="12"/>
  <c r="M14" i="12"/>
  <c r="H15" i="12"/>
  <c r="I15" i="12"/>
  <c r="K15" i="12"/>
  <c r="L15" i="12"/>
  <c r="M15" i="12"/>
  <c r="B16" i="12"/>
  <c r="C16" i="12"/>
  <c r="D16" i="12"/>
  <c r="E16" i="12"/>
  <c r="F16" i="12"/>
  <c r="G16" i="12"/>
  <c r="H16" i="12"/>
  <c r="I16" i="12"/>
  <c r="J16" i="12"/>
  <c r="K16" i="12"/>
  <c r="L16" i="12"/>
  <c r="M16" i="12"/>
  <c r="B17" i="12"/>
  <c r="C17" i="12"/>
  <c r="D17" i="12"/>
  <c r="E17" i="12"/>
  <c r="F17" i="12"/>
  <c r="G17" i="12"/>
  <c r="H17" i="12"/>
  <c r="I17" i="12"/>
  <c r="J17" i="12"/>
  <c r="K17" i="12"/>
  <c r="L17" i="12"/>
  <c r="M17" i="12"/>
  <c r="B5" i="12"/>
  <c r="C5" i="12"/>
  <c r="D5" i="12"/>
  <c r="E5" i="12"/>
  <c r="F5" i="12"/>
  <c r="G5" i="12"/>
  <c r="H5" i="12"/>
  <c r="I5" i="12"/>
  <c r="J5" i="12"/>
  <c r="K5" i="12"/>
  <c r="L5" i="12"/>
  <c r="M5" i="12"/>
  <c r="B6" i="12"/>
  <c r="C6" i="12"/>
  <c r="D6" i="12"/>
  <c r="E6" i="12"/>
  <c r="F6" i="12"/>
  <c r="G6" i="12"/>
  <c r="H6" i="12"/>
  <c r="I6" i="12"/>
  <c r="J6" i="12"/>
  <c r="K6" i="12"/>
  <c r="L6" i="12"/>
  <c r="M6" i="12"/>
  <c r="B7" i="12"/>
  <c r="C7" i="12"/>
  <c r="D7" i="12"/>
  <c r="E7" i="12"/>
  <c r="F7" i="12"/>
  <c r="G7" i="12"/>
  <c r="H7" i="12"/>
  <c r="I7" i="12"/>
  <c r="J7" i="12"/>
  <c r="K7" i="12"/>
  <c r="L7" i="12"/>
  <c r="M7" i="12"/>
  <c r="L4" i="12"/>
  <c r="M4" i="12"/>
  <c r="K4" i="12"/>
  <c r="I4" i="12"/>
  <c r="J4" i="12"/>
  <c r="H4" i="12"/>
  <c r="F4" i="12"/>
  <c r="G4" i="12"/>
  <c r="E4" i="12"/>
  <c r="C4" i="12"/>
  <c r="D4" i="12"/>
  <c r="B4" i="12"/>
  <c r="H105" i="32"/>
  <c r="B25" i="18" s="1"/>
  <c r="L3" i="26"/>
  <c r="M3" i="26"/>
  <c r="K3" i="26"/>
  <c r="I3" i="26"/>
  <c r="J3" i="26"/>
  <c r="H3" i="26"/>
  <c r="F3" i="26"/>
  <c r="G3" i="26"/>
  <c r="E3" i="26"/>
  <c r="C3" i="26"/>
  <c r="D3" i="26"/>
  <c r="B3" i="26"/>
  <c r="B19" i="26"/>
  <c r="C19" i="26"/>
  <c r="D19" i="26"/>
  <c r="E19" i="26"/>
  <c r="F19" i="26"/>
  <c r="G19" i="26"/>
  <c r="H19" i="26"/>
  <c r="I19" i="26"/>
  <c r="J19" i="26"/>
  <c r="K19" i="26"/>
  <c r="L19" i="26"/>
  <c r="M19" i="26"/>
  <c r="B23" i="26"/>
  <c r="C23" i="26"/>
  <c r="D23" i="26"/>
  <c r="E23" i="26"/>
  <c r="F23" i="26"/>
  <c r="G23" i="26"/>
  <c r="H23" i="26"/>
  <c r="I23" i="26"/>
  <c r="J23" i="26"/>
  <c r="K23" i="26"/>
  <c r="L23" i="26"/>
  <c r="M23" i="26"/>
  <c r="B27" i="26"/>
  <c r="C27" i="26"/>
  <c r="D27" i="26"/>
  <c r="E27" i="26"/>
  <c r="F27" i="26"/>
  <c r="G27" i="26"/>
  <c r="H27" i="26"/>
  <c r="I27" i="26"/>
  <c r="J27" i="26"/>
  <c r="K27" i="26"/>
  <c r="L27" i="26"/>
  <c r="M27" i="26"/>
  <c r="U28" i="24"/>
  <c r="S28" i="24"/>
  <c r="K28" i="24"/>
  <c r="J28" i="24"/>
  <c r="I28" i="24"/>
  <c r="F28" i="24"/>
  <c r="E28" i="24"/>
  <c r="X27" i="24"/>
  <c r="Y27" i="24" s="1"/>
  <c r="V27" i="24"/>
  <c r="W27" i="24" s="1"/>
  <c r="Q27" i="24"/>
  <c r="R27" i="24" s="1"/>
  <c r="L27" i="24"/>
  <c r="M27" i="24" s="1"/>
  <c r="G27" i="24"/>
  <c r="H27" i="24" s="1"/>
  <c r="Y26" i="24"/>
  <c r="V26" i="24"/>
  <c r="W26" i="24" s="1"/>
  <c r="Q26" i="24"/>
  <c r="R26" i="24" s="1"/>
  <c r="L26" i="24"/>
  <c r="M26" i="24" s="1"/>
  <c r="G26" i="24"/>
  <c r="H26" i="24" s="1"/>
  <c r="X25" i="24"/>
  <c r="Y25" i="24" s="1"/>
  <c r="V25" i="24"/>
  <c r="W25" i="24" s="1"/>
  <c r="Q25" i="24"/>
  <c r="R25" i="24" s="1"/>
  <c r="L25" i="24"/>
  <c r="M25" i="24" s="1"/>
  <c r="G25" i="24"/>
  <c r="H25" i="24" s="1"/>
  <c r="X24" i="24"/>
  <c r="Y24" i="24" s="1"/>
  <c r="V24" i="24"/>
  <c r="W24" i="24" s="1"/>
  <c r="Q24" i="24"/>
  <c r="R24" i="24" s="1"/>
  <c r="L24" i="24"/>
  <c r="M24" i="24" s="1"/>
  <c r="G24" i="24"/>
  <c r="H24" i="24" s="1"/>
  <c r="T23" i="24"/>
  <c r="T28" i="24" s="1"/>
  <c r="P23" i="24"/>
  <c r="P28" i="24" s="1"/>
  <c r="O23" i="24"/>
  <c r="O28" i="24" s="1"/>
  <c r="N23" i="24"/>
  <c r="N28" i="24" s="1"/>
  <c r="L23" i="24"/>
  <c r="M23" i="24" s="1"/>
  <c r="D23" i="24"/>
  <c r="B21" i="12" s="1"/>
  <c r="X22" i="24"/>
  <c r="V22" i="24"/>
  <c r="W22" i="24" s="1"/>
  <c r="Q22" i="24"/>
  <c r="R22" i="24" s="1"/>
  <c r="L22" i="24"/>
  <c r="M22" i="24" s="1"/>
  <c r="G22" i="24"/>
  <c r="H22" i="24" s="1"/>
  <c r="U20" i="24"/>
  <c r="T20" i="24"/>
  <c r="S20" i="24"/>
  <c r="N20" i="24"/>
  <c r="Y19" i="24"/>
  <c r="V19" i="24"/>
  <c r="W19" i="24" s="1"/>
  <c r="Q19" i="24"/>
  <c r="R19" i="24" s="1"/>
  <c r="M19" i="24"/>
  <c r="L19" i="24"/>
  <c r="G19" i="24"/>
  <c r="H19" i="24" s="1"/>
  <c r="X18" i="24"/>
  <c r="Y18" i="24" s="1"/>
  <c r="V18" i="24"/>
  <c r="W18" i="24" s="1"/>
  <c r="Q18" i="24"/>
  <c r="R18" i="24" s="1"/>
  <c r="L18" i="24"/>
  <c r="M18" i="24" s="1"/>
  <c r="G18" i="24"/>
  <c r="H18" i="24" s="1"/>
  <c r="V17" i="24"/>
  <c r="W17" i="24" s="1"/>
  <c r="P17" i="24"/>
  <c r="J15" i="12" s="1"/>
  <c r="O17" i="24"/>
  <c r="K17" i="24"/>
  <c r="K20" i="24" s="1"/>
  <c r="J17" i="24"/>
  <c r="F15" i="12" s="1"/>
  <c r="I17" i="24"/>
  <c r="I20" i="24" s="1"/>
  <c r="F17" i="24"/>
  <c r="D15" i="12" s="1"/>
  <c r="E17" i="24"/>
  <c r="C15" i="12" s="1"/>
  <c r="D17" i="24"/>
  <c r="C17" i="24"/>
  <c r="B17" i="24"/>
  <c r="X16" i="24"/>
  <c r="Y16" i="24" s="1"/>
  <c r="V16" i="24"/>
  <c r="W16" i="24" s="1"/>
  <c r="Q16" i="24"/>
  <c r="R16" i="24" s="1"/>
  <c r="L16" i="24"/>
  <c r="M16" i="24" s="1"/>
  <c r="H16" i="24"/>
  <c r="G16" i="24"/>
  <c r="V15" i="24"/>
  <c r="W15" i="24" s="1"/>
  <c r="Q15" i="24"/>
  <c r="R15" i="24" s="1"/>
  <c r="L15" i="24"/>
  <c r="M15" i="24" s="1"/>
  <c r="G15" i="24"/>
  <c r="H15" i="24" s="1"/>
  <c r="V14" i="24"/>
  <c r="W14" i="24" s="1"/>
  <c r="Q14" i="24"/>
  <c r="R14" i="24" s="1"/>
  <c r="E14" i="24"/>
  <c r="C12" i="12" s="1"/>
  <c r="D14" i="24"/>
  <c r="C14" i="24"/>
  <c r="B14" i="24"/>
  <c r="X13" i="24"/>
  <c r="Y13" i="24" s="1"/>
  <c r="V13" i="24"/>
  <c r="W13" i="24" s="1"/>
  <c r="Q13" i="24"/>
  <c r="R13" i="24" s="1"/>
  <c r="L13" i="24"/>
  <c r="M13" i="24" s="1"/>
  <c r="G13" i="24"/>
  <c r="H13" i="24" s="1"/>
  <c r="X12" i="24"/>
  <c r="Y12" i="24" s="1"/>
  <c r="V12" i="24"/>
  <c r="W12" i="24" s="1"/>
  <c r="Q12" i="24"/>
  <c r="R12" i="24" s="1"/>
  <c r="L12" i="24"/>
  <c r="M12" i="24" s="1"/>
  <c r="G12" i="24"/>
  <c r="H12" i="24" s="1"/>
  <c r="X11" i="24"/>
  <c r="Y11" i="24" s="1"/>
  <c r="V11" i="24"/>
  <c r="W11" i="24" s="1"/>
  <c r="Q11" i="24"/>
  <c r="R11" i="24" s="1"/>
  <c r="L11" i="24"/>
  <c r="M11" i="24" s="1"/>
  <c r="G11" i="24"/>
  <c r="H11" i="24" s="1"/>
  <c r="X10" i="24"/>
  <c r="Y10" i="24" s="1"/>
  <c r="V10" i="24"/>
  <c r="W10" i="24" s="1"/>
  <c r="R10" i="24"/>
  <c r="Q10" i="24"/>
  <c r="L10" i="24"/>
  <c r="M10" i="24" s="1"/>
  <c r="G10" i="24"/>
  <c r="H10" i="24" s="1"/>
  <c r="X9" i="24"/>
  <c r="Y9" i="24" s="1"/>
  <c r="V9" i="24"/>
  <c r="W9" i="24" s="1"/>
  <c r="Q9" i="24"/>
  <c r="R9" i="24" s="1"/>
  <c r="L9" i="24"/>
  <c r="M9" i="24" s="1"/>
  <c r="G9" i="24"/>
  <c r="H9" i="24" s="1"/>
  <c r="X8" i="24"/>
  <c r="Y8" i="24" s="1"/>
  <c r="V8" i="24"/>
  <c r="W8" i="24" s="1"/>
  <c r="Q8" i="24"/>
  <c r="R8" i="24" s="1"/>
  <c r="L8" i="24"/>
  <c r="M8" i="24" s="1"/>
  <c r="G8" i="24"/>
  <c r="H8" i="24" s="1"/>
  <c r="X7" i="24"/>
  <c r="Y7" i="24" s="1"/>
  <c r="V7" i="24"/>
  <c r="W7" i="24" s="1"/>
  <c r="Q7" i="24"/>
  <c r="R7" i="24" s="1"/>
  <c r="L7" i="24"/>
  <c r="M7" i="24" s="1"/>
  <c r="G7" i="24"/>
  <c r="H7" i="24" s="1"/>
  <c r="X6" i="24"/>
  <c r="Y6" i="24" s="1"/>
  <c r="V6" i="24"/>
  <c r="W6" i="24" s="1"/>
  <c r="Q6" i="24"/>
  <c r="R6" i="24" s="1"/>
  <c r="L6" i="24"/>
  <c r="M6" i="24" s="1"/>
  <c r="G6" i="24"/>
  <c r="H6" i="24" s="1"/>
  <c r="F13" i="10"/>
  <c r="G4" i="10"/>
  <c r="G5" i="10"/>
  <c r="K18" i="12" l="1"/>
  <c r="F18" i="12"/>
  <c r="M18" i="12"/>
  <c r="L18" i="12"/>
  <c r="J21" i="12"/>
  <c r="I18" i="12"/>
  <c r="B12" i="12"/>
  <c r="N12" i="12" s="1"/>
  <c r="O12" i="12" s="1"/>
  <c r="X14" i="24"/>
  <c r="Y14" i="24" s="1"/>
  <c r="I21" i="12"/>
  <c r="J18" i="12"/>
  <c r="B18" i="12"/>
  <c r="D18" i="12"/>
  <c r="Q23" i="24"/>
  <c r="R23" i="24" s="1"/>
  <c r="U29" i="24"/>
  <c r="K29" i="24"/>
  <c r="C18" i="12"/>
  <c r="H18" i="12"/>
  <c r="L28" i="24"/>
  <c r="M28" i="24" s="1"/>
  <c r="N27" i="26"/>
  <c r="Q17" i="24"/>
  <c r="R17" i="24" s="1"/>
  <c r="T29" i="24"/>
  <c r="N19" i="26"/>
  <c r="E15" i="12"/>
  <c r="E18" i="12" s="1"/>
  <c r="O20" i="24"/>
  <c r="O29" i="24" s="1"/>
  <c r="V28" i="24"/>
  <c r="W28" i="24" s="1"/>
  <c r="F20" i="24"/>
  <c r="F29" i="24" s="1"/>
  <c r="P20" i="24"/>
  <c r="X23" i="24"/>
  <c r="Y23" i="24" s="1"/>
  <c r="V23" i="24"/>
  <c r="W23" i="24" s="1"/>
  <c r="G15" i="12"/>
  <c r="G18" i="12" s="1"/>
  <c r="L21" i="12"/>
  <c r="H21" i="12"/>
  <c r="E20" i="24"/>
  <c r="E29" i="24" s="1"/>
  <c r="Y22" i="24"/>
  <c r="N23" i="26"/>
  <c r="X17" i="24"/>
  <c r="Y17" i="24" s="1"/>
  <c r="J20" i="24"/>
  <c r="J29" i="24" s="1"/>
  <c r="S29" i="24"/>
  <c r="V29" i="24" s="1"/>
  <c r="B15" i="12"/>
  <c r="N3" i="26"/>
  <c r="I29" i="24"/>
  <c r="P29" i="24"/>
  <c r="Q28" i="24"/>
  <c r="R28" i="24" s="1"/>
  <c r="G17" i="24"/>
  <c r="H17" i="24" s="1"/>
  <c r="V20" i="24"/>
  <c r="W20" i="24" s="1"/>
  <c r="D28" i="24"/>
  <c r="G28" i="24" s="1"/>
  <c r="H28" i="24" s="1"/>
  <c r="N29" i="24"/>
  <c r="L17" i="24"/>
  <c r="M17" i="24" s="1"/>
  <c r="D20" i="24"/>
  <c r="G14" i="24"/>
  <c r="H14" i="24" s="1"/>
  <c r="G23" i="24"/>
  <c r="H23" i="24" s="1"/>
  <c r="AR3" i="23"/>
  <c r="AR2" i="23"/>
  <c r="AR14" i="23"/>
  <c r="AN18" i="23"/>
  <c r="AM18" i="23"/>
  <c r="AO16" i="23"/>
  <c r="AO15" i="23"/>
  <c r="AO14" i="23"/>
  <c r="AO12" i="23"/>
  <c r="AO11" i="23"/>
  <c r="AO10" i="23"/>
  <c r="AO9" i="23"/>
  <c r="AO8" i="23"/>
  <c r="AO7" i="23"/>
  <c r="AO6" i="23"/>
  <c r="AO5" i="23"/>
  <c r="AO3" i="23"/>
  <c r="AO2" i="23"/>
  <c r="X20" i="24" l="1"/>
  <c r="N18" i="12"/>
  <c r="Q29" i="24"/>
  <c r="L29" i="24"/>
  <c r="Y20" i="24"/>
  <c r="X28" i="24"/>
  <c r="L20" i="24"/>
  <c r="M20" i="24" s="1"/>
  <c r="M29" i="24" s="1"/>
  <c r="Q20" i="24"/>
  <c r="R20" i="24" s="1"/>
  <c r="R29" i="24" s="1"/>
  <c r="E2" i="16"/>
  <c r="Y28" i="24"/>
  <c r="O3" i="26"/>
  <c r="W29" i="24"/>
  <c r="D29" i="24"/>
  <c r="X29" i="24"/>
  <c r="G20" i="24"/>
  <c r="Y29" i="24" l="1"/>
  <c r="H20" i="24"/>
  <c r="H29" i="24" s="1"/>
  <c r="G29" i="24"/>
  <c r="C103" i="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N582" i="30" l="1"/>
  <c r="M582" i="30"/>
  <c r="L582" i="30"/>
  <c r="K582" i="30"/>
  <c r="J582" i="30"/>
  <c r="I582" i="30"/>
  <c r="H582" i="30"/>
  <c r="G582" i="30"/>
  <c r="F582" i="30"/>
  <c r="E582" i="30"/>
  <c r="D582" i="30"/>
  <c r="C582" i="30"/>
  <c r="N581" i="30"/>
  <c r="M581" i="30"/>
  <c r="L581" i="30"/>
  <c r="K581" i="30"/>
  <c r="J581" i="30"/>
  <c r="I581" i="30"/>
  <c r="H581" i="30"/>
  <c r="G581" i="30"/>
  <c r="F581" i="30"/>
  <c r="E581" i="30"/>
  <c r="D581" i="30"/>
  <c r="C581" i="30"/>
  <c r="N580" i="30"/>
  <c r="M580" i="30"/>
  <c r="L580" i="30"/>
  <c r="K580" i="30"/>
  <c r="J580" i="30"/>
  <c r="I580" i="30"/>
  <c r="H580" i="30"/>
  <c r="G580" i="30"/>
  <c r="F580" i="30"/>
  <c r="E580" i="30"/>
  <c r="D580" i="30"/>
  <c r="C580" i="30"/>
  <c r="N579" i="30"/>
  <c r="M579" i="30"/>
  <c r="L579" i="30"/>
  <c r="K579" i="30"/>
  <c r="J579" i="30"/>
  <c r="I579" i="30"/>
  <c r="H579" i="30"/>
  <c r="G579" i="30"/>
  <c r="F579" i="30"/>
  <c r="E579" i="30"/>
  <c r="D579" i="30"/>
  <c r="C579" i="30"/>
  <c r="N578" i="30"/>
  <c r="M578" i="30"/>
  <c r="L578" i="30"/>
  <c r="K578" i="30"/>
  <c r="J578" i="30"/>
  <c r="I578" i="30"/>
  <c r="H578" i="30"/>
  <c r="G578" i="30"/>
  <c r="F578" i="30"/>
  <c r="E578" i="30"/>
  <c r="D578" i="30"/>
  <c r="C578" i="30"/>
  <c r="N577" i="30"/>
  <c r="M577" i="30"/>
  <c r="L577" i="30"/>
  <c r="K577" i="30"/>
  <c r="J577" i="30"/>
  <c r="I577" i="30"/>
  <c r="H577" i="30"/>
  <c r="G577" i="30"/>
  <c r="F577" i="30"/>
  <c r="E577" i="30"/>
  <c r="D577" i="30"/>
  <c r="C577" i="30"/>
  <c r="N576" i="30"/>
  <c r="M576" i="30"/>
  <c r="L576" i="30"/>
  <c r="K576" i="30"/>
  <c r="J576" i="30"/>
  <c r="I576" i="30"/>
  <c r="H576" i="30"/>
  <c r="G576" i="30"/>
  <c r="F576" i="30"/>
  <c r="E576" i="30"/>
  <c r="D576" i="30"/>
  <c r="C576" i="30"/>
  <c r="N575" i="30"/>
  <c r="M575" i="30"/>
  <c r="L575" i="30"/>
  <c r="K575" i="30"/>
  <c r="J575" i="30"/>
  <c r="I575" i="30"/>
  <c r="H575" i="30"/>
  <c r="G575" i="30"/>
  <c r="F575" i="30"/>
  <c r="E575" i="30"/>
  <c r="D575" i="30"/>
  <c r="C575" i="30"/>
  <c r="N574" i="30"/>
  <c r="M574" i="30"/>
  <c r="L574" i="30"/>
  <c r="K574" i="30"/>
  <c r="J574" i="30"/>
  <c r="I574" i="30"/>
  <c r="H574" i="30"/>
  <c r="G574" i="30"/>
  <c r="F574" i="30"/>
  <c r="E574" i="30"/>
  <c r="D574" i="30"/>
  <c r="C574" i="30"/>
  <c r="N573" i="30"/>
  <c r="M573" i="30"/>
  <c r="L573" i="30"/>
  <c r="K573" i="30"/>
  <c r="J573" i="30"/>
  <c r="I573" i="30"/>
  <c r="H573" i="30"/>
  <c r="G573" i="30"/>
  <c r="F573" i="30"/>
  <c r="E573" i="30"/>
  <c r="D573" i="30"/>
  <c r="C573" i="30"/>
  <c r="N572" i="30"/>
  <c r="M572" i="30"/>
  <c r="L572" i="30"/>
  <c r="K572" i="30"/>
  <c r="J572" i="30"/>
  <c r="I572" i="30"/>
  <c r="H572" i="30"/>
  <c r="G572" i="30"/>
  <c r="F572" i="30"/>
  <c r="E572" i="30"/>
  <c r="D572" i="30"/>
  <c r="C572" i="30"/>
  <c r="N571" i="30"/>
  <c r="M571" i="30"/>
  <c r="L571" i="30"/>
  <c r="K571" i="30"/>
  <c r="J571" i="30"/>
  <c r="I571" i="30"/>
  <c r="H571" i="30"/>
  <c r="G571" i="30"/>
  <c r="F571" i="30"/>
  <c r="E571" i="30"/>
  <c r="D571" i="30"/>
  <c r="C571" i="30"/>
  <c r="N570" i="30"/>
  <c r="M570" i="30"/>
  <c r="L570" i="30"/>
  <c r="K570" i="30"/>
  <c r="J570" i="30"/>
  <c r="I570" i="30"/>
  <c r="H570" i="30"/>
  <c r="G570" i="30"/>
  <c r="F570" i="30"/>
  <c r="E570" i="30"/>
  <c r="D570" i="30"/>
  <c r="C570" i="30"/>
  <c r="N569" i="30"/>
  <c r="M569" i="30"/>
  <c r="L569" i="30"/>
  <c r="K569" i="30"/>
  <c r="J569" i="30"/>
  <c r="I569" i="30"/>
  <c r="H569" i="30"/>
  <c r="G569" i="30"/>
  <c r="F569" i="30"/>
  <c r="E569" i="30"/>
  <c r="D569" i="30"/>
  <c r="C569" i="30"/>
  <c r="N568" i="30"/>
  <c r="M568" i="30"/>
  <c r="L568" i="30"/>
  <c r="K568" i="30"/>
  <c r="J568" i="30"/>
  <c r="I568" i="30"/>
  <c r="H568" i="30"/>
  <c r="G568" i="30"/>
  <c r="F568" i="30"/>
  <c r="E568" i="30"/>
  <c r="D568" i="30"/>
  <c r="C568" i="30"/>
  <c r="N567" i="30"/>
  <c r="M567" i="30"/>
  <c r="L567" i="30"/>
  <c r="K567" i="30"/>
  <c r="J567" i="30"/>
  <c r="I567" i="30"/>
  <c r="H567" i="30"/>
  <c r="G567" i="30"/>
  <c r="F567" i="30"/>
  <c r="E567" i="30"/>
  <c r="D567" i="30"/>
  <c r="C567" i="30"/>
  <c r="N566" i="30"/>
  <c r="M566" i="30"/>
  <c r="L566" i="30"/>
  <c r="K566" i="30"/>
  <c r="J566" i="30"/>
  <c r="I566" i="30"/>
  <c r="H566" i="30"/>
  <c r="G566" i="30"/>
  <c r="F566" i="30"/>
  <c r="E566" i="30"/>
  <c r="D566" i="30"/>
  <c r="C566" i="30"/>
  <c r="O562" i="30"/>
  <c r="O561" i="30"/>
  <c r="O560" i="30"/>
  <c r="O559" i="30"/>
  <c r="O558" i="30"/>
  <c r="O557" i="30"/>
  <c r="O556" i="30"/>
  <c r="O553" i="30"/>
  <c r="P553" i="30" s="1"/>
  <c r="Q553" i="30" s="1"/>
  <c r="O552" i="30"/>
  <c r="O551" i="30"/>
  <c r="O550" i="30"/>
  <c r="O549" i="30"/>
  <c r="P549" i="30" s="1"/>
  <c r="Q549" i="30" s="1"/>
  <c r="O548" i="30"/>
  <c r="O547" i="30"/>
  <c r="O546" i="30"/>
  <c r="O545" i="30"/>
  <c r="O544" i="30"/>
  <c r="O543" i="30"/>
  <c r="O542" i="30"/>
  <c r="O541" i="30"/>
  <c r="P541" i="30" s="1"/>
  <c r="Q541" i="30" s="1"/>
  <c r="O540" i="30"/>
  <c r="O539" i="30"/>
  <c r="O538" i="30"/>
  <c r="O537" i="30"/>
  <c r="O533" i="30"/>
  <c r="O532" i="30"/>
  <c r="O531" i="30"/>
  <c r="O530" i="30"/>
  <c r="O529" i="30"/>
  <c r="O528" i="30"/>
  <c r="O527" i="30"/>
  <c r="O526" i="30"/>
  <c r="O525" i="30"/>
  <c r="O524" i="30"/>
  <c r="O523" i="30"/>
  <c r="O522" i="30"/>
  <c r="O521" i="30"/>
  <c r="O520" i="30"/>
  <c r="O519" i="30"/>
  <c r="O518" i="30"/>
  <c r="O517" i="30"/>
  <c r="O514" i="30"/>
  <c r="O513" i="30"/>
  <c r="O512" i="30"/>
  <c r="O511" i="30"/>
  <c r="O510" i="30"/>
  <c r="P511" i="30" s="1"/>
  <c r="Q511" i="30" s="1"/>
  <c r="O509" i="30"/>
  <c r="O508" i="30"/>
  <c r="O507" i="30"/>
  <c r="O506" i="30"/>
  <c r="P507" i="30" s="1"/>
  <c r="Q507" i="30" s="1"/>
  <c r="O505" i="30"/>
  <c r="O504" i="30"/>
  <c r="O503" i="30"/>
  <c r="O502" i="30"/>
  <c r="P503" i="30" s="1"/>
  <c r="Q503" i="30" s="1"/>
  <c r="O501" i="30"/>
  <c r="O500" i="30"/>
  <c r="O499" i="30"/>
  <c r="O498" i="30"/>
  <c r="P499" i="30" s="1"/>
  <c r="Q499" i="30" s="1"/>
  <c r="O495" i="30"/>
  <c r="O494" i="30"/>
  <c r="O493" i="30"/>
  <c r="O492" i="30"/>
  <c r="P492" i="30" s="1"/>
  <c r="Q492" i="30" s="1"/>
  <c r="O491" i="30"/>
  <c r="O490" i="30"/>
  <c r="O489" i="30"/>
  <c r="O488" i="30"/>
  <c r="P488" i="30" s="1"/>
  <c r="Q488" i="30" s="1"/>
  <c r="O487" i="30"/>
  <c r="O486" i="30"/>
  <c r="O485" i="30"/>
  <c r="O484" i="30"/>
  <c r="P484" i="30" s="1"/>
  <c r="Q484" i="30" s="1"/>
  <c r="O483" i="30"/>
  <c r="O482" i="30"/>
  <c r="O481" i="30"/>
  <c r="O480" i="30"/>
  <c r="O479" i="30"/>
  <c r="O475" i="30"/>
  <c r="O474" i="30"/>
  <c r="O473" i="30"/>
  <c r="P474" i="30" s="1"/>
  <c r="Q474" i="30" s="1"/>
  <c r="O472" i="30"/>
  <c r="O471" i="30"/>
  <c r="O470" i="30"/>
  <c r="O469" i="30"/>
  <c r="P470" i="30" s="1"/>
  <c r="Q470" i="30" s="1"/>
  <c r="O468" i="30"/>
  <c r="O467" i="30"/>
  <c r="O466" i="30"/>
  <c r="O465" i="30"/>
  <c r="P466" i="30" s="1"/>
  <c r="Q466" i="30" s="1"/>
  <c r="O464" i="30"/>
  <c r="O463" i="30"/>
  <c r="O462" i="30"/>
  <c r="O461" i="30"/>
  <c r="P462" i="30" s="1"/>
  <c r="Q462" i="30" s="1"/>
  <c r="O460" i="30"/>
  <c r="O459" i="30"/>
  <c r="O456" i="30"/>
  <c r="O455" i="30"/>
  <c r="P455" i="30" s="1"/>
  <c r="Q455" i="30" s="1"/>
  <c r="O454" i="30"/>
  <c r="O453" i="30"/>
  <c r="O452" i="30"/>
  <c r="O451" i="30"/>
  <c r="P451" i="30" s="1"/>
  <c r="Q451" i="30" s="1"/>
  <c r="O450" i="30"/>
  <c r="O449" i="30"/>
  <c r="O448" i="30"/>
  <c r="O447" i="30"/>
  <c r="O446" i="30"/>
  <c r="O445" i="30"/>
  <c r="P446" i="30" s="1"/>
  <c r="Q446" i="30" s="1"/>
  <c r="O444" i="30"/>
  <c r="O443" i="30"/>
  <c r="O442" i="30"/>
  <c r="O441" i="30"/>
  <c r="O440" i="30"/>
  <c r="P441" i="30" s="1"/>
  <c r="Q441" i="30" s="1"/>
  <c r="O437" i="30"/>
  <c r="O436" i="30"/>
  <c r="P436" i="30" s="1"/>
  <c r="Q436" i="30" s="1"/>
  <c r="O435" i="30"/>
  <c r="O434" i="30"/>
  <c r="O433" i="30"/>
  <c r="O432" i="30"/>
  <c r="P433" i="30" s="1"/>
  <c r="Q433" i="30" s="1"/>
  <c r="O431" i="30"/>
  <c r="O430" i="30"/>
  <c r="O429" i="30"/>
  <c r="O428" i="30"/>
  <c r="O427" i="30"/>
  <c r="O426" i="30"/>
  <c r="O425" i="30"/>
  <c r="O424" i="30"/>
  <c r="O423" i="30"/>
  <c r="O422" i="30"/>
  <c r="O421" i="30"/>
  <c r="O417" i="30"/>
  <c r="O416" i="30"/>
  <c r="O415" i="30"/>
  <c r="O414" i="30"/>
  <c r="O413" i="30"/>
  <c r="O412" i="30"/>
  <c r="O411" i="30"/>
  <c r="P411" i="30" s="1"/>
  <c r="Q411" i="30" s="1"/>
  <c r="O410" i="30"/>
  <c r="O409" i="30"/>
  <c r="O408" i="30"/>
  <c r="O407" i="30"/>
  <c r="P407" i="30" s="1"/>
  <c r="Q407" i="30" s="1"/>
  <c r="O406" i="30"/>
  <c r="O405" i="30"/>
  <c r="O404" i="30"/>
  <c r="O403" i="30"/>
  <c r="O402" i="30"/>
  <c r="O401" i="30"/>
  <c r="O398" i="30"/>
  <c r="O397" i="30"/>
  <c r="P397" i="30" s="1"/>
  <c r="Q397" i="30" s="1"/>
  <c r="O396" i="30"/>
  <c r="O395" i="30"/>
  <c r="O394" i="30"/>
  <c r="O393" i="30"/>
  <c r="P393" i="30" s="1"/>
  <c r="Q393" i="30" s="1"/>
  <c r="O392" i="30"/>
  <c r="O391" i="30"/>
  <c r="O390" i="30"/>
  <c r="O389" i="30"/>
  <c r="O388" i="30"/>
  <c r="O387" i="30"/>
  <c r="O386" i="30"/>
  <c r="O385" i="30"/>
  <c r="O384" i="30"/>
  <c r="O383" i="30"/>
  <c r="O382" i="30"/>
  <c r="O379" i="30"/>
  <c r="P379" i="30" s="1"/>
  <c r="Q379" i="30" s="1"/>
  <c r="O378" i="30"/>
  <c r="O377" i="30"/>
  <c r="O376" i="30"/>
  <c r="O375" i="30"/>
  <c r="P375" i="30" s="1"/>
  <c r="Q375" i="30" s="1"/>
  <c r="O374" i="30"/>
  <c r="O373" i="30"/>
  <c r="P373" i="30" s="1"/>
  <c r="Q373" i="30" s="1"/>
  <c r="O372" i="30"/>
  <c r="O371" i="30"/>
  <c r="O370" i="30"/>
  <c r="O369" i="30"/>
  <c r="O368" i="30"/>
  <c r="O367" i="30"/>
  <c r="P367" i="30" s="1"/>
  <c r="Q367" i="30" s="1"/>
  <c r="O366" i="30"/>
  <c r="O365" i="30"/>
  <c r="P365" i="30" s="1"/>
  <c r="Q365" i="30" s="1"/>
  <c r="O364" i="30"/>
  <c r="O363" i="30"/>
  <c r="O359" i="30"/>
  <c r="O358" i="30"/>
  <c r="O357" i="30"/>
  <c r="O356" i="30"/>
  <c r="O355" i="30"/>
  <c r="O354" i="30"/>
  <c r="O353" i="30"/>
  <c r="O352" i="30"/>
  <c r="O351" i="30"/>
  <c r="P351" i="30" s="1"/>
  <c r="Q351" i="30" s="1"/>
  <c r="O350" i="30"/>
  <c r="O349" i="30"/>
  <c r="O348" i="30"/>
  <c r="O347" i="30"/>
  <c r="O346" i="30"/>
  <c r="O345" i="30"/>
  <c r="O344" i="30"/>
  <c r="O343" i="30"/>
  <c r="O340" i="30"/>
  <c r="O339" i="30"/>
  <c r="O338" i="30"/>
  <c r="O337" i="30"/>
  <c r="O336" i="30"/>
  <c r="O335" i="30"/>
  <c r="O334" i="30"/>
  <c r="O333" i="30"/>
  <c r="O332" i="30"/>
  <c r="O331" i="30"/>
  <c r="O330" i="30"/>
  <c r="O329" i="30"/>
  <c r="O328" i="30"/>
  <c r="O327" i="30"/>
  <c r="O326" i="30"/>
  <c r="O325" i="30"/>
  <c r="O324" i="30"/>
  <c r="O321" i="30"/>
  <c r="O320" i="30"/>
  <c r="O319" i="30"/>
  <c r="O318" i="30"/>
  <c r="O317" i="30"/>
  <c r="O316" i="30"/>
  <c r="O315" i="30"/>
  <c r="O314" i="30"/>
  <c r="O313" i="30"/>
  <c r="O312" i="30"/>
  <c r="O311" i="30"/>
  <c r="O310" i="30"/>
  <c r="O309" i="30"/>
  <c r="O308" i="30"/>
  <c r="O307" i="30"/>
  <c r="O306" i="30"/>
  <c r="O305" i="30"/>
  <c r="P480" i="30" l="1"/>
  <c r="Q480" i="30" s="1"/>
  <c r="P434" i="30"/>
  <c r="Q434" i="30" s="1"/>
  <c r="P545" i="30"/>
  <c r="Q545" i="30" s="1"/>
  <c r="P308" i="30"/>
  <c r="Q308" i="30" s="1"/>
  <c r="P387" i="30"/>
  <c r="Q387" i="30" s="1"/>
  <c r="P326" i="30"/>
  <c r="Q326" i="30" s="1"/>
  <c r="P336" i="30"/>
  <c r="Q336" i="30" s="1"/>
  <c r="P447" i="30"/>
  <c r="Q447" i="30" s="1"/>
  <c r="P344" i="30"/>
  <c r="Q344" i="30" s="1"/>
  <c r="P415" i="30"/>
  <c r="Q415" i="30" s="1"/>
  <c r="P403" i="30"/>
  <c r="Q403" i="30" s="1"/>
  <c r="P315" i="30"/>
  <c r="Q315" i="30" s="1"/>
  <c r="P330" i="30"/>
  <c r="Q330" i="30" s="1"/>
  <c r="P359" i="30"/>
  <c r="Q359" i="30" s="1"/>
  <c r="P385" i="30"/>
  <c r="Q385" i="30" s="1"/>
  <c r="P348" i="30"/>
  <c r="Q348" i="30" s="1"/>
  <c r="P364" i="30"/>
  <c r="Q364" i="30" s="1"/>
  <c r="P338" i="30"/>
  <c r="Q338" i="30" s="1"/>
  <c r="P317" i="30"/>
  <c r="Q317" i="30" s="1"/>
  <c r="P352" i="30"/>
  <c r="Q352" i="30" s="1"/>
  <c r="P370" i="30"/>
  <c r="Q370" i="30" s="1"/>
  <c r="P388" i="30"/>
  <c r="Q388" i="30" s="1"/>
  <c r="P437" i="30"/>
  <c r="Q437" i="30" s="1"/>
  <c r="P460" i="30"/>
  <c r="Q460" i="30" s="1"/>
  <c r="P464" i="30"/>
  <c r="Q464" i="30" s="1"/>
  <c r="P468" i="30"/>
  <c r="Q468" i="30" s="1"/>
  <c r="P472" i="30"/>
  <c r="Q472" i="30" s="1"/>
  <c r="P501" i="30"/>
  <c r="Q501" i="30" s="1"/>
  <c r="P505" i="30"/>
  <c r="Q505" i="30" s="1"/>
  <c r="P509" i="30"/>
  <c r="Q509" i="30" s="1"/>
  <c r="P513" i="30"/>
  <c r="Q513" i="30" s="1"/>
  <c r="P538" i="30"/>
  <c r="Q538" i="30" s="1"/>
  <c r="P542" i="30"/>
  <c r="Q542" i="30" s="1"/>
  <c r="P546" i="30"/>
  <c r="Q546" i="30" s="1"/>
  <c r="P550" i="30"/>
  <c r="Q550" i="30" s="1"/>
  <c r="P560" i="30"/>
  <c r="Q560" i="30" s="1"/>
  <c r="P333" i="30"/>
  <c r="Q333" i="30" s="1"/>
  <c r="P354" i="30"/>
  <c r="Q354" i="30" s="1"/>
  <c r="P358" i="30"/>
  <c r="Q358" i="30" s="1"/>
  <c r="P390" i="30"/>
  <c r="Q390" i="30" s="1"/>
  <c r="P394" i="30"/>
  <c r="Q394" i="30" s="1"/>
  <c r="P398" i="30"/>
  <c r="Q398" i="30" s="1"/>
  <c r="P404" i="30"/>
  <c r="Q404" i="30" s="1"/>
  <c r="P409" i="30"/>
  <c r="Q409" i="30" s="1"/>
  <c r="P412" i="30"/>
  <c r="Q412" i="30" s="1"/>
  <c r="P417" i="30"/>
  <c r="Q417" i="30" s="1"/>
  <c r="P423" i="30"/>
  <c r="Q423" i="30" s="1"/>
  <c r="P427" i="30"/>
  <c r="Q427" i="30" s="1"/>
  <c r="P431" i="30"/>
  <c r="Q431" i="30" s="1"/>
  <c r="P444" i="30"/>
  <c r="Q444" i="30" s="1"/>
  <c r="P518" i="30"/>
  <c r="Q518" i="30" s="1"/>
  <c r="P312" i="30"/>
  <c r="Q312" i="30" s="1"/>
  <c r="P345" i="30"/>
  <c r="Q345" i="30" s="1"/>
  <c r="P356" i="30"/>
  <c r="Q356" i="30" s="1"/>
  <c r="P428" i="30"/>
  <c r="Q428" i="30" s="1"/>
  <c r="P452" i="30"/>
  <c r="Q452" i="30" s="1"/>
  <c r="P485" i="30"/>
  <c r="Q485" i="30" s="1"/>
  <c r="P528" i="30"/>
  <c r="Q528" i="30" s="1"/>
  <c r="O579" i="30"/>
  <c r="P334" i="30"/>
  <c r="Q334" i="30" s="1"/>
  <c r="P349" i="30"/>
  <c r="Q349" i="30" s="1"/>
  <c r="P377" i="30"/>
  <c r="Q377" i="30" s="1"/>
  <c r="P424" i="30"/>
  <c r="Q424" i="30" s="1"/>
  <c r="P456" i="30"/>
  <c r="Q456" i="30" s="1"/>
  <c r="P481" i="30"/>
  <c r="Q481" i="30" s="1"/>
  <c r="P493" i="30"/>
  <c r="Q493" i="30" s="1"/>
  <c r="P524" i="30"/>
  <c r="Q524" i="30" s="1"/>
  <c r="P557" i="30"/>
  <c r="Q557" i="30" s="1"/>
  <c r="P307" i="30"/>
  <c r="Q307" i="30" s="1"/>
  <c r="P309" i="30"/>
  <c r="Q309" i="30" s="1"/>
  <c r="P316" i="30"/>
  <c r="Q316" i="30" s="1"/>
  <c r="P332" i="30"/>
  <c r="Q332" i="30" s="1"/>
  <c r="P337" i="30"/>
  <c r="Q337" i="30" s="1"/>
  <c r="P346" i="30"/>
  <c r="Q346" i="30" s="1"/>
  <c r="P350" i="30"/>
  <c r="Q350" i="30" s="1"/>
  <c r="P353" i="30"/>
  <c r="Q353" i="30" s="1"/>
  <c r="P357" i="30"/>
  <c r="Q357" i="30" s="1"/>
  <c r="P369" i="30"/>
  <c r="Q369" i="30" s="1"/>
  <c r="P374" i="30"/>
  <c r="Q374" i="30" s="1"/>
  <c r="P383" i="30"/>
  <c r="Q383" i="30" s="1"/>
  <c r="P386" i="30"/>
  <c r="Q386" i="30" s="1"/>
  <c r="P389" i="30"/>
  <c r="Q389" i="30" s="1"/>
  <c r="P402" i="30"/>
  <c r="Q402" i="30" s="1"/>
  <c r="P406" i="30"/>
  <c r="Q406" i="30" s="1"/>
  <c r="P410" i="30"/>
  <c r="Q410" i="30" s="1"/>
  <c r="P414" i="30"/>
  <c r="Q414" i="30" s="1"/>
  <c r="P422" i="30"/>
  <c r="Q422" i="30" s="1"/>
  <c r="P425" i="30"/>
  <c r="Q425" i="30" s="1"/>
  <c r="P430" i="30"/>
  <c r="Q430" i="30" s="1"/>
  <c r="P435" i="30"/>
  <c r="Q435" i="30" s="1"/>
  <c r="P445" i="30"/>
  <c r="Q445" i="30" s="1"/>
  <c r="P450" i="30"/>
  <c r="Q450" i="30" s="1"/>
  <c r="P454" i="30"/>
  <c r="Q454" i="30" s="1"/>
  <c r="P463" i="30"/>
  <c r="Q463" i="30" s="1"/>
  <c r="P467" i="30"/>
  <c r="Q467" i="30" s="1"/>
  <c r="P471" i="30"/>
  <c r="Q471" i="30" s="1"/>
  <c r="P475" i="30"/>
  <c r="Q475" i="30" s="1"/>
  <c r="P483" i="30"/>
  <c r="Q483" i="30" s="1"/>
  <c r="P487" i="30"/>
  <c r="Q487" i="30" s="1"/>
  <c r="P491" i="30"/>
  <c r="Q491" i="30" s="1"/>
  <c r="P495" i="30"/>
  <c r="Q495" i="30" s="1"/>
  <c r="P500" i="30"/>
  <c r="Q500" i="30" s="1"/>
  <c r="P504" i="30"/>
  <c r="Q504" i="30" s="1"/>
  <c r="P508" i="30"/>
  <c r="Q508" i="30" s="1"/>
  <c r="P512" i="30"/>
  <c r="Q512" i="30" s="1"/>
  <c r="P519" i="30"/>
  <c r="Q519" i="30" s="1"/>
  <c r="P521" i="30"/>
  <c r="Q521" i="30" s="1"/>
  <c r="P525" i="30"/>
  <c r="Q525" i="30" s="1"/>
  <c r="P529" i="30"/>
  <c r="Q529" i="30" s="1"/>
  <c r="P533" i="30"/>
  <c r="Q533" i="30" s="1"/>
  <c r="P540" i="30"/>
  <c r="Q540" i="30" s="1"/>
  <c r="P544" i="30"/>
  <c r="Q544" i="30" s="1"/>
  <c r="P548" i="30"/>
  <c r="Q548" i="30" s="1"/>
  <c r="P552" i="30"/>
  <c r="Q552" i="30" s="1"/>
  <c r="P558" i="30"/>
  <c r="Q558" i="30" s="1"/>
  <c r="P562" i="30"/>
  <c r="Q562" i="30" s="1"/>
  <c r="P328" i="30"/>
  <c r="Q328" i="30" s="1"/>
  <c r="P340" i="30"/>
  <c r="Q340" i="30" s="1"/>
  <c r="P371" i="30"/>
  <c r="Q371" i="30" s="1"/>
  <c r="P395" i="30"/>
  <c r="Q395" i="30" s="1"/>
  <c r="P489" i="30"/>
  <c r="Q489" i="30" s="1"/>
  <c r="P520" i="30"/>
  <c r="Q520" i="30" s="1"/>
  <c r="P532" i="30"/>
  <c r="Q532" i="30" s="1"/>
  <c r="P561" i="30"/>
  <c r="Q561" i="30" s="1"/>
  <c r="P311" i="30"/>
  <c r="Q311" i="30" s="1"/>
  <c r="P313" i="30"/>
  <c r="Q313" i="30" s="1"/>
  <c r="P329" i="30"/>
  <c r="Q329" i="30" s="1"/>
  <c r="P335" i="30"/>
  <c r="Q335" i="30" s="1"/>
  <c r="P366" i="30"/>
  <c r="Q366" i="30" s="1"/>
  <c r="P372" i="30"/>
  <c r="Q372" i="30" s="1"/>
  <c r="P378" i="30"/>
  <c r="Q378" i="30" s="1"/>
  <c r="P442" i="30"/>
  <c r="Q442" i="30" s="1"/>
  <c r="P443" i="30"/>
  <c r="Q443" i="30" s="1"/>
  <c r="P523" i="30"/>
  <c r="Q523" i="30" s="1"/>
  <c r="P527" i="30"/>
  <c r="Q527" i="30" s="1"/>
  <c r="P531" i="30"/>
  <c r="Q531" i="30" s="1"/>
  <c r="O566" i="30"/>
  <c r="O567" i="30"/>
  <c r="P567" i="30" s="1"/>
  <c r="Q567" i="30" s="1"/>
  <c r="O568" i="30"/>
  <c r="P568" i="30" s="1"/>
  <c r="O569" i="30"/>
  <c r="P569" i="30" s="1"/>
  <c r="O570" i="30"/>
  <c r="P570" i="30" s="1"/>
  <c r="O571" i="30"/>
  <c r="P571" i="30" s="1"/>
  <c r="Q571" i="30" s="1"/>
  <c r="O572" i="30"/>
  <c r="P572" i="30" s="1"/>
  <c r="O573" i="30"/>
  <c r="P573" i="30" s="1"/>
  <c r="O574" i="30"/>
  <c r="O575" i="30"/>
  <c r="P576" i="30" s="1"/>
  <c r="Q576" i="30" s="1"/>
  <c r="O576" i="30"/>
  <c r="O577" i="30"/>
  <c r="O578" i="30"/>
  <c r="P331" i="30"/>
  <c r="Q331" i="30" s="1"/>
  <c r="P339" i="30"/>
  <c r="Q339" i="30" s="1"/>
  <c r="P368" i="30"/>
  <c r="Q368" i="30" s="1"/>
  <c r="P376" i="30"/>
  <c r="Q376" i="30" s="1"/>
  <c r="P384" i="30"/>
  <c r="Q384" i="30" s="1"/>
  <c r="P306" i="30"/>
  <c r="Q306" i="30" s="1"/>
  <c r="P310" i="30"/>
  <c r="Q310" i="30" s="1"/>
  <c r="P314" i="30"/>
  <c r="Q314" i="30" s="1"/>
  <c r="P318" i="30"/>
  <c r="Q318" i="30" s="1"/>
  <c r="P325" i="30"/>
  <c r="Q325" i="30" s="1"/>
  <c r="P327" i="30"/>
  <c r="Q327" i="30" s="1"/>
  <c r="P347" i="30"/>
  <c r="Q347" i="30" s="1"/>
  <c r="P355" i="30"/>
  <c r="Q355" i="30" s="1"/>
  <c r="P391" i="30"/>
  <c r="Q391" i="30" s="1"/>
  <c r="P392" i="30"/>
  <c r="Q392" i="30" s="1"/>
  <c r="P319" i="30"/>
  <c r="Q319" i="30" s="1"/>
  <c r="O582" i="30"/>
  <c r="P321" i="30"/>
  <c r="Q321" i="30" s="1"/>
  <c r="O581" i="30"/>
  <c r="O580" i="30"/>
  <c r="P320" i="30"/>
  <c r="Q320" i="30" s="1"/>
  <c r="P408" i="30"/>
  <c r="Q408" i="30" s="1"/>
  <c r="P416" i="30"/>
  <c r="Q416" i="30" s="1"/>
  <c r="P429" i="30"/>
  <c r="Q429" i="30" s="1"/>
  <c r="P396" i="30"/>
  <c r="Q396" i="30" s="1"/>
  <c r="P405" i="30"/>
  <c r="Q405" i="30" s="1"/>
  <c r="P413" i="30"/>
  <c r="Q413" i="30" s="1"/>
  <c r="P426" i="30"/>
  <c r="Q426" i="30" s="1"/>
  <c r="P448" i="30"/>
  <c r="Q448" i="30" s="1"/>
  <c r="P449" i="30"/>
  <c r="Q449" i="30" s="1"/>
  <c r="P432" i="30"/>
  <c r="Q432" i="30" s="1"/>
  <c r="P453" i="30"/>
  <c r="Q453" i="30" s="1"/>
  <c r="P461" i="30"/>
  <c r="Q461" i="30" s="1"/>
  <c r="P465" i="30"/>
  <c r="Q465" i="30" s="1"/>
  <c r="P469" i="30"/>
  <c r="Q469" i="30" s="1"/>
  <c r="P473" i="30"/>
  <c r="Q473" i="30" s="1"/>
  <c r="P482" i="30"/>
  <c r="Q482" i="30" s="1"/>
  <c r="P486" i="30"/>
  <c r="Q486" i="30" s="1"/>
  <c r="P490" i="30"/>
  <c r="Q490" i="30" s="1"/>
  <c r="P494" i="30"/>
  <c r="Q494" i="30" s="1"/>
  <c r="P502" i="30"/>
  <c r="Q502" i="30" s="1"/>
  <c r="P506" i="30"/>
  <c r="Q506" i="30" s="1"/>
  <c r="P510" i="30"/>
  <c r="Q510" i="30" s="1"/>
  <c r="P514" i="30"/>
  <c r="Q514" i="30" s="1"/>
  <c r="P522" i="30"/>
  <c r="Q522" i="30" s="1"/>
  <c r="P526" i="30"/>
  <c r="Q526" i="30" s="1"/>
  <c r="P530" i="30"/>
  <c r="Q530" i="30" s="1"/>
  <c r="P539" i="30"/>
  <c r="Q539" i="30" s="1"/>
  <c r="P543" i="30"/>
  <c r="Q543" i="30" s="1"/>
  <c r="P547" i="30"/>
  <c r="Q547" i="30" s="1"/>
  <c r="P551" i="30"/>
  <c r="Q551" i="30" s="1"/>
  <c r="P559" i="30"/>
  <c r="Q559" i="30" s="1"/>
  <c r="P575" i="30" l="1"/>
  <c r="Q575" i="30" s="1"/>
  <c r="Q572" i="30"/>
  <c r="R578" i="30" s="1"/>
  <c r="P578" i="30"/>
  <c r="Q578" i="30" s="1"/>
  <c r="Q568" i="30"/>
  <c r="R568" i="30" s="1"/>
  <c r="P577" i="30"/>
  <c r="Q577" i="30" s="1"/>
  <c r="P579" i="30"/>
  <c r="Q579" i="30" s="1"/>
  <c r="P582" i="30"/>
  <c r="Q582" i="30" s="1"/>
  <c r="G584" i="30"/>
  <c r="P574" i="30"/>
  <c r="Q574" i="30" s="1"/>
  <c r="Q570" i="30"/>
  <c r="P580" i="30"/>
  <c r="Q580" i="30" s="1"/>
  <c r="Q573" i="30"/>
  <c r="R576" i="30" s="1"/>
  <c r="Q569" i="30"/>
  <c r="R570" i="30" s="1"/>
  <c r="P581" i="30"/>
  <c r="Q581" i="30" s="1"/>
  <c r="R579" i="30" l="1"/>
  <c r="R582" i="30"/>
  <c r="R569" i="30"/>
  <c r="R571" i="30"/>
  <c r="R580" i="30"/>
  <c r="R577" i="30"/>
  <c r="R573" i="30"/>
  <c r="R581" i="30"/>
  <c r="R572" i="30"/>
  <c r="R574" i="30"/>
  <c r="R575" i="30"/>
  <c r="V46" i="24"/>
  <c r="X37" i="24"/>
  <c r="E43" i="11" l="1"/>
  <c r="F27" i="11"/>
  <c r="F20" i="11"/>
  <c r="F18" i="11"/>
  <c r="F17" i="11"/>
  <c r="F51" i="11" s="1"/>
  <c r="F16" i="11"/>
  <c r="F9" i="11"/>
  <c r="E6" i="16" s="1"/>
  <c r="D28" i="8"/>
  <c r="D18" i="8"/>
  <c r="D15" i="8"/>
  <c r="D12" i="8"/>
  <c r="D11" i="8"/>
  <c r="F11" i="8" s="1"/>
  <c r="D10" i="8"/>
  <c r="F10" i="8" s="1"/>
  <c r="D9" i="8"/>
  <c r="E9" i="16" l="1"/>
  <c r="F53" i="11"/>
  <c r="F52" i="11"/>
  <c r="E10" i="16"/>
  <c r="F50" i="11"/>
  <c r="G3" i="10"/>
  <c r="E108" i="21" l="1"/>
  <c r="E109" i="21"/>
  <c r="E112" i="21"/>
  <c r="E111" i="21"/>
  <c r="E99" i="21"/>
  <c r="E87" i="21"/>
  <c r="E81" i="21"/>
  <c r="F82" i="21" s="1"/>
  <c r="E67" i="21"/>
  <c r="E71" i="21"/>
  <c r="E50" i="21"/>
  <c r="E48" i="21"/>
  <c r="E49" i="21"/>
  <c r="E33" i="21"/>
  <c r="E32" i="21"/>
  <c r="E31" i="21"/>
  <c r="E20" i="21"/>
  <c r="F677" i="4"/>
  <c r="E603" i="4"/>
  <c r="E595" i="4"/>
  <c r="E594" i="4"/>
  <c r="E436" i="4"/>
  <c r="E445" i="4"/>
  <c r="E437" i="4"/>
  <c r="E388" i="4"/>
  <c r="E334" i="4"/>
  <c r="E343" i="4"/>
  <c r="E335" i="4"/>
  <c r="F604" i="4" l="1"/>
  <c r="H604" i="4" s="1"/>
  <c r="F446" i="4"/>
  <c r="H446" i="4" s="1"/>
  <c r="E286" i="4"/>
  <c r="E88" i="4"/>
  <c r="E80" i="4"/>
  <c r="H82" i="21" l="1"/>
  <c r="F25" i="11"/>
  <c r="F344" i="4"/>
  <c r="H344" i="4" s="1"/>
  <c r="E43" i="4" l="1"/>
  <c r="E657" i="4"/>
  <c r="E649" i="4"/>
  <c r="E648" i="4"/>
  <c r="E606" i="4"/>
  <c r="F658" i="4" l="1"/>
  <c r="E553" i="4"/>
  <c r="E545" i="4"/>
  <c r="E544" i="4"/>
  <c r="E499" i="4"/>
  <c r="E491" i="4"/>
  <c r="E490" i="4"/>
  <c r="E396" i="4"/>
  <c r="E387" i="4"/>
  <c r="F397" i="4" l="1"/>
  <c r="H397" i="4" s="1"/>
  <c r="F554" i="4"/>
  <c r="H554" i="4" s="1"/>
  <c r="F500" i="4"/>
  <c r="H500" i="4" s="1"/>
  <c r="E240" i="4"/>
  <c r="E232" i="4"/>
  <c r="E231" i="4"/>
  <c r="E189" i="4"/>
  <c r="E181" i="4"/>
  <c r="E180" i="4"/>
  <c r="E137" i="4"/>
  <c r="E129" i="4"/>
  <c r="E128" i="4"/>
  <c r="E35" i="4"/>
  <c r="F241" i="4" l="1"/>
  <c r="H241" i="4" s="1"/>
  <c r="F138" i="4"/>
  <c r="H138" i="4" s="1"/>
  <c r="F190" i="4"/>
  <c r="H190" i="4" s="1"/>
  <c r="G14" i="2"/>
  <c r="G8" i="10" l="1"/>
  <c r="G9" i="10"/>
  <c r="G10" i="10"/>
  <c r="G11" i="10"/>
  <c r="G12" i="10"/>
  <c r="G13" i="10"/>
  <c r="G14" i="10"/>
  <c r="G15" i="10"/>
  <c r="G16" i="10"/>
  <c r="G17" i="10"/>
  <c r="G18" i="10"/>
  <c r="G19" i="10"/>
  <c r="G20" i="10"/>
  <c r="G6"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7" i="10"/>
  <c r="P60" i="32"/>
  <c r="O60" i="32"/>
  <c r="N60" i="32"/>
  <c r="M60" i="32"/>
  <c r="L60" i="32"/>
  <c r="K60" i="32"/>
  <c r="J60" i="32"/>
  <c r="I60" i="32"/>
  <c r="H60" i="32"/>
  <c r="G60" i="32"/>
  <c r="F60" i="32"/>
  <c r="E60" i="32"/>
  <c r="D60" i="32"/>
  <c r="C60" i="32"/>
  <c r="B60" i="32"/>
  <c r="P59" i="32"/>
  <c r="O59" i="32"/>
  <c r="N59" i="32"/>
  <c r="M59" i="32"/>
  <c r="L59" i="32"/>
  <c r="K59" i="32"/>
  <c r="J59" i="32"/>
  <c r="I59" i="32"/>
  <c r="H59" i="32"/>
  <c r="G59" i="32"/>
  <c r="F59" i="32"/>
  <c r="E59" i="32"/>
  <c r="D59" i="32"/>
  <c r="C59" i="32"/>
  <c r="B59" i="32"/>
  <c r="P41" i="32"/>
  <c r="O41" i="32"/>
  <c r="N41" i="32"/>
  <c r="M41" i="32"/>
  <c r="L41" i="32"/>
  <c r="K41" i="32"/>
  <c r="J41" i="32"/>
  <c r="I41" i="32"/>
  <c r="H41" i="32"/>
  <c r="G41" i="32"/>
  <c r="F41" i="32"/>
  <c r="E41" i="32"/>
  <c r="D41" i="32"/>
  <c r="C41" i="32"/>
  <c r="B41" i="32"/>
  <c r="P40" i="32"/>
  <c r="O40" i="32"/>
  <c r="N40" i="32"/>
  <c r="M40" i="32"/>
  <c r="L40" i="32"/>
  <c r="K40" i="32"/>
  <c r="J40" i="32"/>
  <c r="I40" i="32"/>
  <c r="H40" i="32"/>
  <c r="G40" i="32"/>
  <c r="F40" i="32"/>
  <c r="E40" i="32"/>
  <c r="D40" i="32"/>
  <c r="C40" i="32"/>
  <c r="B40" i="32"/>
  <c r="Q26" i="32"/>
  <c r="Q41" i="32" l="1"/>
  <c r="Q60" i="32"/>
  <c r="B62" i="32" s="1"/>
  <c r="H63" i="32" l="1"/>
  <c r="G46" i="24"/>
  <c r="H46" i="24" s="1"/>
  <c r="X46" i="24"/>
  <c r="W46" i="24"/>
  <c r="N4" i="12"/>
  <c r="L7" i="26"/>
  <c r="K7" i="26"/>
  <c r="I7" i="26"/>
  <c r="F7" i="26"/>
  <c r="G7" i="26"/>
  <c r="E7" i="26"/>
  <c r="C7" i="26"/>
  <c r="D7" i="26"/>
  <c r="B7" i="26"/>
  <c r="E59" i="24"/>
  <c r="D59" i="24"/>
  <c r="X58" i="24"/>
  <c r="Y58" i="24" s="1"/>
  <c r="V58" i="24"/>
  <c r="W58" i="24" s="1"/>
  <c r="Q58" i="24"/>
  <c r="R58" i="24" s="1"/>
  <c r="L58" i="24"/>
  <c r="M58" i="24" s="1"/>
  <c r="G58" i="24"/>
  <c r="H58" i="24" s="1"/>
  <c r="Y57" i="24"/>
  <c r="V57" i="24"/>
  <c r="W57" i="24" s="1"/>
  <c r="Q57" i="24"/>
  <c r="R57" i="24" s="1"/>
  <c r="L57" i="24"/>
  <c r="M57" i="24" s="1"/>
  <c r="G57" i="24"/>
  <c r="H57" i="24" s="1"/>
  <c r="X56" i="24"/>
  <c r="Y56" i="24" s="1"/>
  <c r="V56" i="24"/>
  <c r="W56" i="24" s="1"/>
  <c r="Q56" i="24"/>
  <c r="R56" i="24" s="1"/>
  <c r="L56" i="24"/>
  <c r="M56" i="24" s="1"/>
  <c r="G56" i="24"/>
  <c r="H56" i="24" s="1"/>
  <c r="X55" i="24"/>
  <c r="Y55" i="24" s="1"/>
  <c r="V55" i="24"/>
  <c r="W55" i="24" s="1"/>
  <c r="Q55" i="24"/>
  <c r="R55" i="24" s="1"/>
  <c r="L55" i="24"/>
  <c r="M55" i="24" s="1"/>
  <c r="G55" i="24"/>
  <c r="H55" i="24" s="1"/>
  <c r="U54" i="24"/>
  <c r="T54" i="24"/>
  <c r="T59" i="24" s="1"/>
  <c r="S54" i="24"/>
  <c r="V54" i="24" s="1"/>
  <c r="W54" i="24" s="1"/>
  <c r="P54" i="24"/>
  <c r="O54" i="24"/>
  <c r="O59" i="24" s="1"/>
  <c r="N54" i="24"/>
  <c r="K54" i="24"/>
  <c r="K59" i="24" s="1"/>
  <c r="J54" i="24"/>
  <c r="J59" i="24" s="1"/>
  <c r="I54" i="24"/>
  <c r="F54" i="24"/>
  <c r="G54" i="24" s="1"/>
  <c r="H54" i="24" s="1"/>
  <c r="U53" i="24"/>
  <c r="S53" i="24"/>
  <c r="P53" i="24"/>
  <c r="N53" i="24"/>
  <c r="M53" i="24"/>
  <c r="L53" i="24"/>
  <c r="G53" i="24"/>
  <c r="H53" i="24" s="1"/>
  <c r="Y50" i="24"/>
  <c r="V50" i="24"/>
  <c r="W50" i="24" s="1"/>
  <c r="Q50" i="24"/>
  <c r="R50" i="24" s="1"/>
  <c r="L50" i="24"/>
  <c r="M50" i="24" s="1"/>
  <c r="G50" i="24"/>
  <c r="H50" i="24" s="1"/>
  <c r="X49" i="24"/>
  <c r="Y49" i="24" s="1"/>
  <c r="V49" i="24"/>
  <c r="W49" i="24" s="1"/>
  <c r="Q49" i="24"/>
  <c r="R49" i="24" s="1"/>
  <c r="L49" i="24"/>
  <c r="M49" i="24" s="1"/>
  <c r="G49" i="24"/>
  <c r="H49" i="24" s="1"/>
  <c r="U48" i="24"/>
  <c r="T48" i="24"/>
  <c r="S48" i="24"/>
  <c r="P48" i="24"/>
  <c r="O48" i="24"/>
  <c r="N48" i="24"/>
  <c r="Q48" i="24" s="1"/>
  <c r="R48" i="24" s="1"/>
  <c r="K48" i="24"/>
  <c r="J48" i="24"/>
  <c r="I48" i="24"/>
  <c r="F48" i="24"/>
  <c r="E48" i="24"/>
  <c r="D48" i="24"/>
  <c r="C48" i="24"/>
  <c r="B48" i="24"/>
  <c r="X47" i="24"/>
  <c r="Y47" i="24" s="1"/>
  <c r="V47" i="24"/>
  <c r="W47" i="24" s="1"/>
  <c r="Q47" i="24"/>
  <c r="R47" i="24" s="1"/>
  <c r="L47" i="24"/>
  <c r="M47" i="24" s="1"/>
  <c r="G47" i="24"/>
  <c r="H47" i="24" s="1"/>
  <c r="Q46" i="24"/>
  <c r="R46" i="24" s="1"/>
  <c r="L46" i="24"/>
  <c r="M46" i="24" s="1"/>
  <c r="U45" i="24"/>
  <c r="T45" i="24"/>
  <c r="S45" i="24"/>
  <c r="P45" i="24"/>
  <c r="O45" i="24"/>
  <c r="N45" i="24"/>
  <c r="K45" i="24"/>
  <c r="J45" i="24"/>
  <c r="J51" i="24" s="1"/>
  <c r="I45" i="24"/>
  <c r="L45" i="24" s="1"/>
  <c r="M45" i="24" s="1"/>
  <c r="F45" i="24"/>
  <c r="E45" i="24"/>
  <c r="D45" i="24"/>
  <c r="G45" i="24" s="1"/>
  <c r="H45" i="24" s="1"/>
  <c r="C45" i="24"/>
  <c r="B45" i="24"/>
  <c r="X44" i="24"/>
  <c r="Y44" i="24" s="1"/>
  <c r="V44" i="24"/>
  <c r="W44" i="24" s="1"/>
  <c r="Q44" i="24"/>
  <c r="R44" i="24" s="1"/>
  <c r="L44" i="24"/>
  <c r="M44" i="24" s="1"/>
  <c r="G44" i="24"/>
  <c r="H44" i="24" s="1"/>
  <c r="X43" i="24"/>
  <c r="Y43" i="24" s="1"/>
  <c r="V43" i="24"/>
  <c r="W43" i="24" s="1"/>
  <c r="R43" i="24"/>
  <c r="Q43" i="24"/>
  <c r="L43" i="24"/>
  <c r="M43" i="24" s="1"/>
  <c r="G43" i="24"/>
  <c r="H43" i="24" s="1"/>
  <c r="X42" i="24"/>
  <c r="Y42" i="24" s="1"/>
  <c r="V42" i="24"/>
  <c r="W42" i="24" s="1"/>
  <c r="Q42" i="24"/>
  <c r="R42" i="24" s="1"/>
  <c r="L42" i="24"/>
  <c r="M42" i="24" s="1"/>
  <c r="G42" i="24"/>
  <c r="H42" i="24" s="1"/>
  <c r="X41" i="24"/>
  <c r="Y41" i="24" s="1"/>
  <c r="V41" i="24"/>
  <c r="W41" i="24" s="1"/>
  <c r="Q41" i="24"/>
  <c r="R41" i="24" s="1"/>
  <c r="L41" i="24"/>
  <c r="M41" i="24" s="1"/>
  <c r="G41" i="24"/>
  <c r="H41" i="24" s="1"/>
  <c r="X40" i="24"/>
  <c r="Y40" i="24" s="1"/>
  <c r="V40" i="24"/>
  <c r="W40" i="24" s="1"/>
  <c r="Q40" i="24"/>
  <c r="R40" i="24" s="1"/>
  <c r="M40" i="24"/>
  <c r="L40" i="24"/>
  <c r="G40" i="24"/>
  <c r="H40" i="24" s="1"/>
  <c r="X39" i="24"/>
  <c r="Y39" i="24" s="1"/>
  <c r="V39" i="24"/>
  <c r="W39" i="24" s="1"/>
  <c r="Q39" i="24"/>
  <c r="R39" i="24" s="1"/>
  <c r="L39" i="24"/>
  <c r="M39" i="24" s="1"/>
  <c r="G39" i="24"/>
  <c r="H39" i="24" s="1"/>
  <c r="X38" i="24"/>
  <c r="Y38" i="24" s="1"/>
  <c r="V38" i="24"/>
  <c r="W38" i="24" s="1"/>
  <c r="Q38" i="24"/>
  <c r="R38" i="24" s="1"/>
  <c r="L38" i="24"/>
  <c r="M38" i="24" s="1"/>
  <c r="G38" i="24"/>
  <c r="H38" i="24" s="1"/>
  <c r="Y37" i="24"/>
  <c r="V37" i="24"/>
  <c r="W37" i="24" s="1"/>
  <c r="Q37" i="24"/>
  <c r="R37" i="24" s="1"/>
  <c r="L37" i="24"/>
  <c r="M37" i="24" s="1"/>
  <c r="G37" i="24"/>
  <c r="H37" i="24" s="1"/>
  <c r="F73" i="24"/>
  <c r="G73" i="24" s="1"/>
  <c r="K73" i="24"/>
  <c r="L73" i="24" s="1"/>
  <c r="P73" i="24"/>
  <c r="Q73" i="24" s="1"/>
  <c r="U73" i="24"/>
  <c r="V73" i="24" s="1"/>
  <c r="W73" i="24"/>
  <c r="X73" i="24" s="1"/>
  <c r="F74" i="24"/>
  <c r="G74" i="24" s="1"/>
  <c r="K74" i="24"/>
  <c r="L74" i="24" s="1"/>
  <c r="P74" i="24"/>
  <c r="Q74" i="24" s="1"/>
  <c r="U74" i="24"/>
  <c r="V74" i="24" s="1"/>
  <c r="W74" i="24"/>
  <c r="X74" i="24" s="1"/>
  <c r="F75" i="24"/>
  <c r="G75" i="24" s="1"/>
  <c r="K75" i="24"/>
  <c r="L75" i="24" s="1"/>
  <c r="P75" i="24"/>
  <c r="Q75" i="24"/>
  <c r="U75" i="24"/>
  <c r="V75" i="24" s="1"/>
  <c r="W75" i="24"/>
  <c r="X75" i="24" s="1"/>
  <c r="F76" i="24"/>
  <c r="G76" i="24" s="1"/>
  <c r="K76" i="24"/>
  <c r="L76" i="24" s="1"/>
  <c r="P76" i="24"/>
  <c r="Q76" i="24" s="1"/>
  <c r="U76" i="24"/>
  <c r="V76" i="24" s="1"/>
  <c r="W76" i="24"/>
  <c r="X76" i="24" s="1"/>
  <c r="F77" i="24"/>
  <c r="G77" i="24"/>
  <c r="K77" i="24"/>
  <c r="L77" i="24" s="1"/>
  <c r="P77" i="24"/>
  <c r="Q77" i="24" s="1"/>
  <c r="U77" i="24"/>
  <c r="V77" i="24" s="1"/>
  <c r="W77" i="24"/>
  <c r="X77" i="24" s="1"/>
  <c r="F78" i="24"/>
  <c r="G78" i="24" s="1"/>
  <c r="K78" i="24"/>
  <c r="L78" i="24" s="1"/>
  <c r="P78" i="24"/>
  <c r="Q78" i="24" s="1"/>
  <c r="U78" i="24"/>
  <c r="V78" i="24"/>
  <c r="W78" i="24"/>
  <c r="X78" i="24" s="1"/>
  <c r="F79" i="24"/>
  <c r="G79" i="24"/>
  <c r="K79" i="24"/>
  <c r="L79" i="24" s="1"/>
  <c r="P79" i="24"/>
  <c r="Q79" i="24" s="1"/>
  <c r="U79" i="24"/>
  <c r="V79" i="24" s="1"/>
  <c r="W79" i="24"/>
  <c r="X79" i="24" s="1"/>
  <c r="F80" i="24"/>
  <c r="G80" i="24" s="1"/>
  <c r="K80" i="24"/>
  <c r="L80" i="24" s="1"/>
  <c r="P80" i="24"/>
  <c r="Q80" i="24" s="1"/>
  <c r="U80" i="24"/>
  <c r="V80" i="24" s="1"/>
  <c r="W80" i="24"/>
  <c r="X80" i="24" s="1"/>
  <c r="C81" i="24"/>
  <c r="C87" i="24" s="1"/>
  <c r="D81" i="24"/>
  <c r="E81" i="24"/>
  <c r="H81" i="24"/>
  <c r="I81" i="24"/>
  <c r="J81" i="24"/>
  <c r="J87" i="24" s="1"/>
  <c r="M81" i="24"/>
  <c r="N81" i="24"/>
  <c r="O81" i="24"/>
  <c r="R81" i="24"/>
  <c r="S81" i="24"/>
  <c r="T81" i="24"/>
  <c r="G82" i="24"/>
  <c r="K82" i="24"/>
  <c r="L82" i="24" s="1"/>
  <c r="P82" i="24"/>
  <c r="Q82" i="24" s="1"/>
  <c r="U82" i="24"/>
  <c r="V82" i="24"/>
  <c r="W82" i="24"/>
  <c r="X82" i="24" s="1"/>
  <c r="F83" i="24"/>
  <c r="G83" i="24"/>
  <c r="K83" i="24"/>
  <c r="L83" i="24" s="1"/>
  <c r="P83" i="24"/>
  <c r="Q83" i="24" s="1"/>
  <c r="U83" i="24"/>
  <c r="V83" i="24" s="1"/>
  <c r="W83" i="24"/>
  <c r="X83" i="24" s="1"/>
  <c r="C84" i="24"/>
  <c r="D84" i="24"/>
  <c r="E84" i="24"/>
  <c r="H84" i="24"/>
  <c r="I84" i="24"/>
  <c r="J84" i="24"/>
  <c r="M84" i="24"/>
  <c r="N84" i="24"/>
  <c r="O84" i="24"/>
  <c r="O87" i="24" s="1"/>
  <c r="O96" i="24" s="1"/>
  <c r="R84" i="24"/>
  <c r="S84" i="24"/>
  <c r="T84" i="24"/>
  <c r="F85" i="24"/>
  <c r="G85" i="24"/>
  <c r="K85" i="24"/>
  <c r="L85" i="24" s="1"/>
  <c r="P85" i="24"/>
  <c r="Q85" i="24" s="1"/>
  <c r="U85" i="24"/>
  <c r="V85" i="24" s="1"/>
  <c r="W85" i="24"/>
  <c r="X85" i="24" s="1"/>
  <c r="F86" i="24"/>
  <c r="G86" i="24" s="1"/>
  <c r="K86" i="24"/>
  <c r="L86" i="24"/>
  <c r="P86" i="24"/>
  <c r="Q86" i="24" s="1"/>
  <c r="U86" i="24"/>
  <c r="V86" i="24" s="1"/>
  <c r="X86" i="24"/>
  <c r="F89" i="24"/>
  <c r="G89" i="24" s="1"/>
  <c r="H89" i="24"/>
  <c r="W89" i="24" s="1"/>
  <c r="P89" i="24"/>
  <c r="Q89" i="24" s="1"/>
  <c r="U89" i="24"/>
  <c r="V89" i="24" s="1"/>
  <c r="F90" i="24"/>
  <c r="G90" i="24"/>
  <c r="K90" i="24"/>
  <c r="L90" i="24" s="1"/>
  <c r="P90" i="24"/>
  <c r="Q90" i="24"/>
  <c r="U90" i="24"/>
  <c r="V90" i="24" s="1"/>
  <c r="W90" i="24"/>
  <c r="X90" i="24" s="1"/>
  <c r="F91" i="24"/>
  <c r="G91" i="24" s="1"/>
  <c r="K91" i="24"/>
  <c r="L91" i="24"/>
  <c r="P91" i="24"/>
  <c r="Q91" i="24" s="1"/>
  <c r="U91" i="24"/>
  <c r="V91" i="24" s="1"/>
  <c r="W91" i="24"/>
  <c r="X91" i="24" s="1"/>
  <c r="F92" i="24"/>
  <c r="G92" i="24"/>
  <c r="K92" i="24"/>
  <c r="L92" i="24" s="1"/>
  <c r="P92" i="24"/>
  <c r="Q92" i="24" s="1"/>
  <c r="U92" i="24"/>
  <c r="V92" i="24" s="1"/>
  <c r="W92" i="24"/>
  <c r="X92" i="24" s="1"/>
  <c r="F93" i="24"/>
  <c r="G93" i="24" s="1"/>
  <c r="K93" i="24"/>
  <c r="L93" i="24" s="1"/>
  <c r="P93" i="24"/>
  <c r="Q93" i="24" s="1"/>
  <c r="U93" i="24"/>
  <c r="V93" i="24" s="1"/>
  <c r="X93" i="24"/>
  <c r="F94" i="24"/>
  <c r="G94" i="24" s="1"/>
  <c r="K94" i="24"/>
  <c r="L94" i="24" s="1"/>
  <c r="P94" i="24"/>
  <c r="Q94" i="24" s="1"/>
  <c r="U94" i="24"/>
  <c r="V94" i="24" s="1"/>
  <c r="W94" i="24"/>
  <c r="X94" i="24" s="1"/>
  <c r="C95" i="24"/>
  <c r="D95" i="24"/>
  <c r="E95" i="24"/>
  <c r="I95" i="24"/>
  <c r="J95" i="24"/>
  <c r="M95" i="24"/>
  <c r="N95" i="24"/>
  <c r="O95" i="24"/>
  <c r="R95" i="24"/>
  <c r="S95" i="24"/>
  <c r="T95" i="24"/>
  <c r="P84" i="24" l="1"/>
  <c r="Q84" i="24" s="1"/>
  <c r="V48" i="24"/>
  <c r="W48" i="24" s="1"/>
  <c r="N51" i="24"/>
  <c r="P51" i="24"/>
  <c r="U59" i="24"/>
  <c r="T51" i="24"/>
  <c r="T60" i="24" s="1"/>
  <c r="C96" i="24"/>
  <c r="O51" i="24"/>
  <c r="O60" i="24" s="1"/>
  <c r="U51" i="24"/>
  <c r="U60" i="24" s="1"/>
  <c r="U95" i="24"/>
  <c r="V95" i="24" s="1"/>
  <c r="F95" i="24"/>
  <c r="G95" i="24" s="1"/>
  <c r="F59" i="24"/>
  <c r="G59" i="24" s="1"/>
  <c r="H59" i="24" s="1"/>
  <c r="T87" i="24"/>
  <c r="T96" i="24" s="1"/>
  <c r="N87" i="24"/>
  <c r="N96" i="24" s="1"/>
  <c r="K81" i="24"/>
  <c r="L81" i="24" s="1"/>
  <c r="E51" i="24"/>
  <c r="E60" i="24" s="1"/>
  <c r="J96" i="24"/>
  <c r="K84" i="24"/>
  <c r="L84" i="24" s="1"/>
  <c r="U81" i="24"/>
  <c r="V81" i="24" s="1"/>
  <c r="P81" i="24"/>
  <c r="Q81" i="24" s="1"/>
  <c r="X53" i="24"/>
  <c r="S87" i="24"/>
  <c r="S96" i="24" s="1"/>
  <c r="W84" i="24"/>
  <c r="X84" i="24" s="1"/>
  <c r="W81" i="24"/>
  <c r="X81" i="24" s="1"/>
  <c r="X87" i="24" s="1"/>
  <c r="X96" i="24" s="1"/>
  <c r="J60" i="24"/>
  <c r="P59" i="24"/>
  <c r="P60" i="24" s="1"/>
  <c r="N59" i="24"/>
  <c r="J7" i="26"/>
  <c r="U84" i="24"/>
  <c r="V84" i="24" s="1"/>
  <c r="E87" i="24"/>
  <c r="E96" i="24" s="1"/>
  <c r="H7" i="26"/>
  <c r="M7" i="26"/>
  <c r="X45" i="24"/>
  <c r="Y45" i="24" s="1"/>
  <c r="Y51" i="24" s="1"/>
  <c r="P95" i="24"/>
  <c r="Q95" i="24" s="1"/>
  <c r="R87" i="24"/>
  <c r="F84" i="24"/>
  <c r="G84" i="24" s="1"/>
  <c r="I87" i="24"/>
  <c r="I96" i="24" s="1"/>
  <c r="F81" i="24"/>
  <c r="G81" i="24" s="1"/>
  <c r="F51" i="24"/>
  <c r="F60" i="24" s="1"/>
  <c r="K51" i="24"/>
  <c r="K60" i="24" s="1"/>
  <c r="V45" i="24"/>
  <c r="W45" i="24" s="1"/>
  <c r="G48" i="24"/>
  <c r="H48" i="24" s="1"/>
  <c r="L48" i="24"/>
  <c r="M48" i="24" s="1"/>
  <c r="I51" i="24"/>
  <c r="L51" i="24" s="1"/>
  <c r="M51" i="24" s="1"/>
  <c r="S59" i="24"/>
  <c r="V59" i="24" s="1"/>
  <c r="W59" i="24" s="1"/>
  <c r="X54" i="24"/>
  <c r="Y54" i="24" s="1"/>
  <c r="Y46" i="24"/>
  <c r="Y53" i="24"/>
  <c r="Q45" i="24"/>
  <c r="R45" i="24" s="1"/>
  <c r="X48" i="24"/>
  <c r="Y48" i="24" s="1"/>
  <c r="S51" i="24"/>
  <c r="Q54" i="24"/>
  <c r="R54" i="24" s="1"/>
  <c r="D51" i="24"/>
  <c r="Q53" i="24"/>
  <c r="R53" i="24" s="1"/>
  <c r="V53" i="24"/>
  <c r="W53" i="24" s="1"/>
  <c r="I59" i="24"/>
  <c r="L59" i="24" s="1"/>
  <c r="M59" i="24" s="1"/>
  <c r="L54" i="24"/>
  <c r="M54" i="24" s="1"/>
  <c r="X89" i="24"/>
  <c r="X95" i="24" s="1"/>
  <c r="W95" i="24"/>
  <c r="M87" i="24"/>
  <c r="K89" i="24"/>
  <c r="L89" i="24" s="1"/>
  <c r="H87" i="24"/>
  <c r="D87" i="24"/>
  <c r="H95" i="24"/>
  <c r="K95" i="24" s="1"/>
  <c r="L95" i="24" s="1"/>
  <c r="F43" i="11"/>
  <c r="C10" i="27"/>
  <c r="I4" i="11" s="1"/>
  <c r="F44" i="11"/>
  <c r="F42" i="11"/>
  <c r="E4" i="2"/>
  <c r="F23" i="8"/>
  <c r="F9" i="8"/>
  <c r="F12" i="8"/>
  <c r="AQ18" i="23"/>
  <c r="AP18" i="23"/>
  <c r="N866" i="30"/>
  <c r="M866" i="30"/>
  <c r="L866" i="30"/>
  <c r="K866" i="30"/>
  <c r="J866" i="30"/>
  <c r="I866" i="30"/>
  <c r="H866" i="30"/>
  <c r="G866" i="30"/>
  <c r="F866" i="30"/>
  <c r="E866" i="30"/>
  <c r="D866" i="30"/>
  <c r="C866" i="30"/>
  <c r="N865" i="30"/>
  <c r="M865" i="30"/>
  <c r="L865" i="30"/>
  <c r="K865" i="30"/>
  <c r="J865" i="30"/>
  <c r="I865" i="30"/>
  <c r="H865" i="30"/>
  <c r="G865" i="30"/>
  <c r="F865" i="30"/>
  <c r="E865" i="30"/>
  <c r="D865" i="30"/>
  <c r="C865" i="30"/>
  <c r="N864" i="30"/>
  <c r="M864" i="30"/>
  <c r="L864" i="30"/>
  <c r="K864" i="30"/>
  <c r="J864" i="30"/>
  <c r="I864" i="30"/>
  <c r="H864" i="30"/>
  <c r="G864" i="30"/>
  <c r="F864" i="30"/>
  <c r="E864" i="30"/>
  <c r="D864" i="30"/>
  <c r="C864" i="30"/>
  <c r="N863" i="30"/>
  <c r="M863" i="30"/>
  <c r="L863" i="30"/>
  <c r="K863" i="30"/>
  <c r="J863" i="30"/>
  <c r="I863" i="30"/>
  <c r="H863" i="30"/>
  <c r="G863" i="30"/>
  <c r="F863" i="30"/>
  <c r="E863" i="30"/>
  <c r="D863" i="30"/>
  <c r="C863" i="30"/>
  <c r="N862" i="30"/>
  <c r="M862" i="30"/>
  <c r="L862" i="30"/>
  <c r="K862" i="30"/>
  <c r="J862" i="30"/>
  <c r="I862" i="30"/>
  <c r="H862" i="30"/>
  <c r="G862" i="30"/>
  <c r="F862" i="30"/>
  <c r="E862" i="30"/>
  <c r="D862" i="30"/>
  <c r="C862" i="30"/>
  <c r="N861" i="30"/>
  <c r="M861" i="30"/>
  <c r="L861" i="30"/>
  <c r="K861" i="30"/>
  <c r="J861" i="30"/>
  <c r="I861" i="30"/>
  <c r="H861" i="30"/>
  <c r="G861" i="30"/>
  <c r="F861" i="30"/>
  <c r="E861" i="30"/>
  <c r="D861" i="30"/>
  <c r="C861" i="30"/>
  <c r="N860" i="30"/>
  <c r="M860" i="30"/>
  <c r="L860" i="30"/>
  <c r="K860" i="30"/>
  <c r="J860" i="30"/>
  <c r="I860" i="30"/>
  <c r="H860" i="30"/>
  <c r="G860" i="30"/>
  <c r="F860" i="30"/>
  <c r="E860" i="30"/>
  <c r="D860" i="30"/>
  <c r="C860" i="30"/>
  <c r="N859" i="30"/>
  <c r="M859" i="30"/>
  <c r="L859" i="30"/>
  <c r="K859" i="30"/>
  <c r="J859" i="30"/>
  <c r="I859" i="30"/>
  <c r="H859" i="30"/>
  <c r="G859" i="30"/>
  <c r="F859" i="30"/>
  <c r="E859" i="30"/>
  <c r="D859" i="30"/>
  <c r="C859" i="30"/>
  <c r="N858" i="30"/>
  <c r="M858" i="30"/>
  <c r="L858" i="30"/>
  <c r="K858" i="30"/>
  <c r="J858" i="30"/>
  <c r="I858" i="30"/>
  <c r="H858" i="30"/>
  <c r="G858" i="30"/>
  <c r="F858" i="30"/>
  <c r="E858" i="30"/>
  <c r="D858" i="30"/>
  <c r="C858" i="30"/>
  <c r="N857" i="30"/>
  <c r="M857" i="30"/>
  <c r="L857" i="30"/>
  <c r="K857" i="30"/>
  <c r="J857" i="30"/>
  <c r="I857" i="30"/>
  <c r="H857" i="30"/>
  <c r="G857" i="30"/>
  <c r="F857" i="30"/>
  <c r="E857" i="30"/>
  <c r="D857" i="30"/>
  <c r="C857" i="30"/>
  <c r="N856" i="30"/>
  <c r="M856" i="30"/>
  <c r="L856" i="30"/>
  <c r="K856" i="30"/>
  <c r="J856" i="30"/>
  <c r="I856" i="30"/>
  <c r="H856" i="30"/>
  <c r="G856" i="30"/>
  <c r="F856" i="30"/>
  <c r="E856" i="30"/>
  <c r="D856" i="30"/>
  <c r="C856" i="30"/>
  <c r="N855" i="30"/>
  <c r="M855" i="30"/>
  <c r="L855" i="30"/>
  <c r="K855" i="30"/>
  <c r="J855" i="30"/>
  <c r="I855" i="30"/>
  <c r="H855" i="30"/>
  <c r="G855" i="30"/>
  <c r="F855" i="30"/>
  <c r="E855" i="30"/>
  <c r="D855" i="30"/>
  <c r="C855" i="30"/>
  <c r="N854" i="30"/>
  <c r="M854" i="30"/>
  <c r="L854" i="30"/>
  <c r="K854" i="30"/>
  <c r="J854" i="30"/>
  <c r="I854" i="30"/>
  <c r="H854" i="30"/>
  <c r="G854" i="30"/>
  <c r="F854" i="30"/>
  <c r="E854" i="30"/>
  <c r="D854" i="30"/>
  <c r="C854" i="30"/>
  <c r="N853" i="30"/>
  <c r="M853" i="30"/>
  <c r="L853" i="30"/>
  <c r="K853" i="30"/>
  <c r="J853" i="30"/>
  <c r="I853" i="30"/>
  <c r="H853" i="30"/>
  <c r="G853" i="30"/>
  <c r="F853" i="30"/>
  <c r="E853" i="30"/>
  <c r="D853" i="30"/>
  <c r="C853" i="30"/>
  <c r="N852" i="30"/>
  <c r="M852" i="30"/>
  <c r="L852" i="30"/>
  <c r="K852" i="30"/>
  <c r="J852" i="30"/>
  <c r="I852" i="30"/>
  <c r="H852" i="30"/>
  <c r="G852" i="30"/>
  <c r="F852" i="30"/>
  <c r="E852" i="30"/>
  <c r="D852" i="30"/>
  <c r="C852" i="30"/>
  <c r="N851" i="30"/>
  <c r="M851" i="30"/>
  <c r="L851" i="30"/>
  <c r="K851" i="30"/>
  <c r="J851" i="30"/>
  <c r="I851" i="30"/>
  <c r="H851" i="30"/>
  <c r="G851" i="30"/>
  <c r="F851" i="30"/>
  <c r="E851" i="30"/>
  <c r="D851" i="30"/>
  <c r="C851" i="30"/>
  <c r="O846" i="30"/>
  <c r="O845" i="30"/>
  <c r="O844" i="30"/>
  <c r="O843" i="30"/>
  <c r="O842" i="30"/>
  <c r="O841" i="30"/>
  <c r="O837" i="30"/>
  <c r="O836" i="30"/>
  <c r="O835" i="30"/>
  <c r="O834" i="30"/>
  <c r="O833" i="30"/>
  <c r="O832" i="30"/>
  <c r="O831" i="30"/>
  <c r="O830" i="30"/>
  <c r="O829" i="30"/>
  <c r="O828" i="30"/>
  <c r="O827" i="30"/>
  <c r="O826" i="30"/>
  <c r="O825" i="30"/>
  <c r="O824" i="30"/>
  <c r="O823" i="30"/>
  <c r="O822" i="30"/>
  <c r="O817" i="30"/>
  <c r="O816" i="30"/>
  <c r="O815" i="30"/>
  <c r="O814" i="30"/>
  <c r="O813" i="30"/>
  <c r="O812" i="30"/>
  <c r="O811" i="30"/>
  <c r="O810" i="30"/>
  <c r="O809" i="30"/>
  <c r="O808" i="30"/>
  <c r="O807" i="30"/>
  <c r="O806" i="30"/>
  <c r="O805" i="30"/>
  <c r="O804" i="30"/>
  <c r="O803" i="30"/>
  <c r="O802" i="30"/>
  <c r="O798" i="30"/>
  <c r="O797" i="30"/>
  <c r="O796" i="30"/>
  <c r="O795" i="30"/>
  <c r="O794" i="30"/>
  <c r="O793" i="30"/>
  <c r="O792" i="30"/>
  <c r="O791" i="30"/>
  <c r="O790" i="30"/>
  <c r="O789" i="30"/>
  <c r="O788" i="30"/>
  <c r="O787" i="30"/>
  <c r="O786" i="30"/>
  <c r="O785" i="30"/>
  <c r="O784" i="30"/>
  <c r="O783" i="30"/>
  <c r="O779" i="30"/>
  <c r="O778" i="30"/>
  <c r="O777" i="30"/>
  <c r="O776" i="30"/>
  <c r="O775" i="30"/>
  <c r="O774" i="30"/>
  <c r="O773" i="30"/>
  <c r="O772" i="30"/>
  <c r="O771" i="30"/>
  <c r="O770" i="30"/>
  <c r="O769" i="30"/>
  <c r="O768" i="30"/>
  <c r="O767" i="30"/>
  <c r="O766" i="30"/>
  <c r="O765" i="30"/>
  <c r="O764" i="30"/>
  <c r="O759" i="30"/>
  <c r="O758" i="30"/>
  <c r="O757" i="30"/>
  <c r="O756" i="30"/>
  <c r="O755" i="30"/>
  <c r="O754" i="30"/>
  <c r="O753" i="30"/>
  <c r="O752" i="30"/>
  <c r="O751" i="30"/>
  <c r="O750" i="30"/>
  <c r="O749" i="30"/>
  <c r="O748" i="30"/>
  <c r="O747" i="30"/>
  <c r="O746" i="30"/>
  <c r="O745" i="30"/>
  <c r="O744" i="30"/>
  <c r="O740" i="30"/>
  <c r="O739" i="30"/>
  <c r="O738" i="30"/>
  <c r="O737" i="30"/>
  <c r="O736" i="30"/>
  <c r="O735" i="30"/>
  <c r="O734" i="30"/>
  <c r="O733" i="30"/>
  <c r="O732" i="30"/>
  <c r="O731" i="30"/>
  <c r="O730" i="30"/>
  <c r="O729" i="30"/>
  <c r="O728" i="30"/>
  <c r="O727" i="30"/>
  <c r="O726" i="30"/>
  <c r="O725" i="30"/>
  <c r="O721" i="30"/>
  <c r="O720" i="30"/>
  <c r="O719" i="30"/>
  <c r="O718" i="30"/>
  <c r="O717" i="30"/>
  <c r="O716" i="30"/>
  <c r="O715" i="30"/>
  <c r="O714" i="30"/>
  <c r="O713" i="30"/>
  <c r="O712" i="30"/>
  <c r="O711" i="30"/>
  <c r="O710" i="30"/>
  <c r="O709" i="30"/>
  <c r="O708" i="30"/>
  <c r="O707" i="30"/>
  <c r="O706" i="30"/>
  <c r="O701" i="30"/>
  <c r="O700" i="30"/>
  <c r="O699" i="30"/>
  <c r="O698" i="30"/>
  <c r="O697" i="30"/>
  <c r="O696" i="30"/>
  <c r="O695" i="30"/>
  <c r="O694" i="30"/>
  <c r="O693" i="30"/>
  <c r="O692" i="30"/>
  <c r="O691" i="30"/>
  <c r="O690" i="30"/>
  <c r="O689" i="30"/>
  <c r="O688" i="30"/>
  <c r="O687" i="30"/>
  <c r="O686" i="30"/>
  <c r="O682" i="30"/>
  <c r="O681" i="30"/>
  <c r="O680" i="30"/>
  <c r="O679" i="30"/>
  <c r="O678" i="30"/>
  <c r="O677" i="30"/>
  <c r="O676" i="30"/>
  <c r="O675" i="30"/>
  <c r="O674" i="30"/>
  <c r="O673" i="30"/>
  <c r="O672" i="30"/>
  <c r="O671" i="30"/>
  <c r="O670" i="30"/>
  <c r="O669" i="30"/>
  <c r="O668" i="30"/>
  <c r="O667" i="30"/>
  <c r="O663" i="30"/>
  <c r="O662" i="30"/>
  <c r="O661" i="30"/>
  <c r="O660" i="30"/>
  <c r="O659" i="30"/>
  <c r="O658" i="30"/>
  <c r="O657" i="30"/>
  <c r="O656" i="30"/>
  <c r="O655" i="30"/>
  <c r="O654" i="30"/>
  <c r="O653" i="30"/>
  <c r="O652" i="30"/>
  <c r="O651" i="30"/>
  <c r="O650" i="30"/>
  <c r="O649" i="30"/>
  <c r="P649" i="30" s="1"/>
  <c r="Q649" i="30" s="1"/>
  <c r="O648" i="30"/>
  <c r="O643" i="30"/>
  <c r="P643" i="30" s="1"/>
  <c r="Q643" i="30" s="1"/>
  <c r="O642" i="30"/>
  <c r="O641" i="30"/>
  <c r="O640" i="30"/>
  <c r="O639" i="30"/>
  <c r="O638" i="30"/>
  <c r="O637" i="30"/>
  <c r="O636" i="30"/>
  <c r="O635" i="30"/>
  <c r="O634" i="30"/>
  <c r="O633" i="30"/>
  <c r="O632" i="30"/>
  <c r="O631" i="30"/>
  <c r="O630" i="30"/>
  <c r="O629" i="30"/>
  <c r="O628" i="30"/>
  <c r="O624" i="30"/>
  <c r="O623" i="30"/>
  <c r="O622" i="30"/>
  <c r="O621" i="30"/>
  <c r="O620" i="30"/>
  <c r="O619" i="30"/>
  <c r="O618" i="30"/>
  <c r="O617" i="30"/>
  <c r="O616" i="30"/>
  <c r="P616" i="30" s="1"/>
  <c r="Q616" i="30" s="1"/>
  <c r="O615" i="30"/>
  <c r="O614" i="30"/>
  <c r="O613" i="30"/>
  <c r="O612" i="30"/>
  <c r="P613" i="30" s="1"/>
  <c r="Q613" i="30" s="1"/>
  <c r="O611" i="30"/>
  <c r="O610" i="30"/>
  <c r="O609" i="30"/>
  <c r="O605" i="30"/>
  <c r="O604" i="30"/>
  <c r="O603" i="30"/>
  <c r="O602" i="30"/>
  <c r="O601" i="30"/>
  <c r="P601" i="30" s="1"/>
  <c r="Q601" i="30" s="1"/>
  <c r="O600" i="30"/>
  <c r="O599" i="30"/>
  <c r="O598" i="30"/>
  <c r="O597" i="30"/>
  <c r="O596" i="30"/>
  <c r="O595" i="30"/>
  <c r="O594" i="30"/>
  <c r="O593" i="30"/>
  <c r="P594" i="30" s="1"/>
  <c r="Q594" i="30" s="1"/>
  <c r="O592" i="30"/>
  <c r="O591" i="30"/>
  <c r="O590" i="30"/>
  <c r="B16" i="6"/>
  <c r="C16" i="6" s="1"/>
  <c r="B15" i="6"/>
  <c r="C15" i="6" s="1"/>
  <c r="B14" i="6"/>
  <c r="C14" i="6" s="1"/>
  <c r="B13" i="6"/>
  <c r="C13" i="6" s="1"/>
  <c r="B12" i="6"/>
  <c r="C12" i="6" s="1"/>
  <c r="B11" i="6"/>
  <c r="C11" i="6" s="1"/>
  <c r="B10" i="6"/>
  <c r="B9" i="6"/>
  <c r="C9" i="6" s="1"/>
  <c r="B8" i="6"/>
  <c r="C8" i="6" s="1"/>
  <c r="B7" i="6"/>
  <c r="C7" i="6" s="1"/>
  <c r="B6" i="6"/>
  <c r="B5" i="6"/>
  <c r="C5" i="6" s="1"/>
  <c r="B4" i="6"/>
  <c r="C4" i="6" s="1"/>
  <c r="F55" i="10"/>
  <c r="F58" i="10" s="1"/>
  <c r="I26" i="12"/>
  <c r="J26" i="12"/>
  <c r="H26" i="12"/>
  <c r="D26" i="12"/>
  <c r="P18" i="32"/>
  <c r="O18" i="32"/>
  <c r="N18" i="32"/>
  <c r="M18" i="32"/>
  <c r="L18" i="32"/>
  <c r="K18" i="32"/>
  <c r="J18" i="32"/>
  <c r="I18" i="32"/>
  <c r="H18" i="32"/>
  <c r="G18" i="32"/>
  <c r="F18" i="32"/>
  <c r="E18" i="32"/>
  <c r="D18" i="32"/>
  <c r="C18" i="32"/>
  <c r="B18" i="32"/>
  <c r="P17" i="32"/>
  <c r="O17" i="32"/>
  <c r="N17" i="32"/>
  <c r="M17" i="32"/>
  <c r="L17" i="32"/>
  <c r="K17" i="32"/>
  <c r="J17" i="32"/>
  <c r="I17" i="32"/>
  <c r="H17" i="32"/>
  <c r="G17" i="32"/>
  <c r="F17" i="32"/>
  <c r="E17" i="32"/>
  <c r="D17" i="32"/>
  <c r="C17" i="32"/>
  <c r="B17" i="32"/>
  <c r="O115" i="28"/>
  <c r="L147" i="28"/>
  <c r="L148" i="28"/>
  <c r="L149" i="28"/>
  <c r="L150" i="28"/>
  <c r="L151" i="28"/>
  <c r="L152" i="28"/>
  <c r="L153" i="28"/>
  <c r="L154" i="28"/>
  <c r="L155" i="28"/>
  <c r="L156" i="28"/>
  <c r="L157" i="28"/>
  <c r="L158" i="28"/>
  <c r="L159" i="28"/>
  <c r="L160" i="28"/>
  <c r="L161" i="28"/>
  <c r="L162" i="28"/>
  <c r="L163" i="28"/>
  <c r="B164" i="28"/>
  <c r="C164" i="28"/>
  <c r="D164" i="28"/>
  <c r="E164" i="28"/>
  <c r="F164" i="28"/>
  <c r="G164" i="28"/>
  <c r="H164" i="28"/>
  <c r="I164" i="28"/>
  <c r="J164" i="28"/>
  <c r="K164" i="28"/>
  <c r="L165" i="28"/>
  <c r="L166" i="28"/>
  <c r="L167" i="28"/>
  <c r="L168" i="28"/>
  <c r="L169" i="28"/>
  <c r="L170" i="28"/>
  <c r="L171" i="28"/>
  <c r="L172" i="28"/>
  <c r="L173" i="28"/>
  <c r="L174" i="28"/>
  <c r="L175" i="28"/>
  <c r="L176" i="28"/>
  <c r="L177" i="28"/>
  <c r="L178" i="28"/>
  <c r="L179" i="28"/>
  <c r="L180" i="28"/>
  <c r="L181" i="28"/>
  <c r="L182" i="28"/>
  <c r="L183" i="28"/>
  <c r="L184" i="28"/>
  <c r="L185" i="28"/>
  <c r="L186" i="28"/>
  <c r="L187" i="28"/>
  <c r="L188" i="28"/>
  <c r="F122" i="21"/>
  <c r="H47" i="4"/>
  <c r="G20" i="1"/>
  <c r="H20" i="1" s="1"/>
  <c r="L11" i="26"/>
  <c r="M11" i="26"/>
  <c r="K11" i="26"/>
  <c r="I11" i="26"/>
  <c r="J11" i="26"/>
  <c r="H11" i="26"/>
  <c r="F11" i="26"/>
  <c r="G11" i="26"/>
  <c r="C11" i="26"/>
  <c r="D11" i="26"/>
  <c r="B11" i="26"/>
  <c r="D55" i="10"/>
  <c r="D58" i="10" s="1"/>
  <c r="E55" i="10"/>
  <c r="G54" i="10"/>
  <c r="G55" i="10" s="1"/>
  <c r="E115" i="21"/>
  <c r="F121" i="21" s="1"/>
  <c r="C220" i="1"/>
  <c r="C219" i="1"/>
  <c r="C218" i="1"/>
  <c r="C216" i="1"/>
  <c r="G17" i="2"/>
  <c r="N1122" i="30"/>
  <c r="M1122" i="30"/>
  <c r="L1122" i="30"/>
  <c r="K1122" i="30"/>
  <c r="J1122" i="30"/>
  <c r="I1122" i="30"/>
  <c r="H1122" i="30"/>
  <c r="G1122" i="30"/>
  <c r="F1122" i="30"/>
  <c r="E1122" i="30"/>
  <c r="D1122" i="30"/>
  <c r="C1122" i="30"/>
  <c r="N1121" i="30"/>
  <c r="M1121" i="30"/>
  <c r="L1121" i="30"/>
  <c r="K1121" i="30"/>
  <c r="J1121" i="30"/>
  <c r="I1121" i="30"/>
  <c r="H1121" i="30"/>
  <c r="G1121" i="30"/>
  <c r="F1121" i="30"/>
  <c r="E1121" i="30"/>
  <c r="D1121" i="30"/>
  <c r="C1121" i="30"/>
  <c r="N1120" i="30"/>
  <c r="M1120" i="30"/>
  <c r="L1120" i="30"/>
  <c r="K1120" i="30"/>
  <c r="J1120" i="30"/>
  <c r="I1120" i="30"/>
  <c r="H1120" i="30"/>
  <c r="G1120" i="30"/>
  <c r="F1120" i="30"/>
  <c r="O1120" i="30" s="1"/>
  <c r="E1120" i="30"/>
  <c r="D1120" i="30"/>
  <c r="C1120" i="30"/>
  <c r="N1119" i="30"/>
  <c r="M1119" i="30"/>
  <c r="L1119" i="30"/>
  <c r="K1119" i="30"/>
  <c r="J1119" i="30"/>
  <c r="I1119" i="30"/>
  <c r="H1119" i="30"/>
  <c r="G1119" i="30"/>
  <c r="F1119" i="30"/>
  <c r="E1119" i="30"/>
  <c r="D1119" i="30"/>
  <c r="C1119" i="30"/>
  <c r="N1118" i="30"/>
  <c r="M1118" i="30"/>
  <c r="L1118" i="30"/>
  <c r="K1118" i="30"/>
  <c r="J1118" i="30"/>
  <c r="I1118" i="30"/>
  <c r="H1118" i="30"/>
  <c r="G1118" i="30"/>
  <c r="F1118" i="30"/>
  <c r="E1118" i="30"/>
  <c r="D1118" i="30"/>
  <c r="C1118" i="30"/>
  <c r="N1117" i="30"/>
  <c r="M1117" i="30"/>
  <c r="L1117" i="30"/>
  <c r="K1117" i="30"/>
  <c r="J1117" i="30"/>
  <c r="I1117" i="30"/>
  <c r="H1117" i="30"/>
  <c r="G1117" i="30"/>
  <c r="F1117" i="30"/>
  <c r="E1117" i="30"/>
  <c r="D1117" i="30"/>
  <c r="C1117" i="30"/>
  <c r="N1116" i="30"/>
  <c r="M1116" i="30"/>
  <c r="L1116" i="30"/>
  <c r="K1116" i="30"/>
  <c r="J1116" i="30"/>
  <c r="I1116" i="30"/>
  <c r="H1116" i="30"/>
  <c r="G1116" i="30"/>
  <c r="F1116" i="30"/>
  <c r="E1116" i="30"/>
  <c r="D1116" i="30"/>
  <c r="C1116" i="30"/>
  <c r="N1115" i="30"/>
  <c r="M1115" i="30"/>
  <c r="L1115" i="30"/>
  <c r="K1115" i="30"/>
  <c r="J1115" i="30"/>
  <c r="I1115" i="30"/>
  <c r="H1115" i="30"/>
  <c r="G1115" i="30"/>
  <c r="F1115" i="30"/>
  <c r="E1115" i="30"/>
  <c r="D1115" i="30"/>
  <c r="C1115" i="30"/>
  <c r="N1114" i="30"/>
  <c r="M1114" i="30"/>
  <c r="L1114" i="30"/>
  <c r="K1114" i="30"/>
  <c r="J1114" i="30"/>
  <c r="I1114" i="30"/>
  <c r="H1114" i="30"/>
  <c r="G1114" i="30"/>
  <c r="F1114" i="30"/>
  <c r="E1114" i="30"/>
  <c r="D1114" i="30"/>
  <c r="C1114" i="30"/>
  <c r="N1113" i="30"/>
  <c r="M1113" i="30"/>
  <c r="L1113" i="30"/>
  <c r="K1113" i="30"/>
  <c r="J1113" i="30"/>
  <c r="I1113" i="30"/>
  <c r="H1113" i="30"/>
  <c r="G1113" i="30"/>
  <c r="F1113" i="30"/>
  <c r="O1113" i="30" s="1"/>
  <c r="P1113" i="30" s="1"/>
  <c r="E1113" i="30"/>
  <c r="D1113" i="30"/>
  <c r="C1113" i="30"/>
  <c r="N1112" i="30"/>
  <c r="M1112" i="30"/>
  <c r="L1112" i="30"/>
  <c r="K1112" i="30"/>
  <c r="J1112" i="30"/>
  <c r="I1112" i="30"/>
  <c r="H1112" i="30"/>
  <c r="G1112" i="30"/>
  <c r="F1112" i="30"/>
  <c r="E1112" i="30"/>
  <c r="D1112" i="30"/>
  <c r="C1112" i="30"/>
  <c r="N1111" i="30"/>
  <c r="M1111" i="30"/>
  <c r="L1111" i="30"/>
  <c r="K1111" i="30"/>
  <c r="J1111" i="30"/>
  <c r="I1111" i="30"/>
  <c r="H1111" i="30"/>
  <c r="G1111" i="30"/>
  <c r="F1111" i="30"/>
  <c r="E1111" i="30"/>
  <c r="D1111" i="30"/>
  <c r="C1111" i="30"/>
  <c r="N1110" i="30"/>
  <c r="M1110" i="30"/>
  <c r="L1110" i="30"/>
  <c r="K1110" i="30"/>
  <c r="J1110" i="30"/>
  <c r="I1110" i="30"/>
  <c r="H1110" i="30"/>
  <c r="G1110" i="30"/>
  <c r="F1110" i="30"/>
  <c r="E1110" i="30"/>
  <c r="D1110" i="30"/>
  <c r="C1110" i="30"/>
  <c r="N1109" i="30"/>
  <c r="M1109" i="30"/>
  <c r="L1109" i="30"/>
  <c r="K1109" i="30"/>
  <c r="J1109" i="30"/>
  <c r="I1109" i="30"/>
  <c r="H1109" i="30"/>
  <c r="G1109" i="30"/>
  <c r="F1109" i="30"/>
  <c r="E1109" i="30"/>
  <c r="D1109" i="30"/>
  <c r="C1109" i="30"/>
  <c r="N1108" i="30"/>
  <c r="M1108" i="30"/>
  <c r="L1108" i="30"/>
  <c r="K1108" i="30"/>
  <c r="J1108" i="30"/>
  <c r="I1108" i="30"/>
  <c r="H1108" i="30"/>
  <c r="G1108" i="30"/>
  <c r="F1108" i="30"/>
  <c r="E1108" i="30"/>
  <c r="D1108" i="30"/>
  <c r="C1108" i="30"/>
  <c r="O1102" i="30"/>
  <c r="O1101" i="30"/>
  <c r="O1100" i="30"/>
  <c r="O1099" i="30"/>
  <c r="O1098" i="30"/>
  <c r="O1095" i="30"/>
  <c r="O1094" i="30"/>
  <c r="O1093" i="30"/>
  <c r="O1092" i="30"/>
  <c r="O1091" i="30"/>
  <c r="O1090" i="30"/>
  <c r="O1089" i="30"/>
  <c r="O1088" i="30"/>
  <c r="P1088" i="30" s="1"/>
  <c r="Q1088" i="30" s="1"/>
  <c r="O1087" i="30"/>
  <c r="O1086" i="30"/>
  <c r="O1085" i="30"/>
  <c r="O1084" i="30"/>
  <c r="O1083" i="30"/>
  <c r="O1082" i="30"/>
  <c r="O1081" i="30"/>
  <c r="O1077" i="30"/>
  <c r="P1077" i="30" s="1"/>
  <c r="Q1077" i="30" s="1"/>
  <c r="O1076" i="30"/>
  <c r="O1075" i="30"/>
  <c r="O1074" i="30"/>
  <c r="O1073" i="30"/>
  <c r="P1074" i="30" s="1"/>
  <c r="Q1074" i="30" s="1"/>
  <c r="O1072" i="30"/>
  <c r="O1071" i="30"/>
  <c r="O1070" i="30"/>
  <c r="O1069" i="30"/>
  <c r="P1069" i="30" s="1"/>
  <c r="Q1069" i="30" s="1"/>
  <c r="O1068" i="30"/>
  <c r="O1067" i="30"/>
  <c r="O1066" i="30"/>
  <c r="O1065" i="30"/>
  <c r="O1064" i="30"/>
  <c r="O1063" i="30"/>
  <c r="O1060" i="30"/>
  <c r="O1059" i="30"/>
  <c r="P1059" i="30" s="1"/>
  <c r="Q1059" i="30" s="1"/>
  <c r="O1058" i="30"/>
  <c r="O1057" i="30"/>
  <c r="O1056" i="30"/>
  <c r="O1055" i="30"/>
  <c r="P1056" i="30" s="1"/>
  <c r="Q1056" i="30" s="1"/>
  <c r="O1054" i="30"/>
  <c r="O1053" i="30"/>
  <c r="O1052" i="30"/>
  <c r="O1051" i="30"/>
  <c r="O1050" i="30"/>
  <c r="O1049" i="30"/>
  <c r="O1048" i="30"/>
  <c r="O1047" i="30"/>
  <c r="P1047" i="30" s="1"/>
  <c r="Q1047" i="30" s="1"/>
  <c r="O1046" i="30"/>
  <c r="O1043" i="30"/>
  <c r="O1042" i="30"/>
  <c r="O1041" i="30"/>
  <c r="P1042" i="30" s="1"/>
  <c r="Q1042" i="30" s="1"/>
  <c r="O1040" i="30"/>
  <c r="O1039" i="30"/>
  <c r="O1038" i="30"/>
  <c r="O1037" i="30"/>
  <c r="P1037" i="30" s="1"/>
  <c r="Q1037" i="30" s="1"/>
  <c r="O1036" i="30"/>
  <c r="O1035" i="30"/>
  <c r="O1034" i="30"/>
  <c r="O1033" i="30"/>
  <c r="P1034" i="30" s="1"/>
  <c r="Q1034" i="30" s="1"/>
  <c r="O1032" i="30"/>
  <c r="O1031" i="30"/>
  <c r="O1030" i="30"/>
  <c r="O1029" i="30"/>
  <c r="O1025" i="30"/>
  <c r="O1024" i="30"/>
  <c r="O1023" i="30"/>
  <c r="O1022" i="30"/>
  <c r="P1022" i="30" s="1"/>
  <c r="Q1022" i="30" s="1"/>
  <c r="O1021" i="30"/>
  <c r="O1020" i="30"/>
  <c r="O1019" i="30"/>
  <c r="O1018" i="30"/>
  <c r="P1018" i="30" s="1"/>
  <c r="Q1018" i="30" s="1"/>
  <c r="O1017" i="30"/>
  <c r="O1016" i="30"/>
  <c r="O1015" i="30"/>
  <c r="O1014" i="30"/>
  <c r="P1015" i="30" s="1"/>
  <c r="Q1015" i="30" s="1"/>
  <c r="O1013" i="30"/>
  <c r="O1012" i="30"/>
  <c r="O1011" i="30"/>
  <c r="O1008" i="30"/>
  <c r="P1008" i="30" s="1"/>
  <c r="Q1008" i="30" s="1"/>
  <c r="O1007" i="30"/>
  <c r="O1006" i="30"/>
  <c r="O1005" i="30"/>
  <c r="O1004" i="30"/>
  <c r="P1005" i="30" s="1"/>
  <c r="Q1005" i="30" s="1"/>
  <c r="O1003" i="30"/>
  <c r="O1002" i="30"/>
  <c r="O1001" i="30"/>
  <c r="O1000" i="30"/>
  <c r="O999" i="30"/>
  <c r="O998" i="30"/>
  <c r="O997" i="30"/>
  <c r="O996" i="30"/>
  <c r="O995" i="30"/>
  <c r="O994" i="30"/>
  <c r="O991" i="30"/>
  <c r="O990" i="30"/>
  <c r="P991" i="30" s="1"/>
  <c r="Q991" i="30" s="1"/>
  <c r="O989" i="30"/>
  <c r="O988" i="30"/>
  <c r="O987" i="30"/>
  <c r="O986" i="30"/>
  <c r="P987" i="30" s="1"/>
  <c r="Q987" i="30" s="1"/>
  <c r="O985" i="30"/>
  <c r="O984" i="30"/>
  <c r="O983" i="30"/>
  <c r="O982" i="30"/>
  <c r="P982" i="30" s="1"/>
  <c r="Q982" i="30" s="1"/>
  <c r="O981" i="30"/>
  <c r="O980" i="30"/>
  <c r="O979" i="30"/>
  <c r="O978" i="30"/>
  <c r="P978" i="30" s="1"/>
  <c r="Q978" i="30" s="1"/>
  <c r="O977" i="30"/>
  <c r="O973" i="30"/>
  <c r="O972" i="30"/>
  <c r="O971" i="30"/>
  <c r="P972" i="30" s="1"/>
  <c r="Q972" i="30" s="1"/>
  <c r="O970" i="30"/>
  <c r="O969" i="30"/>
  <c r="O968" i="30"/>
  <c r="O967" i="30"/>
  <c r="P968" i="30" s="1"/>
  <c r="Q968" i="30" s="1"/>
  <c r="O966" i="30"/>
  <c r="O965" i="30"/>
  <c r="O964" i="30"/>
  <c r="O963" i="30"/>
  <c r="O962" i="30"/>
  <c r="O961" i="30"/>
  <c r="O960" i="30"/>
  <c r="O959" i="30"/>
  <c r="P960" i="30" s="1"/>
  <c r="Q960" i="30" s="1"/>
  <c r="O956" i="30"/>
  <c r="O955" i="30"/>
  <c r="O954" i="30"/>
  <c r="O953" i="30"/>
  <c r="P954" i="30" s="1"/>
  <c r="Q954" i="30" s="1"/>
  <c r="O952" i="30"/>
  <c r="O951" i="30"/>
  <c r="O950" i="30"/>
  <c r="O949" i="30"/>
  <c r="P950" i="30" s="1"/>
  <c r="Q950" i="30" s="1"/>
  <c r="O948" i="30"/>
  <c r="O947" i="30"/>
  <c r="O946" i="30"/>
  <c r="O945" i="30"/>
  <c r="P945" i="30" s="1"/>
  <c r="Q945" i="30" s="1"/>
  <c r="O944" i="30"/>
  <c r="O943" i="30"/>
  <c r="O942" i="30"/>
  <c r="O939" i="30"/>
  <c r="O938" i="30"/>
  <c r="O937" i="30"/>
  <c r="O936" i="30"/>
  <c r="O935" i="30"/>
  <c r="P936" i="30" s="1"/>
  <c r="Q936" i="30" s="1"/>
  <c r="O934" i="30"/>
  <c r="O933" i="30"/>
  <c r="O932" i="30"/>
  <c r="O931" i="30"/>
  <c r="O930" i="30"/>
  <c r="O929" i="30"/>
  <c r="O928" i="30"/>
  <c r="O927" i="30"/>
  <c r="P927" i="30" s="1"/>
  <c r="Q927" i="30" s="1"/>
  <c r="O926" i="30"/>
  <c r="O925" i="30"/>
  <c r="O921" i="30"/>
  <c r="O920" i="30"/>
  <c r="P920" i="30" s="1"/>
  <c r="Q920" i="30" s="1"/>
  <c r="O919" i="30"/>
  <c r="O918" i="30"/>
  <c r="O917" i="30"/>
  <c r="O916" i="30"/>
  <c r="O915" i="30"/>
  <c r="O914" i="30"/>
  <c r="O913" i="30"/>
  <c r="O912" i="30"/>
  <c r="P912" i="30" s="1"/>
  <c r="Q912" i="30" s="1"/>
  <c r="O911" i="30"/>
  <c r="O910" i="30"/>
  <c r="O909" i="30"/>
  <c r="O908" i="30"/>
  <c r="P909" i="30" s="1"/>
  <c r="Q909" i="30" s="1"/>
  <c r="O907" i="30"/>
  <c r="O904" i="30"/>
  <c r="O903" i="30"/>
  <c r="O902" i="30"/>
  <c r="O901" i="30"/>
  <c r="O900" i="30"/>
  <c r="O899" i="30"/>
  <c r="O898" i="30"/>
  <c r="P898" i="30" s="1"/>
  <c r="Q898" i="30" s="1"/>
  <c r="O897" i="30"/>
  <c r="O896" i="30"/>
  <c r="O895" i="30"/>
  <c r="O894" i="30"/>
  <c r="P894" i="30" s="1"/>
  <c r="Q894" i="30" s="1"/>
  <c r="O893" i="30"/>
  <c r="O892" i="30"/>
  <c r="O891" i="30"/>
  <c r="O890" i="30"/>
  <c r="P891" i="30" s="1"/>
  <c r="Q891" i="30" s="1"/>
  <c r="O887" i="30"/>
  <c r="O886" i="30"/>
  <c r="O885" i="30"/>
  <c r="O884" i="30"/>
  <c r="P885" i="30" s="1"/>
  <c r="Q885" i="30" s="1"/>
  <c r="O883" i="30"/>
  <c r="O882" i="30"/>
  <c r="O881" i="30"/>
  <c r="O880" i="30"/>
  <c r="P881" i="30" s="1"/>
  <c r="Q881" i="30" s="1"/>
  <c r="O879" i="30"/>
  <c r="O878" i="30"/>
  <c r="O877" i="30"/>
  <c r="O876" i="30"/>
  <c r="P876" i="30" s="1"/>
  <c r="Q876" i="30" s="1"/>
  <c r="O875" i="30"/>
  <c r="O874" i="30"/>
  <c r="P874" i="30" s="1"/>
  <c r="Q874" i="30" s="1"/>
  <c r="O873" i="30"/>
  <c r="N7" i="12"/>
  <c r="O7" i="12" s="1"/>
  <c r="D30" i="16" s="1"/>
  <c r="AW6" i="23" s="1"/>
  <c r="N9" i="12"/>
  <c r="O9" i="12" s="1"/>
  <c r="D32" i="16" s="1"/>
  <c r="N17" i="12"/>
  <c r="O17" i="12" s="1"/>
  <c r="N16" i="12"/>
  <c r="O16" i="12" s="1"/>
  <c r="D39" i="16" s="1"/>
  <c r="AW16" i="23" s="1"/>
  <c r="L15" i="26"/>
  <c r="M15" i="26"/>
  <c r="K15" i="26"/>
  <c r="I15" i="26"/>
  <c r="J15" i="26"/>
  <c r="H15" i="26"/>
  <c r="F15" i="26"/>
  <c r="G15" i="26"/>
  <c r="E15" i="26"/>
  <c r="C15" i="26"/>
  <c r="D15" i="26"/>
  <c r="B15" i="26"/>
  <c r="H129" i="24"/>
  <c r="E129" i="24"/>
  <c r="D129" i="24"/>
  <c r="C129" i="24"/>
  <c r="W128" i="24"/>
  <c r="X128" i="24" s="1"/>
  <c r="U128" i="24"/>
  <c r="V128" i="24" s="1"/>
  <c r="P128" i="24"/>
  <c r="Q128" i="24"/>
  <c r="K128" i="24"/>
  <c r="L128" i="24" s="1"/>
  <c r="F128" i="24"/>
  <c r="G128" i="24"/>
  <c r="W127" i="24"/>
  <c r="X127" i="24" s="1"/>
  <c r="U127" i="24"/>
  <c r="V127" i="24" s="1"/>
  <c r="P127" i="24"/>
  <c r="Q127" i="24" s="1"/>
  <c r="K127" i="24"/>
  <c r="L127" i="24" s="1"/>
  <c r="F127" i="24"/>
  <c r="G127" i="24" s="1"/>
  <c r="W126" i="24"/>
  <c r="X126" i="24" s="1"/>
  <c r="V126" i="24"/>
  <c r="U126" i="24"/>
  <c r="P126" i="24"/>
  <c r="Q126" i="24" s="1"/>
  <c r="K126" i="24"/>
  <c r="L126" i="24" s="1"/>
  <c r="F126" i="24"/>
  <c r="G126" i="24" s="1"/>
  <c r="W125" i="24"/>
  <c r="X125" i="24" s="1"/>
  <c r="U125" i="24"/>
  <c r="V125" i="24" s="1"/>
  <c r="P125" i="24"/>
  <c r="Q125" i="24" s="1"/>
  <c r="K125" i="24"/>
  <c r="L125" i="24" s="1"/>
  <c r="F125" i="24"/>
  <c r="G125" i="24" s="1"/>
  <c r="T124" i="24"/>
  <c r="T129" i="24" s="1"/>
  <c r="S124" i="24"/>
  <c r="S129" i="24" s="1"/>
  <c r="R124" i="24"/>
  <c r="R129" i="24" s="1"/>
  <c r="O124" i="24"/>
  <c r="N124" i="24"/>
  <c r="N129" i="24" s="1"/>
  <c r="M124" i="24"/>
  <c r="M129" i="24" s="1"/>
  <c r="J124" i="24"/>
  <c r="J129" i="24" s="1"/>
  <c r="J130" i="24" s="1"/>
  <c r="I124" i="24"/>
  <c r="I129" i="24" s="1"/>
  <c r="F124" i="24"/>
  <c r="G124" i="24" s="1"/>
  <c r="W123" i="24"/>
  <c r="X123" i="24" s="1"/>
  <c r="O15" i="26" s="1"/>
  <c r="U123" i="24"/>
  <c r="V123" i="24" s="1"/>
  <c r="P123" i="24"/>
  <c r="Q123" i="24" s="1"/>
  <c r="K123" i="24"/>
  <c r="L123" i="24" s="1"/>
  <c r="F123" i="24"/>
  <c r="G123" i="24" s="1"/>
  <c r="W120" i="24"/>
  <c r="X120" i="24" s="1"/>
  <c r="U120" i="24"/>
  <c r="V120" i="24" s="1"/>
  <c r="P120" i="24"/>
  <c r="Q120" i="24" s="1"/>
  <c r="K120" i="24"/>
  <c r="L120" i="24" s="1"/>
  <c r="F120" i="24"/>
  <c r="G120" i="24" s="1"/>
  <c r="W119" i="24"/>
  <c r="X119" i="24" s="1"/>
  <c r="U119" i="24"/>
  <c r="V119" i="24" s="1"/>
  <c r="P119" i="24"/>
  <c r="Q119" i="24" s="1"/>
  <c r="K119" i="24"/>
  <c r="L119" i="24" s="1"/>
  <c r="F119" i="24"/>
  <c r="G119" i="24" s="1"/>
  <c r="T118" i="24"/>
  <c r="T121" i="24" s="1"/>
  <c r="S118" i="24"/>
  <c r="R118" i="24"/>
  <c r="O118" i="24"/>
  <c r="N118" i="24"/>
  <c r="M118" i="24"/>
  <c r="J118" i="24"/>
  <c r="I118" i="24"/>
  <c r="H118" i="24"/>
  <c r="K118" i="24" s="1"/>
  <c r="L118" i="24" s="1"/>
  <c r="E118" i="24"/>
  <c r="D118" i="24"/>
  <c r="C118" i="24"/>
  <c r="C121" i="24" s="1"/>
  <c r="C130" i="24" s="1"/>
  <c r="F118" i="24"/>
  <c r="G118" i="24" s="1"/>
  <c r="R117" i="24"/>
  <c r="W117" i="24" s="1"/>
  <c r="X117" i="24" s="1"/>
  <c r="P117" i="24"/>
  <c r="Q117" i="24" s="1"/>
  <c r="K117" i="24"/>
  <c r="L117" i="24" s="1"/>
  <c r="F117" i="24"/>
  <c r="G117" i="24" s="1"/>
  <c r="W116" i="24"/>
  <c r="X116" i="24" s="1"/>
  <c r="U116" i="24"/>
  <c r="V116" i="24" s="1"/>
  <c r="P116" i="24"/>
  <c r="Q116" i="24" s="1"/>
  <c r="K116" i="24"/>
  <c r="L116" i="24" s="1"/>
  <c r="F116" i="24"/>
  <c r="G116" i="24" s="1"/>
  <c r="T115" i="24"/>
  <c r="S115" i="24"/>
  <c r="R115" i="24"/>
  <c r="O115" i="24"/>
  <c r="N115" i="24"/>
  <c r="N121" i="24" s="1"/>
  <c r="M115" i="24"/>
  <c r="M121" i="24" s="1"/>
  <c r="J115" i="24"/>
  <c r="J121" i="24" s="1"/>
  <c r="I115" i="24"/>
  <c r="I121" i="24" s="1"/>
  <c r="H115" i="24"/>
  <c r="E115" i="24"/>
  <c r="D115" i="24"/>
  <c r="D121" i="24" s="1"/>
  <c r="C115" i="24"/>
  <c r="W114" i="24"/>
  <c r="X114" i="24" s="1"/>
  <c r="U114" i="24"/>
  <c r="V114" i="24" s="1"/>
  <c r="P114" i="24"/>
  <c r="Q114" i="24" s="1"/>
  <c r="K114" i="24"/>
  <c r="L114" i="24" s="1"/>
  <c r="F114" i="24"/>
  <c r="G114" i="24" s="1"/>
  <c r="W113" i="24"/>
  <c r="X113" i="24" s="1"/>
  <c r="U113" i="24"/>
  <c r="V113" i="24" s="1"/>
  <c r="P113" i="24"/>
  <c r="Q113" i="24" s="1"/>
  <c r="K113" i="24"/>
  <c r="L113" i="24" s="1"/>
  <c r="F113" i="24"/>
  <c r="G113" i="24" s="1"/>
  <c r="W112" i="24"/>
  <c r="X112" i="24" s="1"/>
  <c r="U112" i="24"/>
  <c r="V112" i="24" s="1"/>
  <c r="P112" i="24"/>
  <c r="Q112" i="24" s="1"/>
  <c r="K112" i="24"/>
  <c r="L112" i="24" s="1"/>
  <c r="F112" i="24"/>
  <c r="G112" i="24" s="1"/>
  <c r="W111" i="24"/>
  <c r="X111" i="24" s="1"/>
  <c r="U111" i="24"/>
  <c r="V111" i="24" s="1"/>
  <c r="P111" i="24"/>
  <c r="Q111" i="24" s="1"/>
  <c r="K111" i="24"/>
  <c r="L111" i="24" s="1"/>
  <c r="F111" i="24"/>
  <c r="G111" i="24" s="1"/>
  <c r="W110" i="24"/>
  <c r="X110" i="24" s="1"/>
  <c r="U110" i="24"/>
  <c r="V110" i="24" s="1"/>
  <c r="P110" i="24"/>
  <c r="Q110" i="24" s="1"/>
  <c r="K110" i="24"/>
  <c r="L110" i="24" s="1"/>
  <c r="F110" i="24"/>
  <c r="G110" i="24" s="1"/>
  <c r="W109" i="24"/>
  <c r="X109" i="24" s="1"/>
  <c r="U109" i="24"/>
  <c r="V109" i="24" s="1"/>
  <c r="P109" i="24"/>
  <c r="Q109" i="24" s="1"/>
  <c r="K109" i="24"/>
  <c r="L109" i="24" s="1"/>
  <c r="F109" i="24"/>
  <c r="G109" i="24" s="1"/>
  <c r="W108" i="24"/>
  <c r="X108" i="24" s="1"/>
  <c r="U108" i="24"/>
  <c r="V108" i="24" s="1"/>
  <c r="P108" i="24"/>
  <c r="Q108" i="24" s="1"/>
  <c r="K108" i="24"/>
  <c r="L108" i="24" s="1"/>
  <c r="F108" i="24"/>
  <c r="G108" i="24" s="1"/>
  <c r="W107" i="24"/>
  <c r="X107" i="24" s="1"/>
  <c r="U107" i="24"/>
  <c r="V107" i="24" s="1"/>
  <c r="P107" i="24"/>
  <c r="Q107" i="24" s="1"/>
  <c r="K107" i="24"/>
  <c r="L107" i="24" s="1"/>
  <c r="F107" i="24"/>
  <c r="G107" i="24" s="1"/>
  <c r="AJ18" i="23"/>
  <c r="N1363" i="30"/>
  <c r="M1363" i="30"/>
  <c r="L1363" i="30"/>
  <c r="K1363" i="30"/>
  <c r="J1363" i="30"/>
  <c r="I1363" i="30"/>
  <c r="H1363" i="30"/>
  <c r="G1363" i="30"/>
  <c r="F1363" i="30"/>
  <c r="E1363" i="30"/>
  <c r="D1363" i="30"/>
  <c r="C1363" i="30"/>
  <c r="N1362" i="30"/>
  <c r="M1362" i="30"/>
  <c r="L1362" i="30"/>
  <c r="K1362" i="30"/>
  <c r="J1362" i="30"/>
  <c r="I1362" i="30"/>
  <c r="H1362" i="30"/>
  <c r="G1362" i="30"/>
  <c r="F1362" i="30"/>
  <c r="E1362" i="30"/>
  <c r="D1362" i="30"/>
  <c r="C1362" i="30"/>
  <c r="N1361" i="30"/>
  <c r="M1361" i="30"/>
  <c r="L1361" i="30"/>
  <c r="K1361" i="30"/>
  <c r="J1361" i="30"/>
  <c r="I1361" i="30"/>
  <c r="H1361" i="30"/>
  <c r="G1361" i="30"/>
  <c r="F1361" i="30"/>
  <c r="E1361" i="30"/>
  <c r="D1361" i="30"/>
  <c r="C1361" i="30"/>
  <c r="N1360" i="30"/>
  <c r="M1360" i="30"/>
  <c r="L1360" i="30"/>
  <c r="K1360" i="30"/>
  <c r="J1360" i="30"/>
  <c r="I1360" i="30"/>
  <c r="H1360" i="30"/>
  <c r="G1360" i="30"/>
  <c r="F1360" i="30"/>
  <c r="E1360" i="30"/>
  <c r="D1360" i="30"/>
  <c r="C1360" i="30"/>
  <c r="N1359" i="30"/>
  <c r="M1359" i="30"/>
  <c r="L1359" i="30"/>
  <c r="K1359" i="30"/>
  <c r="J1359" i="30"/>
  <c r="I1359" i="30"/>
  <c r="H1359" i="30"/>
  <c r="G1359" i="30"/>
  <c r="F1359" i="30"/>
  <c r="E1359" i="30"/>
  <c r="D1359" i="30"/>
  <c r="C1359" i="30"/>
  <c r="N1358" i="30"/>
  <c r="M1358" i="30"/>
  <c r="L1358" i="30"/>
  <c r="K1358" i="30"/>
  <c r="J1358" i="30"/>
  <c r="I1358" i="30"/>
  <c r="H1358" i="30"/>
  <c r="G1358" i="30"/>
  <c r="F1358" i="30"/>
  <c r="E1358" i="30"/>
  <c r="D1358" i="30"/>
  <c r="C1358" i="30"/>
  <c r="N1357" i="30"/>
  <c r="M1357" i="30"/>
  <c r="L1357" i="30"/>
  <c r="K1357" i="30"/>
  <c r="J1357" i="30"/>
  <c r="I1357" i="30"/>
  <c r="H1357" i="30"/>
  <c r="G1357" i="30"/>
  <c r="F1357" i="30"/>
  <c r="E1357" i="30"/>
  <c r="D1357" i="30"/>
  <c r="C1357" i="30"/>
  <c r="N1356" i="30"/>
  <c r="M1356" i="30"/>
  <c r="L1356" i="30"/>
  <c r="K1356" i="30"/>
  <c r="J1356" i="30"/>
  <c r="I1356" i="30"/>
  <c r="H1356" i="30"/>
  <c r="G1356" i="30"/>
  <c r="F1356" i="30"/>
  <c r="E1356" i="30"/>
  <c r="D1356" i="30"/>
  <c r="C1356" i="30"/>
  <c r="N1355" i="30"/>
  <c r="M1355" i="30"/>
  <c r="L1355" i="30"/>
  <c r="K1355" i="30"/>
  <c r="J1355" i="30"/>
  <c r="I1355" i="30"/>
  <c r="H1355" i="30"/>
  <c r="G1355" i="30"/>
  <c r="F1355" i="30"/>
  <c r="E1355" i="30"/>
  <c r="D1355" i="30"/>
  <c r="C1355" i="30"/>
  <c r="N1354" i="30"/>
  <c r="M1354" i="30"/>
  <c r="L1354" i="30"/>
  <c r="K1354" i="30"/>
  <c r="J1354" i="30"/>
  <c r="I1354" i="30"/>
  <c r="H1354" i="30"/>
  <c r="G1354" i="30"/>
  <c r="F1354" i="30"/>
  <c r="E1354" i="30"/>
  <c r="D1354" i="30"/>
  <c r="C1354" i="30"/>
  <c r="N1353" i="30"/>
  <c r="M1353" i="30"/>
  <c r="L1353" i="30"/>
  <c r="K1353" i="30"/>
  <c r="J1353" i="30"/>
  <c r="I1353" i="30"/>
  <c r="H1353" i="30"/>
  <c r="G1353" i="30"/>
  <c r="F1353" i="30"/>
  <c r="E1353" i="30"/>
  <c r="D1353" i="30"/>
  <c r="C1353" i="30"/>
  <c r="N1352" i="30"/>
  <c r="M1352" i="30"/>
  <c r="L1352" i="30"/>
  <c r="K1352" i="30"/>
  <c r="J1352" i="30"/>
  <c r="I1352" i="30"/>
  <c r="H1352" i="30"/>
  <c r="G1352" i="30"/>
  <c r="F1352" i="30"/>
  <c r="E1352" i="30"/>
  <c r="D1352" i="30"/>
  <c r="C1352" i="30"/>
  <c r="N1351" i="30"/>
  <c r="M1351" i="30"/>
  <c r="L1351" i="30"/>
  <c r="K1351" i="30"/>
  <c r="J1351" i="30"/>
  <c r="I1351" i="30"/>
  <c r="H1351" i="30"/>
  <c r="G1351" i="30"/>
  <c r="F1351" i="30"/>
  <c r="E1351" i="30"/>
  <c r="D1351" i="30"/>
  <c r="C1351" i="30"/>
  <c r="N1350" i="30"/>
  <c r="M1350" i="30"/>
  <c r="L1350" i="30"/>
  <c r="K1350" i="30"/>
  <c r="J1350" i="30"/>
  <c r="I1350" i="30"/>
  <c r="H1350" i="30"/>
  <c r="G1350" i="30"/>
  <c r="F1350" i="30"/>
  <c r="E1350" i="30"/>
  <c r="D1350" i="30"/>
  <c r="C1350" i="30"/>
  <c r="O1343" i="30"/>
  <c r="O1342" i="30"/>
  <c r="O1341" i="30"/>
  <c r="O1340" i="30"/>
  <c r="O1337" i="30"/>
  <c r="O1336" i="30"/>
  <c r="O1335" i="30"/>
  <c r="O1334" i="30"/>
  <c r="O1333" i="30"/>
  <c r="O1332" i="30"/>
  <c r="O1331" i="30"/>
  <c r="O1330" i="30"/>
  <c r="O1329" i="30"/>
  <c r="O1328" i="30"/>
  <c r="O1327" i="30"/>
  <c r="O1326" i="30"/>
  <c r="O1325" i="30"/>
  <c r="O1324" i="30"/>
  <c r="O1320" i="30"/>
  <c r="O1319" i="30"/>
  <c r="O1318" i="30"/>
  <c r="O1317" i="30"/>
  <c r="O1316" i="30"/>
  <c r="O1315" i="30"/>
  <c r="O1314" i="30"/>
  <c r="O1313" i="30"/>
  <c r="O1312" i="30"/>
  <c r="O1311" i="30"/>
  <c r="O1310" i="30"/>
  <c r="O1309" i="30"/>
  <c r="O1308" i="30"/>
  <c r="O1307" i="30"/>
  <c r="O1304" i="30"/>
  <c r="O1303" i="30"/>
  <c r="O1302" i="30"/>
  <c r="O1301" i="30"/>
  <c r="O1300" i="30"/>
  <c r="O1299" i="30"/>
  <c r="O1298" i="30"/>
  <c r="O1297" i="30"/>
  <c r="O1296" i="30"/>
  <c r="O1295" i="30"/>
  <c r="O1294" i="30"/>
  <c r="O1293" i="30"/>
  <c r="O1292" i="30"/>
  <c r="O1291" i="30"/>
  <c r="O1288" i="30"/>
  <c r="O1287" i="30"/>
  <c r="O1286" i="30"/>
  <c r="O1285" i="30"/>
  <c r="O1284" i="30"/>
  <c r="O1283" i="30"/>
  <c r="O1282" i="30"/>
  <c r="O1281" i="30"/>
  <c r="O1280" i="30"/>
  <c r="O1279" i="30"/>
  <c r="O1278" i="30"/>
  <c r="O1277" i="30"/>
  <c r="O1276" i="30"/>
  <c r="O1275" i="30"/>
  <c r="O1271" i="30"/>
  <c r="O1270" i="30"/>
  <c r="O1269" i="30"/>
  <c r="O1268" i="30"/>
  <c r="O1267" i="30"/>
  <c r="O1266" i="30"/>
  <c r="O1265" i="30"/>
  <c r="O1264" i="30"/>
  <c r="O1263" i="30"/>
  <c r="O1262" i="30"/>
  <c r="O1261" i="30"/>
  <c r="O1260" i="30"/>
  <c r="O1259" i="30"/>
  <c r="O1258" i="30"/>
  <c r="O1255" i="30"/>
  <c r="O1254" i="30"/>
  <c r="O1253" i="30"/>
  <c r="P1253" i="30" s="1"/>
  <c r="Q1253" i="30" s="1"/>
  <c r="O1252" i="30"/>
  <c r="O1251" i="30"/>
  <c r="O1250" i="30"/>
  <c r="O1249" i="30"/>
  <c r="O1248" i="30"/>
  <c r="O1247" i="30"/>
  <c r="O1246" i="30"/>
  <c r="O1245" i="30"/>
  <c r="P1245" i="30" s="1"/>
  <c r="Q1245" i="30" s="1"/>
  <c r="O1244" i="30"/>
  <c r="O1243" i="30"/>
  <c r="O1242" i="30"/>
  <c r="O1239" i="30"/>
  <c r="O1238" i="30"/>
  <c r="O1237" i="30"/>
  <c r="O1236" i="30"/>
  <c r="O1235" i="30"/>
  <c r="P1235" i="30" s="1"/>
  <c r="Q1235" i="30" s="1"/>
  <c r="O1234" i="30"/>
  <c r="O1233" i="30"/>
  <c r="O1232" i="30"/>
  <c r="O1231" i="30"/>
  <c r="O1230" i="30"/>
  <c r="O1229" i="30"/>
  <c r="O1228" i="30"/>
  <c r="O1227" i="30"/>
  <c r="O1226" i="30"/>
  <c r="O1222" i="30"/>
  <c r="O1221" i="30"/>
  <c r="O1220" i="30"/>
  <c r="O1219" i="30"/>
  <c r="O1218" i="30"/>
  <c r="O1217" i="30"/>
  <c r="O1216" i="30"/>
  <c r="P1216" i="30" s="1"/>
  <c r="Q1216" i="30" s="1"/>
  <c r="O1215" i="30"/>
  <c r="O1214" i="30"/>
  <c r="O1213" i="30"/>
  <c r="O1212" i="30"/>
  <c r="O1211" i="30"/>
  <c r="O1210" i="30"/>
  <c r="O1209" i="30"/>
  <c r="O1206" i="30"/>
  <c r="O1205" i="30"/>
  <c r="O1204" i="30"/>
  <c r="O1203" i="30"/>
  <c r="O1202" i="30"/>
  <c r="O1201" i="30"/>
  <c r="O1200" i="30"/>
  <c r="O1199" i="30"/>
  <c r="O1198" i="30"/>
  <c r="O1197" i="30"/>
  <c r="O1196" i="30"/>
  <c r="O1195" i="30"/>
  <c r="O1194" i="30"/>
  <c r="O1193" i="30"/>
  <c r="O1190" i="30"/>
  <c r="O1189" i="30"/>
  <c r="O1188" i="30"/>
  <c r="O1187" i="30"/>
  <c r="O1186" i="30"/>
  <c r="O1185" i="30"/>
  <c r="O1184" i="30"/>
  <c r="O1183" i="30"/>
  <c r="O1182" i="30"/>
  <c r="O1181" i="30"/>
  <c r="O1180" i="30"/>
  <c r="O1179" i="30"/>
  <c r="O1178" i="30"/>
  <c r="O1177" i="30"/>
  <c r="O1173" i="30"/>
  <c r="O1172" i="30"/>
  <c r="O1171" i="30"/>
  <c r="O1170" i="30"/>
  <c r="O1169" i="30"/>
  <c r="O1168" i="30"/>
  <c r="O1167" i="30"/>
  <c r="O1166" i="30"/>
  <c r="O1165" i="30"/>
  <c r="P1165" i="30" s="1"/>
  <c r="Q1165" i="30" s="1"/>
  <c r="O1164" i="30"/>
  <c r="O1163" i="30"/>
  <c r="O1162" i="30"/>
  <c r="O1161" i="30"/>
  <c r="O1160" i="30"/>
  <c r="O1157" i="30"/>
  <c r="O1156" i="30"/>
  <c r="O1155" i="30"/>
  <c r="O1154" i="30"/>
  <c r="O1153" i="30"/>
  <c r="O1152" i="30"/>
  <c r="O1151" i="30"/>
  <c r="O1150" i="30"/>
  <c r="O1149" i="30"/>
  <c r="O1148" i="30"/>
  <c r="O1147" i="30"/>
  <c r="O1146" i="30"/>
  <c r="O1145" i="30"/>
  <c r="O1144" i="30"/>
  <c r="O1141" i="30"/>
  <c r="O1140" i="30"/>
  <c r="O1139" i="30"/>
  <c r="O1138" i="30"/>
  <c r="O1137" i="30"/>
  <c r="P1137" i="30" s="1"/>
  <c r="Q1137" i="30" s="1"/>
  <c r="O1136" i="30"/>
  <c r="O1135" i="30"/>
  <c r="O1134" i="30"/>
  <c r="O1133" i="30"/>
  <c r="O1132" i="30"/>
  <c r="O1131" i="30"/>
  <c r="O1130" i="30"/>
  <c r="O1129" i="30"/>
  <c r="O1128" i="30"/>
  <c r="D21" i="8"/>
  <c r="F21" i="8" s="1"/>
  <c r="E110" i="21"/>
  <c r="F113" i="21" s="1"/>
  <c r="E25" i="21"/>
  <c r="E5" i="21"/>
  <c r="G37" i="1"/>
  <c r="G54" i="1"/>
  <c r="G71" i="1"/>
  <c r="G88" i="1"/>
  <c r="G105" i="1"/>
  <c r="G122" i="1"/>
  <c r="G139" i="1"/>
  <c r="G156" i="1"/>
  <c r="G173" i="1"/>
  <c r="G190" i="1"/>
  <c r="G207" i="1"/>
  <c r="G224" i="1"/>
  <c r="E8" i="2"/>
  <c r="C30" i="16" s="1"/>
  <c r="E9" i="2"/>
  <c r="T160" i="24"/>
  <c r="S160" i="24"/>
  <c r="R160" i="24"/>
  <c r="O160" i="24"/>
  <c r="M160" i="24"/>
  <c r="J160" i="24"/>
  <c r="I160" i="24"/>
  <c r="W159" i="24"/>
  <c r="X159" i="24" s="1"/>
  <c r="U159" i="24"/>
  <c r="V159" i="24" s="1"/>
  <c r="P159" i="24"/>
  <c r="Q159" i="24" s="1"/>
  <c r="K159" i="24"/>
  <c r="L159" i="24" s="1"/>
  <c r="F159" i="24"/>
  <c r="G159" i="24" s="1"/>
  <c r="W158" i="24"/>
  <c r="X158" i="24" s="1"/>
  <c r="U158" i="24"/>
  <c r="V158" i="24" s="1"/>
  <c r="P158" i="24"/>
  <c r="Q158" i="24" s="1"/>
  <c r="K158" i="24"/>
  <c r="L158" i="24" s="1"/>
  <c r="F158" i="24"/>
  <c r="G158" i="24" s="1"/>
  <c r="W157" i="24"/>
  <c r="X157" i="24" s="1"/>
  <c r="U157" i="24"/>
  <c r="V157" i="24" s="1"/>
  <c r="P157" i="24"/>
  <c r="Q157" i="24" s="1"/>
  <c r="K157" i="24"/>
  <c r="L157" i="24" s="1"/>
  <c r="F157" i="24"/>
  <c r="G157" i="24" s="1"/>
  <c r="W156" i="24"/>
  <c r="X156" i="24" s="1"/>
  <c r="U156" i="24"/>
  <c r="V156" i="24" s="1"/>
  <c r="P156" i="24"/>
  <c r="Q156" i="24" s="1"/>
  <c r="K156" i="24"/>
  <c r="L156" i="24" s="1"/>
  <c r="F156" i="24"/>
  <c r="G156" i="24" s="1"/>
  <c r="U155" i="24"/>
  <c r="V155" i="24" s="1"/>
  <c r="N155" i="24"/>
  <c r="H155" i="24"/>
  <c r="E155" i="24"/>
  <c r="D155" i="24"/>
  <c r="C155" i="24"/>
  <c r="W154" i="24"/>
  <c r="X154" i="24" s="1"/>
  <c r="O19" i="26" s="1"/>
  <c r="U154" i="24"/>
  <c r="V154" i="24" s="1"/>
  <c r="P154" i="24"/>
  <c r="Q154" i="24" s="1"/>
  <c r="K154" i="24"/>
  <c r="L154" i="24" s="1"/>
  <c r="F154" i="24"/>
  <c r="G154" i="24" s="1"/>
  <c r="W151" i="24"/>
  <c r="X151" i="24" s="1"/>
  <c r="U151" i="24"/>
  <c r="V151" i="24" s="1"/>
  <c r="P151" i="24"/>
  <c r="Q151" i="24" s="1"/>
  <c r="K151" i="24"/>
  <c r="L151" i="24" s="1"/>
  <c r="F151" i="24"/>
  <c r="G151" i="24" s="1"/>
  <c r="W150" i="24"/>
  <c r="X150" i="24" s="1"/>
  <c r="U150" i="24"/>
  <c r="V150" i="24" s="1"/>
  <c r="P150" i="24"/>
  <c r="Q150" i="24" s="1"/>
  <c r="K150" i="24"/>
  <c r="L150" i="24" s="1"/>
  <c r="F150" i="24"/>
  <c r="G150" i="24" s="1"/>
  <c r="T149" i="24"/>
  <c r="S149" i="24"/>
  <c r="R149" i="24"/>
  <c r="U149" i="24" s="1"/>
  <c r="V149" i="24" s="1"/>
  <c r="O149" i="24"/>
  <c r="N149" i="24"/>
  <c r="M149" i="24"/>
  <c r="J149" i="24"/>
  <c r="K149" i="24" s="1"/>
  <c r="L149" i="24" s="1"/>
  <c r="I149" i="24"/>
  <c r="I152" i="24" s="1"/>
  <c r="I161" i="24" s="1"/>
  <c r="H149" i="24"/>
  <c r="E149" i="24"/>
  <c r="D149" i="24"/>
  <c r="C149" i="24"/>
  <c r="W148" i="24"/>
  <c r="X148" i="24" s="1"/>
  <c r="U148" i="24"/>
  <c r="V148" i="24" s="1"/>
  <c r="P148" i="24"/>
  <c r="Q148" i="24" s="1"/>
  <c r="K148" i="24"/>
  <c r="L148" i="24" s="1"/>
  <c r="F148" i="24"/>
  <c r="G148" i="24" s="1"/>
  <c r="W147" i="24"/>
  <c r="X147" i="24" s="1"/>
  <c r="U147" i="24"/>
  <c r="V147" i="24" s="1"/>
  <c r="P147" i="24"/>
  <c r="Q147" i="24" s="1"/>
  <c r="K147" i="24"/>
  <c r="L147" i="24" s="1"/>
  <c r="F147" i="24"/>
  <c r="G147" i="24" s="1"/>
  <c r="T146" i="24"/>
  <c r="T152" i="24" s="1"/>
  <c r="T161" i="24" s="1"/>
  <c r="S146" i="24"/>
  <c r="R146" i="24"/>
  <c r="O146" i="24"/>
  <c r="N146" i="24"/>
  <c r="N152" i="24" s="1"/>
  <c r="M146" i="24"/>
  <c r="J146" i="24"/>
  <c r="I146" i="24"/>
  <c r="H146" i="24"/>
  <c r="E146" i="24"/>
  <c r="D146" i="24"/>
  <c r="C146" i="24"/>
  <c r="W145" i="24"/>
  <c r="X145" i="24" s="1"/>
  <c r="U145" i="24"/>
  <c r="V145" i="24" s="1"/>
  <c r="P145" i="24"/>
  <c r="Q145" i="24" s="1"/>
  <c r="K145" i="24"/>
  <c r="L145" i="24" s="1"/>
  <c r="F145" i="24"/>
  <c r="G145" i="24" s="1"/>
  <c r="W144" i="24"/>
  <c r="X144" i="24" s="1"/>
  <c r="U144" i="24"/>
  <c r="V144" i="24" s="1"/>
  <c r="P144" i="24"/>
  <c r="Q144" i="24" s="1"/>
  <c r="K144" i="24"/>
  <c r="L144" i="24" s="1"/>
  <c r="F144" i="24"/>
  <c r="G144" i="24" s="1"/>
  <c r="W143" i="24"/>
  <c r="X143" i="24" s="1"/>
  <c r="U143" i="24"/>
  <c r="V143" i="24" s="1"/>
  <c r="P143" i="24"/>
  <c r="Q143" i="24" s="1"/>
  <c r="K143" i="24"/>
  <c r="L143" i="24" s="1"/>
  <c r="F143" i="24"/>
  <c r="G143" i="24" s="1"/>
  <c r="W142" i="24"/>
  <c r="X142" i="24" s="1"/>
  <c r="U142" i="24"/>
  <c r="V142" i="24" s="1"/>
  <c r="P142" i="24"/>
  <c r="Q142" i="24" s="1"/>
  <c r="K142" i="24"/>
  <c r="L142" i="24" s="1"/>
  <c r="F142" i="24"/>
  <c r="G142" i="24" s="1"/>
  <c r="W141" i="24"/>
  <c r="X141" i="24" s="1"/>
  <c r="U141" i="24"/>
  <c r="V141" i="24" s="1"/>
  <c r="P141" i="24"/>
  <c r="Q141" i="24" s="1"/>
  <c r="K141" i="24"/>
  <c r="L141" i="24" s="1"/>
  <c r="F141" i="24"/>
  <c r="G141" i="24" s="1"/>
  <c r="W140" i="24"/>
  <c r="X140" i="24" s="1"/>
  <c r="U140" i="24"/>
  <c r="V140" i="24" s="1"/>
  <c r="P140" i="24"/>
  <c r="Q140" i="24" s="1"/>
  <c r="K140" i="24"/>
  <c r="L140" i="24" s="1"/>
  <c r="F140" i="24"/>
  <c r="G140" i="24" s="1"/>
  <c r="W139" i="24"/>
  <c r="X139" i="24" s="1"/>
  <c r="U139" i="24"/>
  <c r="V139" i="24" s="1"/>
  <c r="P139" i="24"/>
  <c r="Q139" i="24"/>
  <c r="K139" i="24"/>
  <c r="L139" i="24" s="1"/>
  <c r="F139" i="24"/>
  <c r="G139" i="24" s="1"/>
  <c r="W138" i="24"/>
  <c r="X138" i="24" s="1"/>
  <c r="U138" i="24"/>
  <c r="V138" i="24" s="1"/>
  <c r="P138" i="24"/>
  <c r="Q138" i="24" s="1"/>
  <c r="K138" i="24"/>
  <c r="L138" i="24" s="1"/>
  <c r="F138" i="24"/>
  <c r="G138" i="24" s="1"/>
  <c r="E5" i="2"/>
  <c r="E6" i="2"/>
  <c r="C31" i="16" s="1"/>
  <c r="E7" i="2"/>
  <c r="C29" i="16" s="1"/>
  <c r="E10" i="2"/>
  <c r="C33" i="16" s="1"/>
  <c r="E11" i="2"/>
  <c r="C34" i="16" s="1"/>
  <c r="E12" i="2"/>
  <c r="C35" i="16" s="1"/>
  <c r="E13" i="2"/>
  <c r="C37" i="16" s="1"/>
  <c r="E14" i="2"/>
  <c r="C38" i="16" s="1"/>
  <c r="E15" i="2"/>
  <c r="C39" i="16" s="1"/>
  <c r="E16" i="2"/>
  <c r="C36" i="16" s="1"/>
  <c r="C187" i="24"/>
  <c r="D187" i="24"/>
  <c r="E187" i="24"/>
  <c r="E192" i="24" s="1"/>
  <c r="H187" i="24"/>
  <c r="H192" i="24" s="1"/>
  <c r="I187" i="24"/>
  <c r="I192" i="24" s="1"/>
  <c r="J187" i="24"/>
  <c r="M187" i="24"/>
  <c r="M192" i="24" s="1"/>
  <c r="N187" i="24"/>
  <c r="N192" i="24" s="1"/>
  <c r="O187" i="24"/>
  <c r="R187" i="24"/>
  <c r="R192" i="24" s="1"/>
  <c r="S187" i="24"/>
  <c r="T187" i="24"/>
  <c r="F15" i="8"/>
  <c r="F18" i="8"/>
  <c r="F28" i="8"/>
  <c r="C17" i="2"/>
  <c r="D17" i="2"/>
  <c r="E57" i="21"/>
  <c r="F62" i="21" s="1"/>
  <c r="F19" i="11" s="1"/>
  <c r="E39" i="21"/>
  <c r="F45" i="21" s="1"/>
  <c r="F15" i="11" s="1"/>
  <c r="E24" i="21"/>
  <c r="E11" i="21"/>
  <c r="E12" i="21"/>
  <c r="E16" i="21"/>
  <c r="E93" i="21"/>
  <c r="F94" i="21" s="1"/>
  <c r="E98" i="21"/>
  <c r="F100" i="21" s="1"/>
  <c r="H100" i="21" s="1"/>
  <c r="N1593" i="30"/>
  <c r="M1593" i="30"/>
  <c r="L1593" i="30"/>
  <c r="K1593" i="30"/>
  <c r="J1593" i="30"/>
  <c r="I1593" i="30"/>
  <c r="H1593" i="30"/>
  <c r="G1593" i="30"/>
  <c r="F1593" i="30"/>
  <c r="E1593" i="30"/>
  <c r="D1593" i="30"/>
  <c r="C1593" i="30"/>
  <c r="N1592" i="30"/>
  <c r="M1592" i="30"/>
  <c r="L1592" i="30"/>
  <c r="K1592" i="30"/>
  <c r="J1592" i="30"/>
  <c r="I1592" i="30"/>
  <c r="H1592" i="30"/>
  <c r="G1592" i="30"/>
  <c r="F1592" i="30"/>
  <c r="E1592" i="30"/>
  <c r="D1592" i="30"/>
  <c r="C1592" i="30"/>
  <c r="N1591" i="30"/>
  <c r="M1591" i="30"/>
  <c r="L1591" i="30"/>
  <c r="K1591" i="30"/>
  <c r="J1591" i="30"/>
  <c r="I1591" i="30"/>
  <c r="H1591" i="30"/>
  <c r="G1591" i="30"/>
  <c r="F1591" i="30"/>
  <c r="E1591" i="30"/>
  <c r="D1591" i="30"/>
  <c r="C1591" i="30"/>
  <c r="N1590" i="30"/>
  <c r="M1590" i="30"/>
  <c r="L1590" i="30"/>
  <c r="K1590" i="30"/>
  <c r="J1590" i="30"/>
  <c r="I1590" i="30"/>
  <c r="H1590" i="30"/>
  <c r="G1590" i="30"/>
  <c r="F1590" i="30"/>
  <c r="E1590" i="30"/>
  <c r="D1590" i="30"/>
  <c r="C1590" i="30"/>
  <c r="N1589" i="30"/>
  <c r="M1589" i="30"/>
  <c r="L1589" i="30"/>
  <c r="K1589" i="30"/>
  <c r="J1589" i="30"/>
  <c r="I1589" i="30"/>
  <c r="H1589" i="30"/>
  <c r="G1589" i="30"/>
  <c r="F1589" i="30"/>
  <c r="E1589" i="30"/>
  <c r="D1589" i="30"/>
  <c r="C1589" i="30"/>
  <c r="N1588" i="30"/>
  <c r="M1588" i="30"/>
  <c r="L1588" i="30"/>
  <c r="K1588" i="30"/>
  <c r="J1588" i="30"/>
  <c r="I1588" i="30"/>
  <c r="H1588" i="30"/>
  <c r="G1588" i="30"/>
  <c r="F1588" i="30"/>
  <c r="E1588" i="30"/>
  <c r="D1588" i="30"/>
  <c r="C1588" i="30"/>
  <c r="N1587" i="30"/>
  <c r="M1587" i="30"/>
  <c r="L1587" i="30"/>
  <c r="K1587" i="30"/>
  <c r="J1587" i="30"/>
  <c r="I1587" i="30"/>
  <c r="H1587" i="30"/>
  <c r="G1587" i="30"/>
  <c r="F1587" i="30"/>
  <c r="E1587" i="30"/>
  <c r="D1587" i="30"/>
  <c r="C1587" i="30"/>
  <c r="N1586" i="30"/>
  <c r="M1586" i="30"/>
  <c r="L1586" i="30"/>
  <c r="K1586" i="30"/>
  <c r="J1586" i="30"/>
  <c r="I1586" i="30"/>
  <c r="H1586" i="30"/>
  <c r="G1586" i="30"/>
  <c r="F1586" i="30"/>
  <c r="E1586" i="30"/>
  <c r="D1586" i="30"/>
  <c r="C1586" i="30"/>
  <c r="N1585" i="30"/>
  <c r="M1585" i="30"/>
  <c r="L1585" i="30"/>
  <c r="K1585" i="30"/>
  <c r="J1585" i="30"/>
  <c r="I1585" i="30"/>
  <c r="H1585" i="30"/>
  <c r="G1585" i="30"/>
  <c r="F1585" i="30"/>
  <c r="E1585" i="30"/>
  <c r="D1585" i="30"/>
  <c r="C1585" i="30"/>
  <c r="N1584" i="30"/>
  <c r="M1584" i="30"/>
  <c r="L1584" i="30"/>
  <c r="K1584" i="30"/>
  <c r="J1584" i="30"/>
  <c r="I1584" i="30"/>
  <c r="H1584" i="30"/>
  <c r="G1584" i="30"/>
  <c r="F1584" i="30"/>
  <c r="E1584" i="30"/>
  <c r="D1584" i="30"/>
  <c r="C1584" i="30"/>
  <c r="N1583" i="30"/>
  <c r="M1583" i="30"/>
  <c r="L1583" i="30"/>
  <c r="K1583" i="30"/>
  <c r="J1583" i="30"/>
  <c r="I1583" i="30"/>
  <c r="H1583" i="30"/>
  <c r="G1583" i="30"/>
  <c r="F1583" i="30"/>
  <c r="E1583" i="30"/>
  <c r="D1583" i="30"/>
  <c r="C1583" i="30"/>
  <c r="N1582" i="30"/>
  <c r="M1582" i="30"/>
  <c r="L1582" i="30"/>
  <c r="K1582" i="30"/>
  <c r="J1582" i="30"/>
  <c r="I1582" i="30"/>
  <c r="H1582" i="30"/>
  <c r="G1582" i="30"/>
  <c r="F1582" i="30"/>
  <c r="E1582" i="30"/>
  <c r="D1582" i="30"/>
  <c r="C1582" i="30"/>
  <c r="N1581" i="30"/>
  <c r="M1581" i="30"/>
  <c r="L1581" i="30"/>
  <c r="K1581" i="30"/>
  <c r="J1581" i="30"/>
  <c r="I1581" i="30"/>
  <c r="H1581" i="30"/>
  <c r="G1581" i="30"/>
  <c r="F1581" i="30"/>
  <c r="E1581" i="30"/>
  <c r="D1581" i="30"/>
  <c r="C1581" i="30"/>
  <c r="O1573" i="30"/>
  <c r="O1572" i="30"/>
  <c r="O1571" i="30"/>
  <c r="O1568" i="30"/>
  <c r="O1567" i="30"/>
  <c r="O1566" i="30"/>
  <c r="O1565" i="30"/>
  <c r="P1565" i="30" s="1"/>
  <c r="Q1565" i="30" s="1"/>
  <c r="O1564" i="30"/>
  <c r="O1563" i="30"/>
  <c r="O1562" i="30"/>
  <c r="O1561" i="30"/>
  <c r="O1560" i="30"/>
  <c r="O1559" i="30"/>
  <c r="O1558" i="30"/>
  <c r="O1557" i="30"/>
  <c r="O1556" i="30"/>
  <c r="O1552" i="30"/>
  <c r="O1551" i="30"/>
  <c r="O1550" i="30"/>
  <c r="O1549" i="30"/>
  <c r="O1548" i="30"/>
  <c r="O1547" i="30"/>
  <c r="O1546" i="30"/>
  <c r="O1545" i="30"/>
  <c r="O1544" i="30"/>
  <c r="O1543" i="30"/>
  <c r="O1542" i="30"/>
  <c r="O1541" i="30"/>
  <c r="O1540" i="30"/>
  <c r="O1537" i="30"/>
  <c r="O1536" i="30"/>
  <c r="O1535" i="30"/>
  <c r="O1534" i="30"/>
  <c r="O1533" i="30"/>
  <c r="O1532" i="30"/>
  <c r="O1531" i="30"/>
  <c r="O1530" i="30"/>
  <c r="O1529" i="30"/>
  <c r="O1528" i="30"/>
  <c r="O1527" i="30"/>
  <c r="O1526" i="30"/>
  <c r="O1525" i="30"/>
  <c r="O1522" i="30"/>
  <c r="O1521" i="30"/>
  <c r="O1520" i="30"/>
  <c r="O1519" i="30"/>
  <c r="P1520" i="30" s="1"/>
  <c r="Q1520" i="30" s="1"/>
  <c r="O1518" i="30"/>
  <c r="O1517" i="30"/>
  <c r="O1516" i="30"/>
  <c r="O1515" i="30"/>
  <c r="O1514" i="30"/>
  <c r="O1513" i="30"/>
  <c r="O1512" i="30"/>
  <c r="O1511" i="30"/>
  <c r="O1510" i="30"/>
  <c r="O1506" i="30"/>
  <c r="O1505" i="30"/>
  <c r="O1504" i="30"/>
  <c r="O1503" i="30"/>
  <c r="O1502" i="30"/>
  <c r="O1501" i="30"/>
  <c r="O1500" i="30"/>
  <c r="P1501" i="30" s="1"/>
  <c r="Q1501" i="30" s="1"/>
  <c r="O1499" i="30"/>
  <c r="O1498" i="30"/>
  <c r="O1497" i="30"/>
  <c r="O1496" i="30"/>
  <c r="O1495" i="30"/>
  <c r="O1494" i="30"/>
  <c r="O1491" i="30"/>
  <c r="O1490" i="30"/>
  <c r="O1489" i="30"/>
  <c r="O1488" i="30"/>
  <c r="P1488" i="30" s="1"/>
  <c r="Q1488" i="30" s="1"/>
  <c r="O1487" i="30"/>
  <c r="O1486" i="30"/>
  <c r="O1485" i="30"/>
  <c r="O1484" i="30"/>
  <c r="O1483" i="30"/>
  <c r="P1483" i="30" s="1"/>
  <c r="Q1483" i="30" s="1"/>
  <c r="O1482" i="30"/>
  <c r="O1481" i="30"/>
  <c r="O1480" i="30"/>
  <c r="O1479" i="30"/>
  <c r="O1476" i="30"/>
  <c r="O1475" i="30"/>
  <c r="O1474" i="30"/>
  <c r="O1473" i="30"/>
  <c r="O1472" i="30"/>
  <c r="O1471" i="30"/>
  <c r="O1470" i="30"/>
  <c r="O1469" i="30"/>
  <c r="P1469" i="30" s="1"/>
  <c r="Q1469" i="30" s="1"/>
  <c r="O1468" i="30"/>
  <c r="O1467" i="30"/>
  <c r="O1466" i="30"/>
  <c r="O1465" i="30"/>
  <c r="O1464" i="30"/>
  <c r="O1460" i="30"/>
  <c r="O1459" i="30"/>
  <c r="O1458" i="30"/>
  <c r="O1457" i="30"/>
  <c r="O1456" i="30"/>
  <c r="O1455" i="30"/>
  <c r="O1454" i="30"/>
  <c r="O1453" i="30"/>
  <c r="O1452" i="30"/>
  <c r="O1451" i="30"/>
  <c r="O1450" i="30"/>
  <c r="O1449" i="30"/>
  <c r="O1448" i="30"/>
  <c r="O1445" i="30"/>
  <c r="O1444" i="30"/>
  <c r="O1443" i="30"/>
  <c r="O1442" i="30"/>
  <c r="O1441" i="30"/>
  <c r="O1440" i="30"/>
  <c r="O1439" i="30"/>
  <c r="O1438" i="30"/>
  <c r="O1437" i="30"/>
  <c r="O1436" i="30"/>
  <c r="P1436" i="30" s="1"/>
  <c r="Q1436" i="30" s="1"/>
  <c r="O1435" i="30"/>
  <c r="O1434" i="30"/>
  <c r="O1433" i="30"/>
  <c r="O1430" i="30"/>
  <c r="O1429" i="30"/>
  <c r="O1428" i="30"/>
  <c r="O1427" i="30"/>
  <c r="O1426" i="30"/>
  <c r="O1425" i="30"/>
  <c r="O1424" i="30"/>
  <c r="O1423" i="30"/>
  <c r="O1422" i="30"/>
  <c r="O1421" i="30"/>
  <c r="O1420" i="30"/>
  <c r="O1419" i="30"/>
  <c r="O1418" i="30"/>
  <c r="O1414" i="30"/>
  <c r="O1413" i="30"/>
  <c r="O1412" i="30"/>
  <c r="O1411" i="30"/>
  <c r="O1410" i="30"/>
  <c r="O1409" i="30"/>
  <c r="O1408" i="30"/>
  <c r="O1407" i="30"/>
  <c r="P1408" i="30" s="1"/>
  <c r="Q1408" i="30" s="1"/>
  <c r="O1406" i="30"/>
  <c r="O1405" i="30"/>
  <c r="O1404" i="30"/>
  <c r="P1405" i="30" s="1"/>
  <c r="Q1405" i="30" s="1"/>
  <c r="O1403" i="30"/>
  <c r="P1404" i="30" s="1"/>
  <c r="O1402" i="30"/>
  <c r="O1399" i="30"/>
  <c r="O1398" i="30"/>
  <c r="O1397" i="30"/>
  <c r="O1396" i="30"/>
  <c r="O1395" i="30"/>
  <c r="O1394" i="30"/>
  <c r="O1393" i="30"/>
  <c r="P1393" i="30" s="1"/>
  <c r="O1392" i="30"/>
  <c r="O1391" i="30"/>
  <c r="O1390" i="30"/>
  <c r="O1389" i="30"/>
  <c r="O1388" i="30"/>
  <c r="O1387" i="30"/>
  <c r="O1384" i="30"/>
  <c r="O1383" i="30"/>
  <c r="O1382" i="30"/>
  <c r="O1381" i="30"/>
  <c r="O1380" i="30"/>
  <c r="O1379" i="30"/>
  <c r="O1378" i="30"/>
  <c r="O1377" i="30"/>
  <c r="O1376" i="30"/>
  <c r="O1375" i="30"/>
  <c r="P1375" i="30" s="1"/>
  <c r="Q1375" i="30" s="1"/>
  <c r="O1374" i="30"/>
  <c r="O1373" i="30"/>
  <c r="O1372" i="30"/>
  <c r="P1499" i="30"/>
  <c r="Q1499" i="30" s="1"/>
  <c r="E34" i="4"/>
  <c r="F44" i="4" s="1"/>
  <c r="O192" i="24"/>
  <c r="P192" i="24"/>
  <c r="Q192" i="24" s="1"/>
  <c r="C192" i="24"/>
  <c r="W191" i="24"/>
  <c r="X191" i="24" s="1"/>
  <c r="U191" i="24"/>
  <c r="V191" i="24" s="1"/>
  <c r="P191" i="24"/>
  <c r="Q191" i="24" s="1"/>
  <c r="K191" i="24"/>
  <c r="L191" i="24"/>
  <c r="F191" i="24"/>
  <c r="G191" i="24" s="1"/>
  <c r="W190" i="24"/>
  <c r="X190" i="24" s="1"/>
  <c r="U190" i="24"/>
  <c r="V190" i="24" s="1"/>
  <c r="P190" i="24"/>
  <c r="Q190" i="24" s="1"/>
  <c r="K190" i="24"/>
  <c r="L190" i="24" s="1"/>
  <c r="F190" i="24"/>
  <c r="G190" i="24" s="1"/>
  <c r="W189" i="24"/>
  <c r="X189" i="24" s="1"/>
  <c r="U189" i="24"/>
  <c r="V189" i="24" s="1"/>
  <c r="P189" i="24"/>
  <c r="Q189" i="24" s="1"/>
  <c r="K189" i="24"/>
  <c r="L189" i="24" s="1"/>
  <c r="F189" i="24"/>
  <c r="G189" i="24" s="1"/>
  <c r="W188" i="24"/>
  <c r="X188" i="24" s="1"/>
  <c r="U188" i="24"/>
  <c r="V188" i="24" s="1"/>
  <c r="P188" i="24"/>
  <c r="Q188" i="24" s="1"/>
  <c r="K188" i="24"/>
  <c r="L188" i="24" s="1"/>
  <c r="F188" i="24"/>
  <c r="G188" i="24" s="1"/>
  <c r="W186" i="24"/>
  <c r="X186" i="24"/>
  <c r="O23" i="26" s="1"/>
  <c r="U186" i="24"/>
  <c r="V186" i="24" s="1"/>
  <c r="P186" i="24"/>
  <c r="Q186" i="24" s="1"/>
  <c r="K186" i="24"/>
  <c r="L186" i="24" s="1"/>
  <c r="F186" i="24"/>
  <c r="G186" i="24" s="1"/>
  <c r="W183" i="24"/>
  <c r="X183" i="24" s="1"/>
  <c r="U183" i="24"/>
  <c r="V183" i="24" s="1"/>
  <c r="P183" i="24"/>
  <c r="Q183" i="24" s="1"/>
  <c r="K183" i="24"/>
  <c r="L183" i="24" s="1"/>
  <c r="F183" i="24"/>
  <c r="G183" i="24" s="1"/>
  <c r="W182" i="24"/>
  <c r="X182" i="24" s="1"/>
  <c r="AK16" i="23" s="1"/>
  <c r="U182" i="24"/>
  <c r="V182" i="24"/>
  <c r="P182" i="24"/>
  <c r="Q182" i="24" s="1"/>
  <c r="K182" i="24"/>
  <c r="L182" i="24" s="1"/>
  <c r="F182" i="24"/>
  <c r="G182" i="24" s="1"/>
  <c r="T181" i="24"/>
  <c r="S181" i="24"/>
  <c r="S184" i="24" s="1"/>
  <c r="S193" i="24" s="1"/>
  <c r="R181" i="24"/>
  <c r="O181" i="24"/>
  <c r="N181" i="24"/>
  <c r="M181" i="24"/>
  <c r="J181" i="24"/>
  <c r="I181" i="24"/>
  <c r="H181" i="24"/>
  <c r="E181" i="24"/>
  <c r="D181" i="24"/>
  <c r="C181" i="24"/>
  <c r="W180" i="24"/>
  <c r="X180" i="24" s="1"/>
  <c r="AK14" i="23" s="1"/>
  <c r="AL14" i="23" s="1"/>
  <c r="U180" i="24"/>
  <c r="V180" i="24" s="1"/>
  <c r="P180" i="24"/>
  <c r="Q180" i="24" s="1"/>
  <c r="K180" i="24"/>
  <c r="L180" i="24" s="1"/>
  <c r="F180" i="24"/>
  <c r="G180" i="24" s="1"/>
  <c r="W179" i="24"/>
  <c r="X179" i="24" s="1"/>
  <c r="AK12" i="23" s="1"/>
  <c r="U179" i="24"/>
  <c r="V179" i="24" s="1"/>
  <c r="P179" i="24"/>
  <c r="Q179" i="24" s="1"/>
  <c r="K179" i="24"/>
  <c r="L179" i="24" s="1"/>
  <c r="F179" i="24"/>
  <c r="G179" i="24" s="1"/>
  <c r="T178" i="24"/>
  <c r="S178" i="24"/>
  <c r="R178" i="24"/>
  <c r="O178" i="24"/>
  <c r="N178" i="24"/>
  <c r="N184" i="24" s="1"/>
  <c r="N193" i="24" s="1"/>
  <c r="M178" i="24"/>
  <c r="J178" i="24"/>
  <c r="I178" i="24"/>
  <c r="K178" i="24" s="1"/>
  <c r="L178" i="24" s="1"/>
  <c r="H178" i="24"/>
  <c r="E178" i="24"/>
  <c r="E184" i="24" s="1"/>
  <c r="E193" i="24" s="1"/>
  <c r="D178" i="24"/>
  <c r="C178" i="24"/>
  <c r="W177" i="24"/>
  <c r="X177" i="24" s="1"/>
  <c r="AK10" i="23" s="1"/>
  <c r="AL10" i="23" s="1"/>
  <c r="U177" i="24"/>
  <c r="V177" i="24" s="1"/>
  <c r="P177" i="24"/>
  <c r="Q177" i="24" s="1"/>
  <c r="K177" i="24"/>
  <c r="L177" i="24" s="1"/>
  <c r="F177" i="24"/>
  <c r="G177" i="24" s="1"/>
  <c r="W176" i="24"/>
  <c r="X176" i="24" s="1"/>
  <c r="AK9" i="23" s="1"/>
  <c r="AL9" i="23" s="1"/>
  <c r="U176" i="24"/>
  <c r="V176" i="24" s="1"/>
  <c r="P176" i="24"/>
  <c r="Q176" i="24" s="1"/>
  <c r="K176" i="24"/>
  <c r="L176" i="24" s="1"/>
  <c r="F176" i="24"/>
  <c r="G176" i="24" s="1"/>
  <c r="W175" i="24"/>
  <c r="X175" i="24" s="1"/>
  <c r="AK8" i="23" s="1"/>
  <c r="U175" i="24"/>
  <c r="V175" i="24" s="1"/>
  <c r="P175" i="24"/>
  <c r="Q175" i="24" s="1"/>
  <c r="K175" i="24"/>
  <c r="L175" i="24" s="1"/>
  <c r="F175" i="24"/>
  <c r="G175" i="24" s="1"/>
  <c r="W174" i="24"/>
  <c r="X174" i="24"/>
  <c r="AK7" i="23" s="1"/>
  <c r="U174" i="24"/>
  <c r="V174" i="24" s="1"/>
  <c r="P174" i="24"/>
  <c r="Q174" i="24" s="1"/>
  <c r="K174" i="24"/>
  <c r="L174" i="24" s="1"/>
  <c r="F174" i="24"/>
  <c r="G174" i="24" s="1"/>
  <c r="W173" i="24"/>
  <c r="X173" i="24" s="1"/>
  <c r="AK5" i="23" s="1"/>
  <c r="AL5" i="23" s="1"/>
  <c r="U173" i="24"/>
  <c r="V173" i="24" s="1"/>
  <c r="P173" i="24"/>
  <c r="Q173" i="24" s="1"/>
  <c r="K173" i="24"/>
  <c r="L173" i="24" s="1"/>
  <c r="F173" i="24"/>
  <c r="G173" i="24" s="1"/>
  <c r="W172" i="24"/>
  <c r="X172" i="24" s="1"/>
  <c r="U172" i="24"/>
  <c r="V172" i="24" s="1"/>
  <c r="P172" i="24"/>
  <c r="Q172" i="24" s="1"/>
  <c r="K172" i="24"/>
  <c r="L172" i="24" s="1"/>
  <c r="F172" i="24"/>
  <c r="G172" i="24" s="1"/>
  <c r="W171" i="24"/>
  <c r="X171" i="24" s="1"/>
  <c r="AK3" i="23" s="1"/>
  <c r="U171" i="24"/>
  <c r="V171" i="24" s="1"/>
  <c r="P171" i="24"/>
  <c r="Q171" i="24" s="1"/>
  <c r="K171" i="24"/>
  <c r="L171" i="24"/>
  <c r="F171" i="24"/>
  <c r="G171" i="24" s="1"/>
  <c r="W170" i="24"/>
  <c r="X170" i="24" s="1"/>
  <c r="U170" i="24"/>
  <c r="V170" i="24" s="1"/>
  <c r="P170" i="24"/>
  <c r="Q170" i="24" s="1"/>
  <c r="K170" i="24"/>
  <c r="L170" i="24" s="1"/>
  <c r="F170" i="24"/>
  <c r="G170" i="24" s="1"/>
  <c r="E285" i="4"/>
  <c r="E79" i="4"/>
  <c r="B17" i="2"/>
  <c r="H9" i="19" s="1"/>
  <c r="T221" i="24"/>
  <c r="S221" i="24"/>
  <c r="U221" i="24" s="1"/>
  <c r="V221" i="24" s="1"/>
  <c r="R221" i="24"/>
  <c r="O221" i="24"/>
  <c r="N221" i="24"/>
  <c r="M221" i="24"/>
  <c r="J221" i="24"/>
  <c r="I221" i="24"/>
  <c r="H221" i="24"/>
  <c r="E221" i="24"/>
  <c r="D221" i="24"/>
  <c r="C221" i="24"/>
  <c r="W220" i="24"/>
  <c r="X220" i="24"/>
  <c r="U220" i="24"/>
  <c r="V220" i="24" s="1"/>
  <c r="P220" i="24"/>
  <c r="Q220" i="24" s="1"/>
  <c r="K220" i="24"/>
  <c r="L220" i="24" s="1"/>
  <c r="F220" i="24"/>
  <c r="G220" i="24" s="1"/>
  <c r="W219" i="24"/>
  <c r="X219" i="24" s="1"/>
  <c r="U219" i="24"/>
  <c r="V219" i="24" s="1"/>
  <c r="P219" i="24"/>
  <c r="Q219" i="24" s="1"/>
  <c r="K219" i="24"/>
  <c r="L219" i="24"/>
  <c r="F219" i="24"/>
  <c r="G219" i="24" s="1"/>
  <c r="W218" i="24"/>
  <c r="U218" i="24"/>
  <c r="V218" i="24" s="1"/>
  <c r="P218" i="24"/>
  <c r="Q218" i="24" s="1"/>
  <c r="K218" i="24"/>
  <c r="L218" i="24" s="1"/>
  <c r="F218" i="24"/>
  <c r="G218" i="24" s="1"/>
  <c r="W217" i="24"/>
  <c r="X217" i="24" s="1"/>
  <c r="U217" i="24"/>
  <c r="V217" i="24" s="1"/>
  <c r="P217" i="24"/>
  <c r="Q217" i="24" s="1"/>
  <c r="K217" i="24"/>
  <c r="L217" i="24" s="1"/>
  <c r="F217" i="24"/>
  <c r="G217" i="24" s="1"/>
  <c r="W216" i="24"/>
  <c r="X216" i="24" s="1"/>
  <c r="U216" i="24"/>
  <c r="V216" i="24" s="1"/>
  <c r="P216" i="24"/>
  <c r="Q216" i="24" s="1"/>
  <c r="K216" i="24"/>
  <c r="L216" i="24" s="1"/>
  <c r="F216" i="24"/>
  <c r="G216" i="24" s="1"/>
  <c r="W215" i="24"/>
  <c r="X215" i="24" s="1"/>
  <c r="O27" i="26" s="1"/>
  <c r="U215" i="24"/>
  <c r="V215" i="24" s="1"/>
  <c r="P215" i="24"/>
  <c r="Q215" i="24" s="1"/>
  <c r="K215" i="24"/>
  <c r="L215" i="24" s="1"/>
  <c r="F215" i="24"/>
  <c r="G215" i="24" s="1"/>
  <c r="W212" i="24"/>
  <c r="X212" i="24" s="1"/>
  <c r="U212" i="24"/>
  <c r="V212" i="24" s="1"/>
  <c r="P212" i="24"/>
  <c r="Q212" i="24"/>
  <c r="K212" i="24"/>
  <c r="L212" i="24" s="1"/>
  <c r="F212" i="24"/>
  <c r="G212" i="24" s="1"/>
  <c r="W211" i="24"/>
  <c r="X211" i="24" s="1"/>
  <c r="AH16" i="23" s="1"/>
  <c r="U211" i="24"/>
  <c r="V211" i="24" s="1"/>
  <c r="P211" i="24"/>
  <c r="Q211" i="24" s="1"/>
  <c r="K211" i="24"/>
  <c r="L211" i="24" s="1"/>
  <c r="F211" i="24"/>
  <c r="G211" i="24" s="1"/>
  <c r="T210" i="24"/>
  <c r="T213" i="24" s="1"/>
  <c r="T222" i="24" s="1"/>
  <c r="S210" i="24"/>
  <c r="R210" i="24"/>
  <c r="O210" i="24"/>
  <c r="N210" i="24"/>
  <c r="P210" i="24" s="1"/>
  <c r="Q210" i="24" s="1"/>
  <c r="M210" i="24"/>
  <c r="J210" i="24"/>
  <c r="I210" i="24"/>
  <c r="H210" i="24"/>
  <c r="E210" i="24"/>
  <c r="D210" i="24"/>
  <c r="C210" i="24"/>
  <c r="W209" i="24"/>
  <c r="X209" i="24" s="1"/>
  <c r="AH14" i="23" s="1"/>
  <c r="AI14" i="23" s="1"/>
  <c r="U209" i="24"/>
  <c r="V209" i="24" s="1"/>
  <c r="P209" i="24"/>
  <c r="Q209" i="24"/>
  <c r="K209" i="24"/>
  <c r="L209" i="24" s="1"/>
  <c r="F209" i="24"/>
  <c r="G209" i="24"/>
  <c r="W208" i="24"/>
  <c r="X208" i="24" s="1"/>
  <c r="AH12" i="23" s="1"/>
  <c r="AI12" i="23" s="1"/>
  <c r="U208" i="24"/>
  <c r="V208" i="24" s="1"/>
  <c r="P208" i="24"/>
  <c r="Q208" i="24" s="1"/>
  <c r="K208" i="24"/>
  <c r="L208" i="24" s="1"/>
  <c r="F208" i="24"/>
  <c r="G208" i="24" s="1"/>
  <c r="T207" i="24"/>
  <c r="S207" i="24"/>
  <c r="R207" i="24"/>
  <c r="O207" i="24"/>
  <c r="O213" i="24"/>
  <c r="O222" i="24" s="1"/>
  <c r="N207" i="24"/>
  <c r="N213" i="24" s="1"/>
  <c r="N222" i="24" s="1"/>
  <c r="M207" i="24"/>
  <c r="J207" i="24"/>
  <c r="I207" i="24"/>
  <c r="I213" i="24" s="1"/>
  <c r="I222" i="24" s="1"/>
  <c r="H207" i="24"/>
  <c r="E207" i="24"/>
  <c r="D207" i="24"/>
  <c r="C207" i="24"/>
  <c r="W206" i="24"/>
  <c r="X206" i="24" s="1"/>
  <c r="AH10" i="23" s="1"/>
  <c r="AI10" i="23" s="1"/>
  <c r="U206" i="24"/>
  <c r="V206" i="24" s="1"/>
  <c r="P206" i="24"/>
  <c r="Q206" i="24" s="1"/>
  <c r="K206" i="24"/>
  <c r="L206" i="24" s="1"/>
  <c r="F206" i="24"/>
  <c r="G206" i="24" s="1"/>
  <c r="W205" i="24"/>
  <c r="X205" i="24" s="1"/>
  <c r="AH9" i="23" s="1"/>
  <c r="U205" i="24"/>
  <c r="V205" i="24" s="1"/>
  <c r="P205" i="24"/>
  <c r="Q205" i="24"/>
  <c r="K205" i="24"/>
  <c r="L205" i="24" s="1"/>
  <c r="F205" i="24"/>
  <c r="G205" i="24" s="1"/>
  <c r="W204" i="24"/>
  <c r="X204" i="24" s="1"/>
  <c r="AH8" i="23" s="1"/>
  <c r="AI8" i="23" s="1"/>
  <c r="U204" i="24"/>
  <c r="V204" i="24" s="1"/>
  <c r="P204" i="24"/>
  <c r="Q204" i="24" s="1"/>
  <c r="K204" i="24"/>
  <c r="L204" i="24"/>
  <c r="F204" i="24"/>
  <c r="G204" i="24" s="1"/>
  <c r="W203" i="24"/>
  <c r="X203" i="24"/>
  <c r="AH7" i="23" s="1"/>
  <c r="AI7" i="23" s="1"/>
  <c r="U203" i="24"/>
  <c r="V203" i="24" s="1"/>
  <c r="P203" i="24"/>
  <c r="Q203" i="24" s="1"/>
  <c r="K203" i="24"/>
  <c r="L203" i="24" s="1"/>
  <c r="F203" i="24"/>
  <c r="G203" i="24" s="1"/>
  <c r="W202" i="24"/>
  <c r="X202" i="24" s="1"/>
  <c r="AH5" i="23" s="1"/>
  <c r="AI5" i="23" s="1"/>
  <c r="U202" i="24"/>
  <c r="V202" i="24"/>
  <c r="P202" i="24"/>
  <c r="Q202" i="24" s="1"/>
  <c r="K202" i="24"/>
  <c r="L202" i="24" s="1"/>
  <c r="F202" i="24"/>
  <c r="G202" i="24" s="1"/>
  <c r="W201" i="24"/>
  <c r="X201" i="24" s="1"/>
  <c r="U201" i="24"/>
  <c r="V201" i="24" s="1"/>
  <c r="P201" i="24"/>
  <c r="Q201" i="24"/>
  <c r="K201" i="24"/>
  <c r="L201" i="24" s="1"/>
  <c r="F201" i="24"/>
  <c r="G201" i="24"/>
  <c r="W200" i="24"/>
  <c r="X200" i="24" s="1"/>
  <c r="AH3" i="23" s="1"/>
  <c r="AI3" i="23" s="1"/>
  <c r="U200" i="24"/>
  <c r="V200" i="24" s="1"/>
  <c r="P200" i="24"/>
  <c r="Q200" i="24" s="1"/>
  <c r="K200" i="24"/>
  <c r="L200" i="24" s="1"/>
  <c r="F200" i="24"/>
  <c r="G200" i="24"/>
  <c r="W199" i="24"/>
  <c r="X199" i="24" s="1"/>
  <c r="U199" i="24"/>
  <c r="V199" i="24"/>
  <c r="P199" i="24"/>
  <c r="Q199" i="24" s="1"/>
  <c r="K199" i="24"/>
  <c r="L199" i="24" s="1"/>
  <c r="F199" i="24"/>
  <c r="G199" i="24" s="1"/>
  <c r="C10" i="6"/>
  <c r="D25" i="6"/>
  <c r="D26" i="6"/>
  <c r="D27" i="6"/>
  <c r="D28" i="6"/>
  <c r="D29" i="6"/>
  <c r="D30" i="6"/>
  <c r="D31" i="6"/>
  <c r="D32" i="6"/>
  <c r="D33" i="6"/>
  <c r="D34" i="6"/>
  <c r="D35" i="6"/>
  <c r="D36" i="6"/>
  <c r="E224" i="1"/>
  <c r="H37" i="1"/>
  <c r="E294" i="4"/>
  <c r="W229" i="24"/>
  <c r="X229" i="24" s="1"/>
  <c r="W230" i="24"/>
  <c r="X230" i="24" s="1"/>
  <c r="AE3" i="23" s="1"/>
  <c r="W231" i="24"/>
  <c r="X231" i="24" s="1"/>
  <c r="W232" i="24"/>
  <c r="X232" i="24"/>
  <c r="AE5" i="23" s="1"/>
  <c r="W233" i="24"/>
  <c r="X233" i="24" s="1"/>
  <c r="AE7" i="23" s="1"/>
  <c r="AF7" i="23" s="1"/>
  <c r="W234" i="24"/>
  <c r="X234" i="24" s="1"/>
  <c r="AE8" i="23" s="1"/>
  <c r="W235" i="24"/>
  <c r="X235" i="24" s="1"/>
  <c r="AE9" i="23" s="1"/>
  <c r="AF9" i="23" s="1"/>
  <c r="W236" i="24"/>
  <c r="X236" i="24" s="1"/>
  <c r="AE10" i="23" s="1"/>
  <c r="AF10" i="23" s="1"/>
  <c r="H237" i="24"/>
  <c r="W237" i="24" s="1"/>
  <c r="X237" i="24" s="1"/>
  <c r="I237" i="24"/>
  <c r="J237" i="24"/>
  <c r="J243" i="24" s="1"/>
  <c r="J252" i="24" s="1"/>
  <c r="M237" i="24"/>
  <c r="P237" i="24" s="1"/>
  <c r="Q237" i="24" s="1"/>
  <c r="N237" i="24"/>
  <c r="O237" i="24"/>
  <c r="R237" i="24"/>
  <c r="S237" i="24"/>
  <c r="T237" i="24"/>
  <c r="W238" i="24"/>
  <c r="X238" i="24" s="1"/>
  <c r="AE12" i="23" s="1"/>
  <c r="AF12" i="23" s="1"/>
  <c r="W239" i="24"/>
  <c r="X239" i="24" s="1"/>
  <c r="AE14" i="23" s="1"/>
  <c r="AF14" i="23" s="1"/>
  <c r="H240" i="24"/>
  <c r="I240" i="24"/>
  <c r="W240" i="24" s="1"/>
  <c r="X240" i="24" s="1"/>
  <c r="AE15" i="23" s="1"/>
  <c r="AF15" i="23" s="1"/>
  <c r="J240" i="24"/>
  <c r="K240" i="24" s="1"/>
  <c r="L240" i="24" s="1"/>
  <c r="M240" i="24"/>
  <c r="N240" i="24"/>
  <c r="O240" i="24"/>
  <c r="P240" i="24" s="1"/>
  <c r="Q240" i="24" s="1"/>
  <c r="R240" i="24"/>
  <c r="U240" i="24" s="1"/>
  <c r="V240" i="24" s="1"/>
  <c r="S240" i="24"/>
  <c r="T240" i="24"/>
  <c r="T243" i="24" s="1"/>
  <c r="T252" i="24" s="1"/>
  <c r="W241" i="24"/>
  <c r="X241" i="24" s="1"/>
  <c r="AE16" i="23" s="1"/>
  <c r="W242" i="24"/>
  <c r="X242" i="24" s="1"/>
  <c r="W245" i="24"/>
  <c r="X245" i="24" s="1"/>
  <c r="W246" i="24"/>
  <c r="X246" i="24" s="1"/>
  <c r="W247" i="24"/>
  <c r="W248" i="24"/>
  <c r="X248" i="24" s="1"/>
  <c r="W249" i="24"/>
  <c r="X249" i="24"/>
  <c r="W250" i="24"/>
  <c r="X250" i="24" s="1"/>
  <c r="C243" i="24"/>
  <c r="D243" i="24"/>
  <c r="D252" i="24" s="1"/>
  <c r="E243" i="24"/>
  <c r="F243" i="24" s="1"/>
  <c r="G243" i="24" s="1"/>
  <c r="R251" i="24"/>
  <c r="S251" i="24"/>
  <c r="T251" i="24"/>
  <c r="M251" i="24"/>
  <c r="N251" i="24"/>
  <c r="O251" i="24"/>
  <c r="H251" i="24"/>
  <c r="I251" i="24"/>
  <c r="J251" i="24"/>
  <c r="C251" i="24"/>
  <c r="D251" i="24"/>
  <c r="E251" i="24"/>
  <c r="U250" i="24"/>
  <c r="V250" i="24" s="1"/>
  <c r="P250" i="24"/>
  <c r="Q250" i="24" s="1"/>
  <c r="K250" i="24"/>
  <c r="L250" i="24" s="1"/>
  <c r="F250" i="24"/>
  <c r="G250" i="24" s="1"/>
  <c r="U249" i="24"/>
  <c r="V249" i="24" s="1"/>
  <c r="P249" i="24"/>
  <c r="Q249" i="24" s="1"/>
  <c r="K249" i="24"/>
  <c r="L249" i="24"/>
  <c r="F249" i="24"/>
  <c r="G249" i="24" s="1"/>
  <c r="U248" i="24"/>
  <c r="V248" i="24" s="1"/>
  <c r="P248" i="24"/>
  <c r="Q248" i="24" s="1"/>
  <c r="K248" i="24"/>
  <c r="L248" i="24" s="1"/>
  <c r="F248" i="24"/>
  <c r="G248" i="24" s="1"/>
  <c r="U247" i="24"/>
  <c r="V247" i="24" s="1"/>
  <c r="P247" i="24"/>
  <c r="Q247" i="24" s="1"/>
  <c r="K247" i="24"/>
  <c r="L247" i="24" s="1"/>
  <c r="F247" i="24"/>
  <c r="G247" i="24" s="1"/>
  <c r="U246" i="24"/>
  <c r="V246" i="24"/>
  <c r="P246" i="24"/>
  <c r="Q246" i="24" s="1"/>
  <c r="K246" i="24"/>
  <c r="L246" i="24"/>
  <c r="F246" i="24"/>
  <c r="G246" i="24" s="1"/>
  <c r="U245" i="24"/>
  <c r="V245" i="24" s="1"/>
  <c r="P245" i="24"/>
  <c r="Q245" i="24" s="1"/>
  <c r="K245" i="24"/>
  <c r="L245" i="24" s="1"/>
  <c r="F245" i="24"/>
  <c r="G245" i="24" s="1"/>
  <c r="U242" i="24"/>
  <c r="V242" i="24" s="1"/>
  <c r="P242" i="24"/>
  <c r="Q242" i="24" s="1"/>
  <c r="K242" i="24"/>
  <c r="L242" i="24"/>
  <c r="F242" i="24"/>
  <c r="G242" i="24" s="1"/>
  <c r="U241" i="24"/>
  <c r="V241" i="24" s="1"/>
  <c r="P241" i="24"/>
  <c r="Q241" i="24" s="1"/>
  <c r="K241" i="24"/>
  <c r="L241" i="24"/>
  <c r="F241" i="24"/>
  <c r="G241" i="24" s="1"/>
  <c r="F240" i="24"/>
  <c r="G240" i="24" s="1"/>
  <c r="U239" i="24"/>
  <c r="V239" i="24"/>
  <c r="P239" i="24"/>
  <c r="Q239" i="24" s="1"/>
  <c r="K239" i="24"/>
  <c r="L239" i="24" s="1"/>
  <c r="F239" i="24"/>
  <c r="G239" i="24" s="1"/>
  <c r="U238" i="24"/>
  <c r="V238" i="24"/>
  <c r="P238" i="24"/>
  <c r="Q238" i="24" s="1"/>
  <c r="K238" i="24"/>
  <c r="L238" i="24"/>
  <c r="F238" i="24"/>
  <c r="G238" i="24" s="1"/>
  <c r="F237" i="24"/>
  <c r="G237" i="24"/>
  <c r="U236" i="24"/>
  <c r="V236" i="24" s="1"/>
  <c r="P236" i="24"/>
  <c r="Q236" i="24" s="1"/>
  <c r="K236" i="24"/>
  <c r="L236" i="24" s="1"/>
  <c r="F236" i="24"/>
  <c r="G236" i="24" s="1"/>
  <c r="U235" i="24"/>
  <c r="V235" i="24" s="1"/>
  <c r="P235" i="24"/>
  <c r="Q235" i="24" s="1"/>
  <c r="K235" i="24"/>
  <c r="L235" i="24" s="1"/>
  <c r="F235" i="24"/>
  <c r="G235" i="24" s="1"/>
  <c r="U234" i="24"/>
  <c r="V234" i="24" s="1"/>
  <c r="P234" i="24"/>
  <c r="Q234" i="24" s="1"/>
  <c r="K234" i="24"/>
  <c r="L234" i="24" s="1"/>
  <c r="F234" i="24"/>
  <c r="G234" i="24" s="1"/>
  <c r="U233" i="24"/>
  <c r="V233" i="24" s="1"/>
  <c r="P233" i="24"/>
  <c r="Q233" i="24" s="1"/>
  <c r="K233" i="24"/>
  <c r="L233" i="24" s="1"/>
  <c r="F233" i="24"/>
  <c r="G233" i="24"/>
  <c r="U232" i="24"/>
  <c r="V232" i="24" s="1"/>
  <c r="P232" i="24"/>
  <c r="Q232" i="24" s="1"/>
  <c r="K232" i="24"/>
  <c r="L232" i="24" s="1"/>
  <c r="F232" i="24"/>
  <c r="G232" i="24" s="1"/>
  <c r="U231" i="24"/>
  <c r="V231" i="24" s="1"/>
  <c r="P231" i="24"/>
  <c r="Q231" i="24" s="1"/>
  <c r="K231" i="24"/>
  <c r="L231" i="24" s="1"/>
  <c r="F231" i="24"/>
  <c r="G231" i="24"/>
  <c r="U230" i="24"/>
  <c r="V230" i="24" s="1"/>
  <c r="P230" i="24"/>
  <c r="Q230" i="24" s="1"/>
  <c r="K230" i="24"/>
  <c r="L230" i="24" s="1"/>
  <c r="F230" i="24"/>
  <c r="G230" i="24" s="1"/>
  <c r="U229" i="24"/>
  <c r="V229" i="24" s="1"/>
  <c r="P229" i="24"/>
  <c r="Q229" i="24"/>
  <c r="K229" i="24"/>
  <c r="L229" i="24" s="1"/>
  <c r="F229" i="24"/>
  <c r="G229" i="24" s="1"/>
  <c r="W260" i="24"/>
  <c r="X260" i="24" s="1"/>
  <c r="W275" i="24"/>
  <c r="X275" i="24" s="1"/>
  <c r="N31" i="26"/>
  <c r="N35" i="26"/>
  <c r="N43" i="26"/>
  <c r="N39" i="26"/>
  <c r="F3" i="8"/>
  <c r="F4" i="8"/>
  <c r="F5" i="8"/>
  <c r="F6" i="8"/>
  <c r="F7" i="8"/>
  <c r="F8" i="8"/>
  <c r="F13" i="8"/>
  <c r="F14" i="8"/>
  <c r="F16" i="8"/>
  <c r="F19" i="8"/>
  <c r="F20" i="8"/>
  <c r="F22" i="8"/>
  <c r="F24" i="8"/>
  <c r="F25" i="8"/>
  <c r="F26" i="8"/>
  <c r="F27" i="8"/>
  <c r="F29" i="8"/>
  <c r="F30" i="8"/>
  <c r="E31" i="8"/>
  <c r="C38" i="6"/>
  <c r="B38" i="6"/>
  <c r="C24" i="3"/>
  <c r="W277" i="24"/>
  <c r="X277" i="24" s="1"/>
  <c r="W278" i="24"/>
  <c r="W279" i="24"/>
  <c r="X279" i="24" s="1"/>
  <c r="W280" i="24"/>
  <c r="X280" i="24" s="1"/>
  <c r="W276" i="24"/>
  <c r="W261" i="24"/>
  <c r="X261" i="24" s="1"/>
  <c r="W262" i="24"/>
  <c r="X262" i="24" s="1"/>
  <c r="W263" i="24"/>
  <c r="X263" i="24" s="1"/>
  <c r="W264" i="24"/>
  <c r="X264" i="24" s="1"/>
  <c r="W265" i="24"/>
  <c r="X265" i="24" s="1"/>
  <c r="W266" i="24"/>
  <c r="X266" i="24" s="1"/>
  <c r="W267" i="24"/>
  <c r="X267" i="24" s="1"/>
  <c r="W268" i="24"/>
  <c r="X268" i="24" s="1"/>
  <c r="W269" i="24"/>
  <c r="X269" i="24" s="1"/>
  <c r="W270" i="24"/>
  <c r="X270" i="24" s="1"/>
  <c r="W271" i="24"/>
  <c r="X271" i="24" s="1"/>
  <c r="W272" i="24"/>
  <c r="X272" i="24" s="1"/>
  <c r="W259" i="24"/>
  <c r="X259" i="24" s="1"/>
  <c r="M281" i="24"/>
  <c r="P281" i="24" s="1"/>
  <c r="Q281" i="24" s="1"/>
  <c r="N281" i="24"/>
  <c r="N282" i="24" s="1"/>
  <c r="O281" i="24"/>
  <c r="P278" i="24"/>
  <c r="Q278" i="24" s="1"/>
  <c r="P279" i="24"/>
  <c r="Q279" i="24" s="1"/>
  <c r="P280" i="24"/>
  <c r="Q280" i="24" s="1"/>
  <c r="P277" i="24"/>
  <c r="Q277" i="24" s="1"/>
  <c r="P275" i="24"/>
  <c r="Q275" i="24" s="1"/>
  <c r="P276" i="24"/>
  <c r="Q276" i="24"/>
  <c r="M273" i="24"/>
  <c r="M282" i="24" s="1"/>
  <c r="N273" i="24"/>
  <c r="O273" i="24"/>
  <c r="O282" i="24"/>
  <c r="P261" i="24"/>
  <c r="Q261" i="24" s="1"/>
  <c r="P262" i="24"/>
  <c r="Q262" i="24" s="1"/>
  <c r="P263" i="24"/>
  <c r="Q263" i="24" s="1"/>
  <c r="P264" i="24"/>
  <c r="Q264" i="24" s="1"/>
  <c r="P265" i="24"/>
  <c r="Q265" i="24" s="1"/>
  <c r="P266" i="24"/>
  <c r="Q266" i="24"/>
  <c r="P267" i="24"/>
  <c r="Q267" i="24" s="1"/>
  <c r="P268" i="24"/>
  <c r="Q268" i="24" s="1"/>
  <c r="P269" i="24"/>
  <c r="Q269" i="24" s="1"/>
  <c r="P270" i="24"/>
  <c r="Q270" i="24" s="1"/>
  <c r="P271" i="24"/>
  <c r="Q271" i="24" s="1"/>
  <c r="P260" i="24"/>
  <c r="Q260" i="24" s="1"/>
  <c r="P259" i="24"/>
  <c r="Q259" i="24" s="1"/>
  <c r="C273" i="24"/>
  <c r="F273" i="24" s="1"/>
  <c r="G273" i="24" s="1"/>
  <c r="D273" i="24"/>
  <c r="E273" i="24"/>
  <c r="H273" i="24"/>
  <c r="I273" i="24"/>
  <c r="J273" i="24"/>
  <c r="R273" i="24"/>
  <c r="S273" i="24"/>
  <c r="T273" i="24"/>
  <c r="T282" i="24" s="1"/>
  <c r="R281" i="24"/>
  <c r="S281" i="24"/>
  <c r="S282" i="24" s="1"/>
  <c r="T281" i="24"/>
  <c r="H281" i="24"/>
  <c r="I281" i="24"/>
  <c r="J281" i="24"/>
  <c r="C281" i="24"/>
  <c r="D281" i="24"/>
  <c r="E281" i="24"/>
  <c r="U280" i="24"/>
  <c r="V280" i="24" s="1"/>
  <c r="K280" i="24"/>
  <c r="L280" i="24" s="1"/>
  <c r="F280" i="24"/>
  <c r="G280" i="24" s="1"/>
  <c r="U279" i="24"/>
  <c r="V279" i="24" s="1"/>
  <c r="K279" i="24"/>
  <c r="L279" i="24" s="1"/>
  <c r="F279" i="24"/>
  <c r="G279" i="24" s="1"/>
  <c r="U278" i="24"/>
  <c r="V278" i="24" s="1"/>
  <c r="K278" i="24"/>
  <c r="L278" i="24" s="1"/>
  <c r="F278" i="24"/>
  <c r="G278" i="24" s="1"/>
  <c r="U277" i="24"/>
  <c r="V277" i="24" s="1"/>
  <c r="K277" i="24"/>
  <c r="L277" i="24" s="1"/>
  <c r="F277" i="24"/>
  <c r="G277" i="24" s="1"/>
  <c r="U276" i="24"/>
  <c r="V276" i="24" s="1"/>
  <c r="K276" i="24"/>
  <c r="L276" i="24" s="1"/>
  <c r="F276" i="24"/>
  <c r="G276" i="24" s="1"/>
  <c r="U275" i="24"/>
  <c r="V275" i="24" s="1"/>
  <c r="K275" i="24"/>
  <c r="L275" i="24" s="1"/>
  <c r="F275" i="24"/>
  <c r="G275" i="24" s="1"/>
  <c r="U272" i="24"/>
  <c r="V272" i="24" s="1"/>
  <c r="P272" i="24"/>
  <c r="Q272" i="24" s="1"/>
  <c r="K272" i="24"/>
  <c r="L272" i="24" s="1"/>
  <c r="F272" i="24"/>
  <c r="G272" i="24" s="1"/>
  <c r="U271" i="24"/>
  <c r="V271" i="24" s="1"/>
  <c r="K271" i="24"/>
  <c r="L271" i="24"/>
  <c r="F271" i="24"/>
  <c r="G271" i="24" s="1"/>
  <c r="U270" i="24"/>
  <c r="V270" i="24" s="1"/>
  <c r="K270" i="24"/>
  <c r="L270" i="24" s="1"/>
  <c r="F270" i="24"/>
  <c r="G270" i="24" s="1"/>
  <c r="U269" i="24"/>
  <c r="V269" i="24" s="1"/>
  <c r="K269" i="24"/>
  <c r="L269" i="24" s="1"/>
  <c r="F269" i="24"/>
  <c r="G269" i="24" s="1"/>
  <c r="U268" i="24"/>
  <c r="V268" i="24" s="1"/>
  <c r="K268" i="24"/>
  <c r="L268" i="24" s="1"/>
  <c r="F268" i="24"/>
  <c r="G268" i="24" s="1"/>
  <c r="U267" i="24"/>
  <c r="V267" i="24" s="1"/>
  <c r="K267" i="24"/>
  <c r="L267" i="24" s="1"/>
  <c r="F267" i="24"/>
  <c r="G267" i="24" s="1"/>
  <c r="U266" i="24"/>
  <c r="V266" i="24" s="1"/>
  <c r="K266" i="24"/>
  <c r="L266" i="24" s="1"/>
  <c r="F266" i="24"/>
  <c r="G266" i="24" s="1"/>
  <c r="U265" i="24"/>
  <c r="V265" i="24" s="1"/>
  <c r="K265" i="24"/>
  <c r="L265" i="24" s="1"/>
  <c r="F265" i="24"/>
  <c r="G265" i="24" s="1"/>
  <c r="U264" i="24"/>
  <c r="V264" i="24" s="1"/>
  <c r="K264" i="24"/>
  <c r="L264" i="24" s="1"/>
  <c r="F264" i="24"/>
  <c r="G264" i="24" s="1"/>
  <c r="U263" i="24"/>
  <c r="V263" i="24" s="1"/>
  <c r="K263" i="24"/>
  <c r="L263" i="24" s="1"/>
  <c r="F263" i="24"/>
  <c r="G263" i="24" s="1"/>
  <c r="U262" i="24"/>
  <c r="V262" i="24" s="1"/>
  <c r="K262" i="24"/>
  <c r="L262" i="24" s="1"/>
  <c r="F262" i="24"/>
  <c r="G262" i="24" s="1"/>
  <c r="U261" i="24"/>
  <c r="V261" i="24" s="1"/>
  <c r="K261" i="24"/>
  <c r="L261" i="24" s="1"/>
  <c r="F261" i="24"/>
  <c r="G261" i="24" s="1"/>
  <c r="U260" i="24"/>
  <c r="V260" i="24" s="1"/>
  <c r="K260" i="24"/>
  <c r="L260" i="24" s="1"/>
  <c r="F260" i="24"/>
  <c r="G260" i="24" s="1"/>
  <c r="U259" i="24"/>
  <c r="V259" i="24" s="1"/>
  <c r="K259" i="24"/>
  <c r="L259" i="24" s="1"/>
  <c r="F259" i="24"/>
  <c r="G259" i="24" s="1"/>
  <c r="F289" i="24"/>
  <c r="G289" i="24" s="1"/>
  <c r="K289" i="24"/>
  <c r="L289" i="24" s="1"/>
  <c r="P289" i="24"/>
  <c r="Q289" i="24"/>
  <c r="U289" i="24"/>
  <c r="V289" i="24" s="1"/>
  <c r="W289" i="24"/>
  <c r="X289" i="24" s="1"/>
  <c r="F290" i="24"/>
  <c r="G290" i="24" s="1"/>
  <c r="K290" i="24"/>
  <c r="L290" i="24" s="1"/>
  <c r="P290" i="24"/>
  <c r="Q290" i="24" s="1"/>
  <c r="U290" i="24"/>
  <c r="V290" i="24" s="1"/>
  <c r="W290" i="24"/>
  <c r="X290" i="24" s="1"/>
  <c r="F291" i="24"/>
  <c r="G291" i="24" s="1"/>
  <c r="K291" i="24"/>
  <c r="L291" i="24" s="1"/>
  <c r="P291" i="24"/>
  <c r="Q291" i="24" s="1"/>
  <c r="U291" i="24"/>
  <c r="V291" i="24" s="1"/>
  <c r="W291" i="24"/>
  <c r="X291" i="24" s="1"/>
  <c r="F292" i="24"/>
  <c r="G292" i="24" s="1"/>
  <c r="K292" i="24"/>
  <c r="L292" i="24" s="1"/>
  <c r="P292" i="24"/>
  <c r="Q292" i="24" s="1"/>
  <c r="U292" i="24"/>
  <c r="V292" i="24"/>
  <c r="W292" i="24"/>
  <c r="X292" i="24" s="1"/>
  <c r="F293" i="24"/>
  <c r="G293" i="24" s="1"/>
  <c r="K293" i="24"/>
  <c r="L293" i="24" s="1"/>
  <c r="P293" i="24"/>
  <c r="Q293" i="24" s="1"/>
  <c r="U293" i="24"/>
  <c r="V293" i="24" s="1"/>
  <c r="W293" i="24"/>
  <c r="X293" i="24" s="1"/>
  <c r="F294" i="24"/>
  <c r="G294" i="24" s="1"/>
  <c r="K294" i="24"/>
  <c r="L294" i="24" s="1"/>
  <c r="P294" i="24"/>
  <c r="Q294" i="24" s="1"/>
  <c r="U294" i="24"/>
  <c r="V294" i="24" s="1"/>
  <c r="W294" i="24"/>
  <c r="X294" i="24" s="1"/>
  <c r="F295" i="24"/>
  <c r="G295" i="24"/>
  <c r="K295" i="24"/>
  <c r="L295" i="24" s="1"/>
  <c r="P295" i="24"/>
  <c r="Q295" i="24" s="1"/>
  <c r="U295" i="24"/>
  <c r="V295" i="24" s="1"/>
  <c r="W295" i="24"/>
  <c r="X295" i="24" s="1"/>
  <c r="F296" i="24"/>
  <c r="G296" i="24" s="1"/>
  <c r="K296" i="24"/>
  <c r="L296" i="24" s="1"/>
  <c r="P296" i="24"/>
  <c r="Q296" i="24" s="1"/>
  <c r="U296" i="24"/>
  <c r="V296" i="24" s="1"/>
  <c r="W296" i="24"/>
  <c r="X296" i="24" s="1"/>
  <c r="F297" i="24"/>
  <c r="G297" i="24" s="1"/>
  <c r="K297" i="24"/>
  <c r="L297" i="24" s="1"/>
  <c r="P297" i="24"/>
  <c r="Q297" i="24" s="1"/>
  <c r="U297" i="24"/>
  <c r="V297" i="24" s="1"/>
  <c r="W297" i="24"/>
  <c r="X297" i="24" s="1"/>
  <c r="F298" i="24"/>
  <c r="G298" i="24" s="1"/>
  <c r="K298" i="24"/>
  <c r="L298" i="24"/>
  <c r="P298" i="24"/>
  <c r="Q298" i="24" s="1"/>
  <c r="U298" i="24"/>
  <c r="V298" i="24" s="1"/>
  <c r="W298" i="24"/>
  <c r="X298" i="24" s="1"/>
  <c r="F299" i="24"/>
  <c r="G299" i="24"/>
  <c r="K299" i="24"/>
  <c r="L299" i="24" s="1"/>
  <c r="P299" i="24"/>
  <c r="Q299" i="24"/>
  <c r="U299" i="24"/>
  <c r="V299" i="24" s="1"/>
  <c r="W299" i="24"/>
  <c r="X299" i="24" s="1"/>
  <c r="F300" i="24"/>
  <c r="G300" i="24" s="1"/>
  <c r="K300" i="24"/>
  <c r="L300" i="24" s="1"/>
  <c r="P300" i="24"/>
  <c r="Q300" i="24" s="1"/>
  <c r="U300" i="24"/>
  <c r="V300" i="24" s="1"/>
  <c r="W300" i="24"/>
  <c r="X300" i="24" s="1"/>
  <c r="F301" i="24"/>
  <c r="G301" i="24" s="1"/>
  <c r="K301" i="24"/>
  <c r="L301" i="24" s="1"/>
  <c r="P301" i="24"/>
  <c r="Q301" i="24" s="1"/>
  <c r="U301" i="24"/>
  <c r="V301" i="24" s="1"/>
  <c r="W301" i="24"/>
  <c r="X301" i="24" s="1"/>
  <c r="F302" i="24"/>
  <c r="G302" i="24" s="1"/>
  <c r="K302" i="24"/>
  <c r="L302" i="24" s="1"/>
  <c r="P302" i="24"/>
  <c r="Q302" i="24"/>
  <c r="U302" i="24"/>
  <c r="V302" i="24" s="1"/>
  <c r="W302" i="24"/>
  <c r="X302" i="24" s="1"/>
  <c r="C303" i="24"/>
  <c r="D303" i="24"/>
  <c r="F303" i="24" s="1"/>
  <c r="G303" i="24" s="1"/>
  <c r="G312" i="24" s="1"/>
  <c r="E303" i="24"/>
  <c r="H303" i="24"/>
  <c r="K303" i="24" s="1"/>
  <c r="L303" i="24" s="1"/>
  <c r="I303" i="24"/>
  <c r="I312" i="24" s="1"/>
  <c r="J303" i="24"/>
  <c r="M303" i="24"/>
  <c r="N303" i="24"/>
  <c r="O303" i="24"/>
  <c r="O312" i="24" s="1"/>
  <c r="R303" i="24"/>
  <c r="S303" i="24"/>
  <c r="S312" i="24" s="1"/>
  <c r="T303" i="24"/>
  <c r="F305" i="24"/>
  <c r="G305" i="24"/>
  <c r="K305" i="24"/>
  <c r="L305" i="24" s="1"/>
  <c r="P305" i="24"/>
  <c r="Q305" i="24" s="1"/>
  <c r="U305" i="24"/>
  <c r="V305" i="24" s="1"/>
  <c r="W305" i="24"/>
  <c r="X305" i="24" s="1"/>
  <c r="F306" i="24"/>
  <c r="G306" i="24" s="1"/>
  <c r="K306" i="24"/>
  <c r="L306" i="24"/>
  <c r="P306" i="24"/>
  <c r="Q306" i="24" s="1"/>
  <c r="U306" i="24"/>
  <c r="V306" i="24" s="1"/>
  <c r="W306" i="24"/>
  <c r="X306" i="24" s="1"/>
  <c r="F307" i="24"/>
  <c r="G307" i="24" s="1"/>
  <c r="K307" i="24"/>
  <c r="L307" i="24" s="1"/>
  <c r="P307" i="24"/>
  <c r="Q307" i="24" s="1"/>
  <c r="U307" i="24"/>
  <c r="V307" i="24" s="1"/>
  <c r="W307" i="24"/>
  <c r="X307" i="24"/>
  <c r="F308" i="24"/>
  <c r="G308" i="24" s="1"/>
  <c r="K308" i="24"/>
  <c r="L308" i="24"/>
  <c r="P308" i="24"/>
  <c r="Q308" i="24" s="1"/>
  <c r="U308" i="24"/>
  <c r="V308" i="24" s="1"/>
  <c r="W308" i="24"/>
  <c r="X308" i="24" s="1"/>
  <c r="F309" i="24"/>
  <c r="G309" i="24"/>
  <c r="K309" i="24"/>
  <c r="L309" i="24" s="1"/>
  <c r="P309" i="24"/>
  <c r="Q309" i="24"/>
  <c r="U309" i="24"/>
  <c r="V309" i="24" s="1"/>
  <c r="W309" i="24"/>
  <c r="X309" i="24"/>
  <c r="F310" i="24"/>
  <c r="G310" i="24" s="1"/>
  <c r="K310" i="24"/>
  <c r="L310" i="24" s="1"/>
  <c r="P310" i="24"/>
  <c r="Q310" i="24" s="1"/>
  <c r="U310" i="24"/>
  <c r="V310" i="24" s="1"/>
  <c r="W310" i="24"/>
  <c r="X310" i="24" s="1"/>
  <c r="C311" i="24"/>
  <c r="C312" i="24" s="1"/>
  <c r="D311" i="24"/>
  <c r="E311" i="24"/>
  <c r="H311" i="24"/>
  <c r="I311" i="24"/>
  <c r="J311" i="24"/>
  <c r="J312" i="24" s="1"/>
  <c r="M311" i="24"/>
  <c r="N311" i="24"/>
  <c r="O311" i="24"/>
  <c r="R311" i="24"/>
  <c r="S311" i="24"/>
  <c r="T311" i="24"/>
  <c r="W336" i="24"/>
  <c r="X336" i="24" s="1"/>
  <c r="X341" i="24" s="1"/>
  <c r="W338" i="24"/>
  <c r="X338" i="24"/>
  <c r="W319" i="24"/>
  <c r="X319" i="24" s="1"/>
  <c r="W320" i="24"/>
  <c r="X320" i="24" s="1"/>
  <c r="W321" i="24"/>
  <c r="X321" i="24" s="1"/>
  <c r="W322" i="24"/>
  <c r="X322" i="24" s="1"/>
  <c r="W323" i="24"/>
  <c r="X323" i="24" s="1"/>
  <c r="W324" i="24"/>
  <c r="X324" i="24" s="1"/>
  <c r="W325" i="24"/>
  <c r="X325" i="24" s="1"/>
  <c r="W326" i="24"/>
  <c r="X326" i="24"/>
  <c r="W327" i="24"/>
  <c r="X327" i="24" s="1"/>
  <c r="W328" i="24"/>
  <c r="X328" i="24" s="1"/>
  <c r="W329" i="24"/>
  <c r="X329" i="24" s="1"/>
  <c r="W330" i="24"/>
  <c r="X330" i="24" s="1"/>
  <c r="W331" i="24"/>
  <c r="X331" i="24" s="1"/>
  <c r="W332" i="24"/>
  <c r="X332" i="24" s="1"/>
  <c r="W335" i="24"/>
  <c r="X335" i="24" s="1"/>
  <c r="W337" i="24"/>
  <c r="X337" i="24" s="1"/>
  <c r="W339" i="24"/>
  <c r="X339" i="24" s="1"/>
  <c r="W340" i="24"/>
  <c r="X340" i="24" s="1"/>
  <c r="C333" i="24"/>
  <c r="F333" i="24" s="1"/>
  <c r="G333" i="24" s="1"/>
  <c r="D333" i="24"/>
  <c r="E333" i="24"/>
  <c r="H333" i="24"/>
  <c r="W333" i="24" s="1"/>
  <c r="I333" i="24"/>
  <c r="J333" i="24"/>
  <c r="M333" i="24"/>
  <c r="M342" i="24" s="1"/>
  <c r="N333" i="24"/>
  <c r="O333" i="24"/>
  <c r="R333" i="24"/>
  <c r="S333" i="24"/>
  <c r="T333" i="24"/>
  <c r="T342" i="24" s="1"/>
  <c r="R341" i="24"/>
  <c r="S341" i="24"/>
  <c r="S342" i="24" s="1"/>
  <c r="T341" i="24"/>
  <c r="M341" i="24"/>
  <c r="N341" i="24"/>
  <c r="O341" i="24"/>
  <c r="H341" i="24"/>
  <c r="I341" i="24"/>
  <c r="J341" i="24"/>
  <c r="C341" i="24"/>
  <c r="D341" i="24"/>
  <c r="E341" i="24"/>
  <c r="U340" i="24"/>
  <c r="V340" i="24"/>
  <c r="P340" i="24"/>
  <c r="Q340" i="24" s="1"/>
  <c r="K340" i="24"/>
  <c r="L340" i="24" s="1"/>
  <c r="F340" i="24"/>
  <c r="G340" i="24" s="1"/>
  <c r="U339" i="24"/>
  <c r="V339" i="24" s="1"/>
  <c r="P339" i="24"/>
  <c r="Q339" i="24" s="1"/>
  <c r="K339" i="24"/>
  <c r="L339" i="24" s="1"/>
  <c r="F339" i="24"/>
  <c r="G339" i="24" s="1"/>
  <c r="U338" i="24"/>
  <c r="V338" i="24"/>
  <c r="P338" i="24"/>
  <c r="Q338" i="24" s="1"/>
  <c r="K338" i="24"/>
  <c r="L338" i="24" s="1"/>
  <c r="F338" i="24"/>
  <c r="G338" i="24" s="1"/>
  <c r="U337" i="24"/>
  <c r="V337" i="24" s="1"/>
  <c r="P337" i="24"/>
  <c r="Q337" i="24" s="1"/>
  <c r="K337" i="24"/>
  <c r="L337" i="24"/>
  <c r="F337" i="24"/>
  <c r="G337" i="24" s="1"/>
  <c r="U336" i="24"/>
  <c r="V336" i="24" s="1"/>
  <c r="P336" i="24"/>
  <c r="Q336" i="24" s="1"/>
  <c r="K336" i="24"/>
  <c r="L336" i="24" s="1"/>
  <c r="F336" i="24"/>
  <c r="G336" i="24" s="1"/>
  <c r="U335" i="24"/>
  <c r="V335" i="24" s="1"/>
  <c r="P335" i="24"/>
  <c r="Q335" i="24" s="1"/>
  <c r="K335" i="24"/>
  <c r="L335" i="24"/>
  <c r="F335" i="24"/>
  <c r="G335" i="24" s="1"/>
  <c r="U332" i="24"/>
  <c r="V332" i="24" s="1"/>
  <c r="P332" i="24"/>
  <c r="Q332" i="24" s="1"/>
  <c r="K332" i="24"/>
  <c r="L332" i="24" s="1"/>
  <c r="F332" i="24"/>
  <c r="G332" i="24" s="1"/>
  <c r="U331" i="24"/>
  <c r="V331" i="24"/>
  <c r="P331" i="24"/>
  <c r="Q331" i="24" s="1"/>
  <c r="K331" i="24"/>
  <c r="L331" i="24" s="1"/>
  <c r="F331" i="24"/>
  <c r="G331" i="24" s="1"/>
  <c r="U330" i="24"/>
  <c r="V330" i="24"/>
  <c r="P330" i="24"/>
  <c r="Q330" i="24" s="1"/>
  <c r="K330" i="24"/>
  <c r="L330" i="24" s="1"/>
  <c r="F330" i="24"/>
  <c r="G330" i="24" s="1"/>
  <c r="U329" i="24"/>
  <c r="V329" i="24" s="1"/>
  <c r="P329" i="24"/>
  <c r="Q329" i="24" s="1"/>
  <c r="K329" i="24"/>
  <c r="L329" i="24" s="1"/>
  <c r="F329" i="24"/>
  <c r="G329" i="24" s="1"/>
  <c r="U328" i="24"/>
  <c r="V328" i="24"/>
  <c r="P328" i="24"/>
  <c r="Q328" i="24" s="1"/>
  <c r="K328" i="24"/>
  <c r="L328" i="24" s="1"/>
  <c r="F328" i="24"/>
  <c r="G328" i="24" s="1"/>
  <c r="U327" i="24"/>
  <c r="V327" i="24" s="1"/>
  <c r="P327" i="24"/>
  <c r="Q327" i="24" s="1"/>
  <c r="K327" i="24"/>
  <c r="L327" i="24" s="1"/>
  <c r="F327" i="24"/>
  <c r="G327" i="24" s="1"/>
  <c r="U326" i="24"/>
  <c r="V326" i="24" s="1"/>
  <c r="P326" i="24"/>
  <c r="Q326" i="24" s="1"/>
  <c r="K326" i="24"/>
  <c r="L326" i="24" s="1"/>
  <c r="F326" i="24"/>
  <c r="G326" i="24" s="1"/>
  <c r="U325" i="24"/>
  <c r="V325" i="24"/>
  <c r="P325" i="24"/>
  <c r="Q325" i="24" s="1"/>
  <c r="K325" i="24"/>
  <c r="L325" i="24" s="1"/>
  <c r="F325" i="24"/>
  <c r="G325" i="24" s="1"/>
  <c r="U324" i="24"/>
  <c r="V324" i="24" s="1"/>
  <c r="P324" i="24"/>
  <c r="Q324" i="24" s="1"/>
  <c r="K324" i="24"/>
  <c r="L324" i="24" s="1"/>
  <c r="F324" i="24"/>
  <c r="G324" i="24" s="1"/>
  <c r="U323" i="24"/>
  <c r="V323" i="24" s="1"/>
  <c r="P323" i="24"/>
  <c r="Q323" i="24" s="1"/>
  <c r="K323" i="24"/>
  <c r="L323" i="24" s="1"/>
  <c r="F323" i="24"/>
  <c r="G323" i="24" s="1"/>
  <c r="U322" i="24"/>
  <c r="V322" i="24" s="1"/>
  <c r="P322" i="24"/>
  <c r="Q322" i="24" s="1"/>
  <c r="K322" i="24"/>
  <c r="L322" i="24" s="1"/>
  <c r="F322" i="24"/>
  <c r="G322" i="24" s="1"/>
  <c r="U321" i="24"/>
  <c r="V321" i="24" s="1"/>
  <c r="P321" i="24"/>
  <c r="Q321" i="24" s="1"/>
  <c r="K321" i="24"/>
  <c r="L321" i="24"/>
  <c r="F321" i="24"/>
  <c r="G321" i="24" s="1"/>
  <c r="U320" i="24"/>
  <c r="V320" i="24" s="1"/>
  <c r="P320" i="24"/>
  <c r="Q320" i="24" s="1"/>
  <c r="K320" i="24"/>
  <c r="L320" i="24" s="1"/>
  <c r="F320" i="24"/>
  <c r="G320" i="24" s="1"/>
  <c r="U319" i="24"/>
  <c r="V319" i="24" s="1"/>
  <c r="P319" i="24"/>
  <c r="Q319" i="24" s="1"/>
  <c r="K319" i="24"/>
  <c r="L319" i="24"/>
  <c r="F319" i="24"/>
  <c r="G319" i="24" s="1"/>
  <c r="N71" i="26"/>
  <c r="N67" i="26"/>
  <c r="O67" i="26" s="1"/>
  <c r="N47" i="26"/>
  <c r="N63" i="26"/>
  <c r="N59" i="26"/>
  <c r="O59" i="26"/>
  <c r="N55" i="26"/>
  <c r="O55" i="26" s="1"/>
  <c r="N51" i="26"/>
  <c r="E363" i="24"/>
  <c r="D363" i="24"/>
  <c r="C363" i="24"/>
  <c r="R371" i="24"/>
  <c r="S371" i="24"/>
  <c r="T371" i="24"/>
  <c r="U371" i="24" s="1"/>
  <c r="V371" i="24" s="1"/>
  <c r="U370" i="24"/>
  <c r="V370" i="24"/>
  <c r="U369" i="24"/>
  <c r="V369" i="24" s="1"/>
  <c r="U368" i="24"/>
  <c r="V368" i="24" s="1"/>
  <c r="U367" i="24"/>
  <c r="V367" i="24" s="1"/>
  <c r="U366" i="24"/>
  <c r="V366" i="24" s="1"/>
  <c r="U365" i="24"/>
  <c r="V365" i="24" s="1"/>
  <c r="R363" i="24"/>
  <c r="S363" i="24"/>
  <c r="T363" i="24"/>
  <c r="U362" i="24"/>
  <c r="V362" i="24" s="1"/>
  <c r="U361" i="24"/>
  <c r="V361" i="24" s="1"/>
  <c r="U360" i="24"/>
  <c r="V360" i="24" s="1"/>
  <c r="U359" i="24"/>
  <c r="V359" i="24" s="1"/>
  <c r="U358" i="24"/>
  <c r="V358" i="24" s="1"/>
  <c r="U357" i="24"/>
  <c r="V357" i="24" s="1"/>
  <c r="U356" i="24"/>
  <c r="V356" i="24" s="1"/>
  <c r="U355" i="24"/>
  <c r="V355" i="24"/>
  <c r="U354" i="24"/>
  <c r="V354" i="24" s="1"/>
  <c r="U353" i="24"/>
  <c r="V353" i="24" s="1"/>
  <c r="U352" i="24"/>
  <c r="V352" i="24" s="1"/>
  <c r="U351" i="24"/>
  <c r="V351" i="24" s="1"/>
  <c r="U350" i="24"/>
  <c r="V350" i="24" s="1"/>
  <c r="U349" i="24"/>
  <c r="V349" i="24" s="1"/>
  <c r="E393" i="24"/>
  <c r="F393" i="24" s="1"/>
  <c r="G393" i="24" s="1"/>
  <c r="G402" i="24" s="1"/>
  <c r="C393" i="24"/>
  <c r="U379" i="24"/>
  <c r="V379" i="24" s="1"/>
  <c r="F392" i="24"/>
  <c r="G392" i="24" s="1"/>
  <c r="F391" i="24"/>
  <c r="G391" i="24" s="1"/>
  <c r="F390" i="24"/>
  <c r="G390" i="24" s="1"/>
  <c r="F389" i="24"/>
  <c r="G389" i="24" s="1"/>
  <c r="F388" i="24"/>
  <c r="G388" i="24" s="1"/>
  <c r="F387" i="24"/>
  <c r="G387" i="24" s="1"/>
  <c r="F386" i="24"/>
  <c r="G386" i="24" s="1"/>
  <c r="F385" i="24"/>
  <c r="G385" i="24" s="1"/>
  <c r="F384" i="24"/>
  <c r="G384" i="24" s="1"/>
  <c r="F383" i="24"/>
  <c r="G383" i="24"/>
  <c r="F382" i="24"/>
  <c r="G382" i="24" s="1"/>
  <c r="F381" i="24"/>
  <c r="G381" i="24" s="1"/>
  <c r="F380" i="24"/>
  <c r="G380" i="24" s="1"/>
  <c r="F379" i="24"/>
  <c r="G379" i="24" s="1"/>
  <c r="C371" i="24"/>
  <c r="D371" i="24"/>
  <c r="D372" i="24" s="1"/>
  <c r="E371" i="24"/>
  <c r="F371" i="24" s="1"/>
  <c r="G371" i="24" s="1"/>
  <c r="F370" i="24"/>
  <c r="G370" i="24" s="1"/>
  <c r="F369" i="24"/>
  <c r="G369" i="24" s="1"/>
  <c r="F368" i="24"/>
  <c r="G368" i="24" s="1"/>
  <c r="F367" i="24"/>
  <c r="G367" i="24" s="1"/>
  <c r="F366" i="24"/>
  <c r="G366" i="24" s="1"/>
  <c r="F365" i="24"/>
  <c r="G365" i="24" s="1"/>
  <c r="F362" i="24"/>
  <c r="G362" i="24" s="1"/>
  <c r="F361" i="24"/>
  <c r="G361" i="24" s="1"/>
  <c r="F360" i="24"/>
  <c r="G360" i="24" s="1"/>
  <c r="F359" i="24"/>
  <c r="G359" i="24" s="1"/>
  <c r="F358" i="24"/>
  <c r="G358" i="24" s="1"/>
  <c r="F357" i="24"/>
  <c r="G357" i="24" s="1"/>
  <c r="F356" i="24"/>
  <c r="G356" i="24" s="1"/>
  <c r="F355" i="24"/>
  <c r="G355" i="24" s="1"/>
  <c r="F354" i="24"/>
  <c r="G354" i="24" s="1"/>
  <c r="F353" i="24"/>
  <c r="G353" i="24" s="1"/>
  <c r="F352" i="24"/>
  <c r="G352" i="24" s="1"/>
  <c r="F351" i="24"/>
  <c r="G351" i="24" s="1"/>
  <c r="F350" i="24"/>
  <c r="G350" i="24" s="1"/>
  <c r="F349" i="24"/>
  <c r="G349" i="24" s="1"/>
  <c r="R401" i="24"/>
  <c r="S401" i="24"/>
  <c r="T401" i="24"/>
  <c r="U400" i="24"/>
  <c r="V400" i="24" s="1"/>
  <c r="U399" i="24"/>
  <c r="V399" i="24" s="1"/>
  <c r="U398" i="24"/>
  <c r="V398" i="24" s="1"/>
  <c r="U397" i="24"/>
  <c r="V397" i="24" s="1"/>
  <c r="U396" i="24"/>
  <c r="V396" i="24" s="1"/>
  <c r="U395" i="24"/>
  <c r="V395" i="24" s="1"/>
  <c r="R393" i="24"/>
  <c r="S393" i="24"/>
  <c r="T393" i="24"/>
  <c r="U392" i="24"/>
  <c r="V392" i="24" s="1"/>
  <c r="U391" i="24"/>
  <c r="V391" i="24" s="1"/>
  <c r="U390" i="24"/>
  <c r="V390" i="24" s="1"/>
  <c r="U389" i="24"/>
  <c r="V389" i="24" s="1"/>
  <c r="U388" i="24"/>
  <c r="V388" i="24" s="1"/>
  <c r="U387" i="24"/>
  <c r="V387" i="24" s="1"/>
  <c r="U386" i="24"/>
  <c r="V386" i="24" s="1"/>
  <c r="U385" i="24"/>
  <c r="V385" i="24" s="1"/>
  <c r="U384" i="24"/>
  <c r="V384" i="24" s="1"/>
  <c r="U383" i="24"/>
  <c r="V383" i="24" s="1"/>
  <c r="U382" i="24"/>
  <c r="V382" i="24" s="1"/>
  <c r="U381" i="24"/>
  <c r="V381" i="24" s="1"/>
  <c r="U380" i="24"/>
  <c r="V380" i="24" s="1"/>
  <c r="W349" i="24"/>
  <c r="X349" i="24" s="1"/>
  <c r="W350" i="24"/>
  <c r="X350" i="24" s="1"/>
  <c r="W351" i="24"/>
  <c r="X351" i="24" s="1"/>
  <c r="W352" i="24"/>
  <c r="X352" i="24" s="1"/>
  <c r="W353" i="24"/>
  <c r="X353" i="24" s="1"/>
  <c r="W354" i="24"/>
  <c r="X354" i="24" s="1"/>
  <c r="W355" i="24"/>
  <c r="X355" i="24" s="1"/>
  <c r="W356" i="24"/>
  <c r="X356" i="24" s="1"/>
  <c r="W357" i="24"/>
  <c r="X357" i="24" s="1"/>
  <c r="W358" i="24"/>
  <c r="X358" i="24" s="1"/>
  <c r="W359" i="24"/>
  <c r="X359" i="24" s="1"/>
  <c r="W360" i="24"/>
  <c r="X360" i="24" s="1"/>
  <c r="W361" i="24"/>
  <c r="X361" i="24" s="1"/>
  <c r="W362" i="24"/>
  <c r="X362" i="24" s="1"/>
  <c r="W365" i="24"/>
  <c r="W366" i="24"/>
  <c r="X366" i="24" s="1"/>
  <c r="W367" i="24"/>
  <c r="X367" i="24" s="1"/>
  <c r="W368" i="24"/>
  <c r="X368" i="24" s="1"/>
  <c r="W369" i="24"/>
  <c r="X369" i="24" s="1"/>
  <c r="W370" i="24"/>
  <c r="X370" i="24" s="1"/>
  <c r="H363" i="24"/>
  <c r="I363" i="24"/>
  <c r="I372" i="24" s="1"/>
  <c r="J363" i="24"/>
  <c r="M363" i="24"/>
  <c r="N363" i="24"/>
  <c r="O363" i="24"/>
  <c r="T372" i="24"/>
  <c r="M371" i="24"/>
  <c r="N371" i="24"/>
  <c r="N372" i="24" s="1"/>
  <c r="O371" i="24"/>
  <c r="H371" i="24"/>
  <c r="H372" i="24" s="1"/>
  <c r="I371" i="24"/>
  <c r="J371" i="24"/>
  <c r="P370" i="24"/>
  <c r="Q370" i="24" s="1"/>
  <c r="K370" i="24"/>
  <c r="L370" i="24" s="1"/>
  <c r="P369" i="24"/>
  <c r="Q369" i="24" s="1"/>
  <c r="K369" i="24"/>
  <c r="L369" i="24" s="1"/>
  <c r="P368" i="24"/>
  <c r="Q368" i="24" s="1"/>
  <c r="K368" i="24"/>
  <c r="L368" i="24" s="1"/>
  <c r="P367" i="24"/>
  <c r="Q367" i="24" s="1"/>
  <c r="K367" i="24"/>
  <c r="L367" i="24" s="1"/>
  <c r="P366" i="24"/>
  <c r="Q366" i="24" s="1"/>
  <c r="K366" i="24"/>
  <c r="L366" i="24" s="1"/>
  <c r="P365" i="24"/>
  <c r="Q365" i="24"/>
  <c r="K365" i="24"/>
  <c r="L365" i="24" s="1"/>
  <c r="P362" i="24"/>
  <c r="Q362" i="24" s="1"/>
  <c r="K362" i="24"/>
  <c r="L362" i="24" s="1"/>
  <c r="P361" i="24"/>
  <c r="Q361" i="24" s="1"/>
  <c r="K361" i="24"/>
  <c r="L361" i="24" s="1"/>
  <c r="P360" i="24"/>
  <c r="Q360" i="24"/>
  <c r="K360" i="24"/>
  <c r="L360" i="24" s="1"/>
  <c r="P359" i="24"/>
  <c r="Q359" i="24"/>
  <c r="K359" i="24"/>
  <c r="L359" i="24" s="1"/>
  <c r="P358" i="24"/>
  <c r="Q358" i="24" s="1"/>
  <c r="K358" i="24"/>
  <c r="L358" i="24" s="1"/>
  <c r="P357" i="24"/>
  <c r="Q357" i="24" s="1"/>
  <c r="K357" i="24"/>
  <c r="L357" i="24" s="1"/>
  <c r="P356" i="24"/>
  <c r="Q356" i="24" s="1"/>
  <c r="K356" i="24"/>
  <c r="L356" i="24" s="1"/>
  <c r="P355" i="24"/>
  <c r="Q355" i="24"/>
  <c r="K355" i="24"/>
  <c r="L355" i="24" s="1"/>
  <c r="P354" i="24"/>
  <c r="Q354" i="24" s="1"/>
  <c r="K354" i="24"/>
  <c r="L354" i="24" s="1"/>
  <c r="P353" i="24"/>
  <c r="Q353" i="24" s="1"/>
  <c r="K353" i="24"/>
  <c r="L353" i="24" s="1"/>
  <c r="P352" i="24"/>
  <c r="Q352" i="24"/>
  <c r="K352" i="24"/>
  <c r="L352" i="24" s="1"/>
  <c r="P351" i="24"/>
  <c r="Q351" i="24"/>
  <c r="K351" i="24"/>
  <c r="L351" i="24" s="1"/>
  <c r="P350" i="24"/>
  <c r="Q350" i="24" s="1"/>
  <c r="K350" i="24"/>
  <c r="L350" i="24" s="1"/>
  <c r="P349" i="24"/>
  <c r="Q349" i="24" s="1"/>
  <c r="K349" i="24"/>
  <c r="L349" i="24" s="1"/>
  <c r="O401" i="24"/>
  <c r="M401" i="24"/>
  <c r="N401" i="24"/>
  <c r="P400" i="24"/>
  <c r="Q400" i="24" s="1"/>
  <c r="P399" i="24"/>
  <c r="Q399" i="24"/>
  <c r="P398" i="24"/>
  <c r="Q398" i="24" s="1"/>
  <c r="P397" i="24"/>
  <c r="Q397" i="24" s="1"/>
  <c r="P396" i="24"/>
  <c r="Q396" i="24" s="1"/>
  <c r="P395" i="24"/>
  <c r="Q395" i="24" s="1"/>
  <c r="P391" i="24"/>
  <c r="Q391" i="24" s="1"/>
  <c r="P390" i="24"/>
  <c r="Q390" i="24" s="1"/>
  <c r="P389" i="24"/>
  <c r="Q389" i="24" s="1"/>
  <c r="P388" i="24"/>
  <c r="Q388" i="24"/>
  <c r="P387" i="24"/>
  <c r="Q387" i="24" s="1"/>
  <c r="P386" i="24"/>
  <c r="Q386" i="24" s="1"/>
  <c r="P385" i="24"/>
  <c r="Q385" i="24" s="1"/>
  <c r="P384" i="24"/>
  <c r="Q384" i="24" s="1"/>
  <c r="P383" i="24"/>
  <c r="Q383" i="24" s="1"/>
  <c r="P382" i="24"/>
  <c r="Q382" i="24" s="1"/>
  <c r="P381" i="24"/>
  <c r="Q381" i="24" s="1"/>
  <c r="P380" i="24"/>
  <c r="Q380" i="24" s="1"/>
  <c r="P379" i="24"/>
  <c r="Q379" i="24" s="1"/>
  <c r="M393" i="24"/>
  <c r="W400" i="24"/>
  <c r="X400" i="24" s="1"/>
  <c r="W399" i="24"/>
  <c r="X399" i="24" s="1"/>
  <c r="W398" i="24"/>
  <c r="X398" i="24"/>
  <c r="W397" i="24"/>
  <c r="X397" i="24" s="1"/>
  <c r="W396" i="24"/>
  <c r="X396" i="24" s="1"/>
  <c r="W395" i="24"/>
  <c r="H393" i="24"/>
  <c r="H402" i="24" s="1"/>
  <c r="I393" i="24"/>
  <c r="J393" i="24"/>
  <c r="N393" i="24"/>
  <c r="O393" i="24"/>
  <c r="W392" i="24"/>
  <c r="X392" i="24" s="1"/>
  <c r="W391" i="24"/>
  <c r="X391" i="24"/>
  <c r="W390" i="24"/>
  <c r="X390" i="24" s="1"/>
  <c r="W389" i="24"/>
  <c r="X389" i="24" s="1"/>
  <c r="W388" i="24"/>
  <c r="X388" i="24" s="1"/>
  <c r="W387" i="24"/>
  <c r="X387" i="24" s="1"/>
  <c r="W386" i="24"/>
  <c r="X386" i="24" s="1"/>
  <c r="W385" i="24"/>
  <c r="X385" i="24" s="1"/>
  <c r="W384" i="24"/>
  <c r="X384" i="24"/>
  <c r="W383" i="24"/>
  <c r="X383" i="24" s="1"/>
  <c r="W382" i="24"/>
  <c r="X382" i="24" s="1"/>
  <c r="W381" i="24"/>
  <c r="X381" i="24" s="1"/>
  <c r="W380" i="24"/>
  <c r="X380" i="24" s="1"/>
  <c r="W379" i="24"/>
  <c r="X379" i="24" s="1"/>
  <c r="W426" i="24"/>
  <c r="X426" i="24" s="1"/>
  <c r="W425" i="24"/>
  <c r="X425" i="24" s="1"/>
  <c r="W424" i="24"/>
  <c r="X424" i="24"/>
  <c r="W423" i="24"/>
  <c r="X423" i="24" s="1"/>
  <c r="W422" i="24"/>
  <c r="X422" i="24" s="1"/>
  <c r="W421" i="24"/>
  <c r="X421" i="24" s="1"/>
  <c r="W420" i="24"/>
  <c r="X420" i="24" s="1"/>
  <c r="W419" i="24"/>
  <c r="X419" i="24" s="1"/>
  <c r="W418" i="24"/>
  <c r="X418" i="24" s="1"/>
  <c r="W417" i="24"/>
  <c r="X417" i="24" s="1"/>
  <c r="W416" i="24"/>
  <c r="X416" i="24" s="1"/>
  <c r="W415" i="24"/>
  <c r="X415" i="24" s="1"/>
  <c r="W414" i="24"/>
  <c r="X414" i="24" s="1"/>
  <c r="W413" i="24"/>
  <c r="X413" i="24" s="1"/>
  <c r="W434" i="24"/>
  <c r="X434" i="24" s="1"/>
  <c r="W433" i="24"/>
  <c r="W432" i="24"/>
  <c r="X432" i="24" s="1"/>
  <c r="W431" i="24"/>
  <c r="W430" i="24"/>
  <c r="X430" i="24" s="1"/>
  <c r="W429" i="24"/>
  <c r="X429" i="24" s="1"/>
  <c r="O47" i="26" s="1"/>
  <c r="R435" i="24"/>
  <c r="S435" i="24"/>
  <c r="S436" i="24" s="1"/>
  <c r="T435" i="24"/>
  <c r="U434" i="24"/>
  <c r="V434" i="24" s="1"/>
  <c r="U433" i="24"/>
  <c r="V433" i="24" s="1"/>
  <c r="U432" i="24"/>
  <c r="V432" i="24" s="1"/>
  <c r="U431" i="24"/>
  <c r="V431" i="24" s="1"/>
  <c r="U430" i="24"/>
  <c r="V430" i="24" s="1"/>
  <c r="U429" i="24"/>
  <c r="V429" i="24" s="1"/>
  <c r="R427" i="24"/>
  <c r="S427" i="24"/>
  <c r="U427" i="24" s="1"/>
  <c r="V427" i="24" s="1"/>
  <c r="T427" i="24"/>
  <c r="T436" i="24" s="1"/>
  <c r="U426" i="24"/>
  <c r="V426" i="24" s="1"/>
  <c r="U425" i="24"/>
  <c r="V425" i="24" s="1"/>
  <c r="U424" i="24"/>
  <c r="V424" i="24" s="1"/>
  <c r="U423" i="24"/>
  <c r="V423" i="24" s="1"/>
  <c r="U422" i="24"/>
  <c r="V422" i="24" s="1"/>
  <c r="U421" i="24"/>
  <c r="V421" i="24" s="1"/>
  <c r="U420" i="24"/>
  <c r="V420" i="24" s="1"/>
  <c r="U419" i="24"/>
  <c r="V419" i="24" s="1"/>
  <c r="U418" i="24"/>
  <c r="V418" i="24" s="1"/>
  <c r="U417" i="24"/>
  <c r="V417" i="24" s="1"/>
  <c r="U416" i="24"/>
  <c r="V416" i="24" s="1"/>
  <c r="U415" i="24"/>
  <c r="V415" i="24" s="1"/>
  <c r="U414" i="24"/>
  <c r="V414" i="24" s="1"/>
  <c r="U413" i="24"/>
  <c r="V413" i="24" s="1"/>
  <c r="X395" i="24"/>
  <c r="H401" i="24"/>
  <c r="I401" i="24"/>
  <c r="J401" i="24"/>
  <c r="J402" i="24" s="1"/>
  <c r="G401" i="24"/>
  <c r="C401" i="24"/>
  <c r="C402" i="24" s="1"/>
  <c r="D401" i="24"/>
  <c r="D402" i="24" s="1"/>
  <c r="E401" i="24"/>
  <c r="K400" i="24"/>
  <c r="L400" i="24" s="1"/>
  <c r="G400" i="24"/>
  <c r="F400" i="24"/>
  <c r="K399" i="24"/>
  <c r="L399" i="24" s="1"/>
  <c r="G399" i="24"/>
  <c r="F399" i="24"/>
  <c r="K398" i="24"/>
  <c r="L398" i="24" s="1"/>
  <c r="G398" i="24"/>
  <c r="F398" i="24"/>
  <c r="K397" i="24"/>
  <c r="L397" i="24" s="1"/>
  <c r="G397" i="24"/>
  <c r="F397" i="24"/>
  <c r="K396" i="24"/>
  <c r="L396" i="24" s="1"/>
  <c r="G396" i="24"/>
  <c r="F396" i="24"/>
  <c r="K395" i="24"/>
  <c r="L395" i="24" s="1"/>
  <c r="G395" i="24"/>
  <c r="F395" i="24"/>
  <c r="P392" i="24"/>
  <c r="Q392" i="24" s="1"/>
  <c r="K392" i="24"/>
  <c r="L392" i="24" s="1"/>
  <c r="K391" i="24"/>
  <c r="L391" i="24" s="1"/>
  <c r="K390" i="24"/>
  <c r="L390" i="24" s="1"/>
  <c r="K389" i="24"/>
  <c r="L389" i="24" s="1"/>
  <c r="K388" i="24"/>
  <c r="L388" i="24" s="1"/>
  <c r="K387" i="24"/>
  <c r="L387" i="24" s="1"/>
  <c r="K386" i="24"/>
  <c r="L386" i="24" s="1"/>
  <c r="K385" i="24"/>
  <c r="L385" i="24" s="1"/>
  <c r="K384" i="24"/>
  <c r="L384" i="24" s="1"/>
  <c r="K383" i="24"/>
  <c r="L383" i="24" s="1"/>
  <c r="K382" i="24"/>
  <c r="L382" i="24" s="1"/>
  <c r="K381" i="24"/>
  <c r="L381" i="24" s="1"/>
  <c r="K380" i="24"/>
  <c r="L380" i="24" s="1"/>
  <c r="K379" i="24"/>
  <c r="L379" i="24" s="1"/>
  <c r="M435" i="24"/>
  <c r="M436" i="24" s="1"/>
  <c r="N435" i="24"/>
  <c r="O435" i="24"/>
  <c r="P434" i="24"/>
  <c r="Q434" i="24" s="1"/>
  <c r="P433" i="24"/>
  <c r="Q433" i="24" s="1"/>
  <c r="P432" i="24"/>
  <c r="Q432" i="24" s="1"/>
  <c r="P431" i="24"/>
  <c r="Q431" i="24" s="1"/>
  <c r="P430" i="24"/>
  <c r="Q430" i="24" s="1"/>
  <c r="P429" i="24"/>
  <c r="Q429" i="24" s="1"/>
  <c r="N427" i="24"/>
  <c r="O427" i="24"/>
  <c r="P426" i="24"/>
  <c r="Q426" i="24" s="1"/>
  <c r="P425" i="24"/>
  <c r="Q425" i="24" s="1"/>
  <c r="P424" i="24"/>
  <c r="Q424" i="24" s="1"/>
  <c r="P423" i="24"/>
  <c r="Q423" i="24" s="1"/>
  <c r="P422" i="24"/>
  <c r="Q422" i="24" s="1"/>
  <c r="P421" i="24"/>
  <c r="Q421" i="24" s="1"/>
  <c r="P420" i="24"/>
  <c r="Q420" i="24" s="1"/>
  <c r="P419" i="24"/>
  <c r="Q419" i="24" s="1"/>
  <c r="P418" i="24"/>
  <c r="Q418" i="24" s="1"/>
  <c r="P417" i="24"/>
  <c r="Q417" i="24" s="1"/>
  <c r="P416" i="24"/>
  <c r="Q416" i="24" s="1"/>
  <c r="P415" i="24"/>
  <c r="Q415" i="24" s="1"/>
  <c r="P414" i="24"/>
  <c r="Q414" i="24" s="1"/>
  <c r="P413" i="24"/>
  <c r="Q413" i="24" s="1"/>
  <c r="H435" i="24"/>
  <c r="H436" i="24" s="1"/>
  <c r="I435" i="24"/>
  <c r="J435" i="24"/>
  <c r="K434" i="24"/>
  <c r="L434" i="24" s="1"/>
  <c r="K433" i="24"/>
  <c r="L433" i="24" s="1"/>
  <c r="K432" i="24"/>
  <c r="L432" i="24" s="1"/>
  <c r="K431" i="24"/>
  <c r="L431" i="24" s="1"/>
  <c r="K430" i="24"/>
  <c r="L430" i="24" s="1"/>
  <c r="K429" i="24"/>
  <c r="L429" i="24" s="1"/>
  <c r="H427" i="24"/>
  <c r="I427" i="24"/>
  <c r="J427" i="24"/>
  <c r="K426" i="24"/>
  <c r="L426" i="24" s="1"/>
  <c r="K425" i="24"/>
  <c r="L425" i="24" s="1"/>
  <c r="K424" i="24"/>
  <c r="L424" i="24" s="1"/>
  <c r="K423" i="24"/>
  <c r="L423" i="24" s="1"/>
  <c r="K422" i="24"/>
  <c r="L422" i="24" s="1"/>
  <c r="K421" i="24"/>
  <c r="L421" i="24" s="1"/>
  <c r="K420" i="24"/>
  <c r="L420" i="24" s="1"/>
  <c r="K419" i="24"/>
  <c r="L419" i="24" s="1"/>
  <c r="K418" i="24"/>
  <c r="L418" i="24" s="1"/>
  <c r="K417" i="24"/>
  <c r="L417" i="24" s="1"/>
  <c r="K416" i="24"/>
  <c r="L416" i="24" s="1"/>
  <c r="K415" i="24"/>
  <c r="L415" i="24" s="1"/>
  <c r="K414" i="24"/>
  <c r="L414" i="24" s="1"/>
  <c r="K413" i="24"/>
  <c r="L413" i="24" s="1"/>
  <c r="L453" i="24"/>
  <c r="L451" i="24"/>
  <c r="G459" i="24"/>
  <c r="G460" i="24"/>
  <c r="G461" i="24"/>
  <c r="G462" i="24"/>
  <c r="G463" i="24"/>
  <c r="G464" i="24"/>
  <c r="G465" i="24"/>
  <c r="L463" i="24"/>
  <c r="X465" i="24"/>
  <c r="X464" i="24"/>
  <c r="X463" i="24"/>
  <c r="X462" i="24"/>
  <c r="X461" i="24"/>
  <c r="X460" i="24"/>
  <c r="X459" i="24"/>
  <c r="O51" i="26" s="1"/>
  <c r="X456" i="24"/>
  <c r="X455" i="24"/>
  <c r="X454" i="24"/>
  <c r="X453" i="24"/>
  <c r="X452" i="24"/>
  <c r="X451" i="24"/>
  <c r="X450" i="24"/>
  <c r="X449" i="24"/>
  <c r="X448" i="24"/>
  <c r="X447" i="24"/>
  <c r="X446" i="24"/>
  <c r="X445" i="24"/>
  <c r="X444" i="24"/>
  <c r="V444" i="24"/>
  <c r="V445" i="24"/>
  <c r="V446" i="24"/>
  <c r="V447" i="24"/>
  <c r="V448" i="24"/>
  <c r="V449" i="24"/>
  <c r="V450" i="24"/>
  <c r="V451" i="24"/>
  <c r="V452" i="24"/>
  <c r="V453" i="24"/>
  <c r="V454" i="24"/>
  <c r="V455" i="24"/>
  <c r="V456" i="24"/>
  <c r="F427" i="24"/>
  <c r="C435" i="24"/>
  <c r="C436" i="24"/>
  <c r="D435" i="24"/>
  <c r="D436" i="24" s="1"/>
  <c r="E435" i="24"/>
  <c r="E436" i="24" s="1"/>
  <c r="V466" i="24"/>
  <c r="V465" i="24"/>
  <c r="V464" i="24"/>
  <c r="V463" i="24"/>
  <c r="V462" i="24"/>
  <c r="V461" i="24"/>
  <c r="V460" i="24"/>
  <c r="V459" i="24"/>
  <c r="Q466" i="24"/>
  <c r="Q465" i="24"/>
  <c r="Q464" i="24"/>
  <c r="Q463" i="24"/>
  <c r="Q462" i="24"/>
  <c r="Q461" i="24"/>
  <c r="Q460" i="24"/>
  <c r="Q459" i="24"/>
  <c r="Q457" i="24"/>
  <c r="Q456" i="24"/>
  <c r="Q455" i="24"/>
  <c r="Q454" i="24"/>
  <c r="Q453" i="24"/>
  <c r="Q452" i="24"/>
  <c r="Q451" i="24"/>
  <c r="Q450" i="24"/>
  <c r="Q449" i="24"/>
  <c r="Q448" i="24"/>
  <c r="Q447" i="24"/>
  <c r="Q446" i="24"/>
  <c r="Q445" i="24"/>
  <c r="Q444" i="24"/>
  <c r="L466" i="24"/>
  <c r="L467" i="24" s="1"/>
  <c r="L465" i="24"/>
  <c r="L464" i="24"/>
  <c r="L462" i="24"/>
  <c r="L461" i="24"/>
  <c r="L460" i="24"/>
  <c r="L459" i="24"/>
  <c r="L457" i="24"/>
  <c r="L456" i="24"/>
  <c r="L455" i="24"/>
  <c r="L454" i="24"/>
  <c r="L452" i="24"/>
  <c r="L450" i="24"/>
  <c r="L449" i="24"/>
  <c r="L448" i="24"/>
  <c r="L447" i="24"/>
  <c r="L446" i="24"/>
  <c r="L445" i="24"/>
  <c r="L444" i="24"/>
  <c r="G457" i="24"/>
  <c r="G456" i="24"/>
  <c r="G455" i="24"/>
  <c r="G454" i="24"/>
  <c r="G453" i="24"/>
  <c r="G452" i="24"/>
  <c r="G451" i="24"/>
  <c r="G450" i="24"/>
  <c r="G449" i="24"/>
  <c r="G448" i="24"/>
  <c r="G447" i="24"/>
  <c r="G446" i="24"/>
  <c r="G445" i="24"/>
  <c r="G444" i="24"/>
  <c r="G435" i="24"/>
  <c r="G422" i="24"/>
  <c r="G434" i="24"/>
  <c r="G433" i="24"/>
  <c r="G432" i="24"/>
  <c r="G431" i="24"/>
  <c r="G430" i="24"/>
  <c r="G429" i="24"/>
  <c r="G427" i="24"/>
  <c r="G436" i="24" s="1"/>
  <c r="G425" i="24"/>
  <c r="G424" i="24"/>
  <c r="G423" i="24"/>
  <c r="G421" i="24"/>
  <c r="G420" i="24"/>
  <c r="G419" i="24"/>
  <c r="G418" i="24"/>
  <c r="G417" i="24"/>
  <c r="G416" i="24"/>
  <c r="G415" i="24"/>
  <c r="G414" i="24"/>
  <c r="G413" i="24"/>
  <c r="F426" i="24"/>
  <c r="G426" i="24"/>
  <c r="W444" i="24"/>
  <c r="W445" i="24"/>
  <c r="W446" i="24"/>
  <c r="W447" i="24"/>
  <c r="W448" i="24"/>
  <c r="W449" i="24"/>
  <c r="W450" i="24"/>
  <c r="W451" i="24"/>
  <c r="W452" i="24"/>
  <c r="W453" i="24"/>
  <c r="W454" i="24"/>
  <c r="W455" i="24"/>
  <c r="W456" i="24"/>
  <c r="W459" i="24"/>
  <c r="W460" i="24"/>
  <c r="W461" i="24"/>
  <c r="W462" i="24"/>
  <c r="W463" i="24"/>
  <c r="W464" i="24"/>
  <c r="W465" i="24"/>
  <c r="T457" i="24"/>
  <c r="T467" i="24" s="1"/>
  <c r="S457" i="24"/>
  <c r="O457" i="24"/>
  <c r="R466" i="24"/>
  <c r="R467" i="24" s="1"/>
  <c r="S466" i="24"/>
  <c r="T466" i="24"/>
  <c r="M466" i="24"/>
  <c r="N466" i="24"/>
  <c r="O466" i="24"/>
  <c r="H466" i="24"/>
  <c r="H467" i="24" s="1"/>
  <c r="I466" i="24"/>
  <c r="I467" i="24" s="1"/>
  <c r="J466" i="24"/>
  <c r="J467" i="24" s="1"/>
  <c r="C466" i="24"/>
  <c r="C467" i="24" s="1"/>
  <c r="D466" i="24"/>
  <c r="D467" i="24" s="1"/>
  <c r="E466" i="24"/>
  <c r="E467" i="24" s="1"/>
  <c r="U465" i="24"/>
  <c r="P465" i="24"/>
  <c r="K465" i="24"/>
  <c r="F465" i="24"/>
  <c r="U464" i="24"/>
  <c r="P464" i="24"/>
  <c r="K464" i="24"/>
  <c r="F464" i="24"/>
  <c r="U463" i="24"/>
  <c r="P463" i="24"/>
  <c r="F463" i="24"/>
  <c r="U462" i="24"/>
  <c r="P462" i="24"/>
  <c r="K462" i="24"/>
  <c r="U461" i="24"/>
  <c r="P461" i="24"/>
  <c r="K461" i="24"/>
  <c r="F461" i="24"/>
  <c r="U460" i="24"/>
  <c r="P460" i="24"/>
  <c r="K460" i="24"/>
  <c r="F460" i="24"/>
  <c r="U459" i="24"/>
  <c r="P459" i="24"/>
  <c r="K459" i="24"/>
  <c r="K457" i="24"/>
  <c r="F457" i="24"/>
  <c r="U456" i="24"/>
  <c r="P456" i="24"/>
  <c r="K456" i="24"/>
  <c r="F456" i="24"/>
  <c r="U455" i="24"/>
  <c r="P455" i="24"/>
  <c r="K455" i="24"/>
  <c r="F455" i="24"/>
  <c r="U454" i="24"/>
  <c r="P454" i="24"/>
  <c r="K454" i="24"/>
  <c r="F454" i="24"/>
  <c r="U453" i="24"/>
  <c r="P453" i="24"/>
  <c r="F453" i="24"/>
  <c r="U452" i="24"/>
  <c r="P452" i="24"/>
  <c r="K452" i="24"/>
  <c r="F452" i="24"/>
  <c r="U451" i="24"/>
  <c r="P451" i="24"/>
  <c r="F451" i="24"/>
  <c r="U450" i="24"/>
  <c r="P450" i="24"/>
  <c r="K450" i="24"/>
  <c r="F450" i="24"/>
  <c r="U449" i="24"/>
  <c r="P449" i="24"/>
  <c r="K449" i="24"/>
  <c r="F449" i="24"/>
  <c r="U448" i="24"/>
  <c r="P448" i="24"/>
  <c r="K448" i="24"/>
  <c r="F448" i="24"/>
  <c r="U447" i="24"/>
  <c r="P447" i="24"/>
  <c r="K447" i="24"/>
  <c r="F447" i="24"/>
  <c r="U446" i="24"/>
  <c r="P446" i="24"/>
  <c r="K446" i="24"/>
  <c r="F446" i="24"/>
  <c r="U445" i="24"/>
  <c r="P445" i="24"/>
  <c r="K445" i="24"/>
  <c r="F445" i="24"/>
  <c r="U444" i="24"/>
  <c r="P444" i="24"/>
  <c r="K444" i="24"/>
  <c r="F444" i="24"/>
  <c r="F422" i="24"/>
  <c r="F434" i="24"/>
  <c r="F433" i="24"/>
  <c r="F432" i="24"/>
  <c r="F431" i="24"/>
  <c r="F430" i="24"/>
  <c r="F429" i="24"/>
  <c r="F425" i="24"/>
  <c r="F424" i="24"/>
  <c r="F423" i="24"/>
  <c r="F421" i="24"/>
  <c r="F420" i="24"/>
  <c r="F419" i="24"/>
  <c r="F418" i="24"/>
  <c r="F417" i="24"/>
  <c r="F416" i="24"/>
  <c r="F415" i="24"/>
  <c r="F414" i="24"/>
  <c r="F413" i="24"/>
  <c r="X431" i="24"/>
  <c r="M372" i="24"/>
  <c r="C282" i="24"/>
  <c r="C252" i="24"/>
  <c r="F207" i="24"/>
  <c r="G207" i="24" s="1"/>
  <c r="H156" i="1"/>
  <c r="H139" i="1"/>
  <c r="H105" i="1"/>
  <c r="AF8" i="23"/>
  <c r="AF5" i="23"/>
  <c r="AF3" i="23"/>
  <c r="AF16" i="23"/>
  <c r="AD18" i="23"/>
  <c r="N342" i="24"/>
  <c r="F311" i="24"/>
  <c r="G311" i="24" s="1"/>
  <c r="U273" i="24"/>
  <c r="V273" i="24" s="1"/>
  <c r="I282" i="24"/>
  <c r="H282" i="24"/>
  <c r="D213" i="24"/>
  <c r="J213" i="24"/>
  <c r="R213" i="24"/>
  <c r="F210" i="24"/>
  <c r="G210" i="24" s="1"/>
  <c r="P363" i="24"/>
  <c r="Q363" i="24" s="1"/>
  <c r="D342" i="24"/>
  <c r="E312" i="24"/>
  <c r="U281" i="24"/>
  <c r="V281" i="24" s="1"/>
  <c r="S243" i="24"/>
  <c r="H54" i="1"/>
  <c r="P178" i="24"/>
  <c r="Q178" i="24" s="1"/>
  <c r="F181" i="24"/>
  <c r="G181" i="24" s="1"/>
  <c r="S192" i="24"/>
  <c r="F178" i="24"/>
  <c r="G178" i="24" s="1"/>
  <c r="AI9" i="23"/>
  <c r="AI16" i="23"/>
  <c r="AG18" i="23"/>
  <c r="O35" i="26"/>
  <c r="P457" i="24"/>
  <c r="P311" i="24"/>
  <c r="Q311" i="24" s="1"/>
  <c r="U341" i="24"/>
  <c r="V341" i="24" s="1"/>
  <c r="X278" i="24"/>
  <c r="F221" i="24"/>
  <c r="G221" i="24" s="1"/>
  <c r="R184" i="24"/>
  <c r="R193" i="24" s="1"/>
  <c r="H184" i="24"/>
  <c r="H193" i="24" s="1"/>
  <c r="C184" i="24"/>
  <c r="C193" i="24" s="1"/>
  <c r="M184" i="24"/>
  <c r="P207" i="24"/>
  <c r="Q207" i="24" s="1"/>
  <c r="K181" i="24"/>
  <c r="L181" i="24" s="1"/>
  <c r="P1389" i="30"/>
  <c r="Q1389" i="30" s="1"/>
  <c r="P1395" i="30"/>
  <c r="Q1395" i="30" s="1"/>
  <c r="P1430" i="30"/>
  <c r="Q1430" i="30" s="1"/>
  <c r="P1518" i="30"/>
  <c r="Q1518" i="30" s="1"/>
  <c r="P1533" i="30"/>
  <c r="Q1533" i="30" s="1"/>
  <c r="P1550" i="30"/>
  <c r="Q1550" i="30" s="1"/>
  <c r="O184" i="24"/>
  <c r="O193" i="24" s="1"/>
  <c r="P181" i="24"/>
  <c r="Q181" i="24" s="1"/>
  <c r="P1439" i="30"/>
  <c r="Q1439" i="30" s="1"/>
  <c r="P1379" i="30"/>
  <c r="Q1379" i="30" s="1"/>
  <c r="P1456" i="30"/>
  <c r="Q1456" i="30" s="1"/>
  <c r="P1558" i="30"/>
  <c r="Q1558" i="30" s="1"/>
  <c r="K187" i="24"/>
  <c r="L187" i="24" s="1"/>
  <c r="W187" i="24"/>
  <c r="X187" i="24" s="1"/>
  <c r="O467" i="24"/>
  <c r="N467" i="24"/>
  <c r="O342" i="24"/>
  <c r="U237" i="24"/>
  <c r="V237" i="24" s="1"/>
  <c r="X276" i="24"/>
  <c r="P273" i="24"/>
  <c r="Q273" i="24" s="1"/>
  <c r="Q282" i="24" s="1"/>
  <c r="T192" i="24"/>
  <c r="J192" i="24"/>
  <c r="U187" i="24"/>
  <c r="V187" i="24" s="1"/>
  <c r="C152" i="24"/>
  <c r="O152" i="24"/>
  <c r="O161" i="24" s="1"/>
  <c r="K155" i="24"/>
  <c r="L155" i="24" s="1"/>
  <c r="U160" i="24"/>
  <c r="V160" i="24" s="1"/>
  <c r="W149" i="24"/>
  <c r="X149" i="24" s="1"/>
  <c r="W155" i="24"/>
  <c r="R152" i="24"/>
  <c r="R161" i="24" s="1"/>
  <c r="C160" i="24"/>
  <c r="P155" i="24"/>
  <c r="Q155" i="24" s="1"/>
  <c r="P427" i="24"/>
  <c r="Q427" i="24" s="1"/>
  <c r="M312" i="24"/>
  <c r="W401" i="24"/>
  <c r="J184" i="24"/>
  <c r="W181" i="24"/>
  <c r="X181" i="24" s="1"/>
  <c r="T184" i="24"/>
  <c r="K221" i="24"/>
  <c r="L221" i="24" s="1"/>
  <c r="D184" i="24"/>
  <c r="P1495" i="30"/>
  <c r="Q1495" i="30" s="1"/>
  <c r="P1504" i="30"/>
  <c r="Q1504" i="30" s="1"/>
  <c r="P1452" i="30"/>
  <c r="Q1452" i="30" s="1"/>
  <c r="P1545" i="30"/>
  <c r="Q1545" i="30" s="1"/>
  <c r="P1542" i="30"/>
  <c r="Q1542" i="30" s="1"/>
  <c r="P1573" i="30"/>
  <c r="Q1573" i="30" s="1"/>
  <c r="P187" i="24"/>
  <c r="Q187" i="24" s="1"/>
  <c r="AL12" i="23"/>
  <c r="AL16" i="23"/>
  <c r="AL7" i="23"/>
  <c r="AL8" i="23"/>
  <c r="AL3" i="23"/>
  <c r="P1453" i="30"/>
  <c r="Q1453" i="30" s="1"/>
  <c r="P1457" i="30"/>
  <c r="Q1457" i="30" s="1"/>
  <c r="P1244" i="30"/>
  <c r="Q1244" i="30" s="1"/>
  <c r="P1248" i="30"/>
  <c r="Q1248" i="30" s="1"/>
  <c r="P1252" i="30"/>
  <c r="Q1252" i="30" s="1"/>
  <c r="P1276" i="30"/>
  <c r="Q1276" i="30" s="1"/>
  <c r="P1280" i="30"/>
  <c r="Q1280" i="30" s="1"/>
  <c r="P1284" i="30"/>
  <c r="Q1284" i="30" s="1"/>
  <c r="P1522" i="30"/>
  <c r="Q1522" i="30" s="1"/>
  <c r="P1528" i="30"/>
  <c r="Q1528" i="30" s="1"/>
  <c r="P1532" i="30"/>
  <c r="Q1532" i="30" s="1"/>
  <c r="P1383" i="30"/>
  <c r="Q1383" i="30" s="1"/>
  <c r="Q1393" i="30"/>
  <c r="P1261" i="30"/>
  <c r="Q1261" i="30" s="1"/>
  <c r="P1460" i="30"/>
  <c r="Q1460" i="30" s="1"/>
  <c r="P1551" i="30"/>
  <c r="Q1551" i="30" s="1"/>
  <c r="P1374" i="30"/>
  <c r="Q1374" i="30" s="1"/>
  <c r="P1382" i="30"/>
  <c r="Q1382" i="30" s="1"/>
  <c r="P1388" i="30"/>
  <c r="Q1388" i="30" s="1"/>
  <c r="Q1404" i="30"/>
  <c r="P1443" i="30"/>
  <c r="Q1443" i="30" s="1"/>
  <c r="P1519" i="30"/>
  <c r="Q1519" i="30" s="1"/>
  <c r="P1537" i="30"/>
  <c r="Q1537" i="30" s="1"/>
  <c r="P1547" i="30"/>
  <c r="Q1547" i="30" s="1"/>
  <c r="P1557" i="30"/>
  <c r="Q1557" i="30" s="1"/>
  <c r="P1561" i="30"/>
  <c r="Q1561" i="30" s="1"/>
  <c r="P1211" i="30"/>
  <c r="Q1211" i="30" s="1"/>
  <c r="P1215" i="30"/>
  <c r="Q1215" i="30" s="1"/>
  <c r="P1219" i="30"/>
  <c r="Q1219" i="30" s="1"/>
  <c r="P1238" i="30"/>
  <c r="Q1238" i="30" s="1"/>
  <c r="P1243" i="30"/>
  <c r="Q1243" i="30" s="1"/>
  <c r="P1247" i="30"/>
  <c r="Q1247" i="30" s="1"/>
  <c r="P1251" i="30"/>
  <c r="Q1251" i="30" s="1"/>
  <c r="P1255" i="30"/>
  <c r="Q1255" i="30" s="1"/>
  <c r="P1262" i="30"/>
  <c r="Q1262" i="30" s="1"/>
  <c r="P1277" i="30"/>
  <c r="Q1277" i="30" s="1"/>
  <c r="P1281" i="30"/>
  <c r="Q1281" i="30" s="1"/>
  <c r="P1285" i="30"/>
  <c r="Q1285" i="30" s="1"/>
  <c r="P1295" i="30"/>
  <c r="Q1295" i="30" s="1"/>
  <c r="P1396" i="30"/>
  <c r="Q1396" i="30" s="1"/>
  <c r="P1140" i="30"/>
  <c r="Q1140" i="30" s="1"/>
  <c r="P1164" i="30"/>
  <c r="Q1164" i="30" s="1"/>
  <c r="P1168" i="30"/>
  <c r="Q1168" i="30" s="1"/>
  <c r="P1172" i="30"/>
  <c r="Q1172" i="30" s="1"/>
  <c r="P1201" i="30"/>
  <c r="Q1201" i="30" s="1"/>
  <c r="P1205" i="30"/>
  <c r="Q1205" i="30" s="1"/>
  <c r="P1265" i="30"/>
  <c r="Q1265" i="30" s="1"/>
  <c r="P1269" i="30"/>
  <c r="Q1269" i="30" s="1"/>
  <c r="O1587" i="30"/>
  <c r="P1587" i="30" s="1"/>
  <c r="P1260" i="30"/>
  <c r="Q1260" i="30" s="1"/>
  <c r="P1373" i="30"/>
  <c r="Q1373" i="30" s="1"/>
  <c r="P1425" i="30"/>
  <c r="Q1425" i="30" s="1"/>
  <c r="O1589" i="30"/>
  <c r="P1129" i="30"/>
  <c r="Q1129" i="30" s="1"/>
  <c r="P1133" i="30"/>
  <c r="Q1133" i="30" s="1"/>
  <c r="P1161" i="30"/>
  <c r="Q1161" i="30" s="1"/>
  <c r="P1169" i="30"/>
  <c r="Q1169" i="30" s="1"/>
  <c r="P1180" i="30"/>
  <c r="Q1180" i="30" s="1"/>
  <c r="P1188" i="30"/>
  <c r="Q1188" i="30" s="1"/>
  <c r="P1198" i="30"/>
  <c r="Q1198" i="30" s="1"/>
  <c r="P1202" i="30"/>
  <c r="Q1202" i="30" s="1"/>
  <c r="P1232" i="30"/>
  <c r="Q1232" i="30" s="1"/>
  <c r="P1288" i="30"/>
  <c r="Q1288" i="30" s="1"/>
  <c r="P1562" i="30"/>
  <c r="Q1562" i="30" s="1"/>
  <c r="P1560" i="30"/>
  <c r="Q1560" i="30" s="1"/>
  <c r="P1527" i="30"/>
  <c r="Q1527" i="30" s="1"/>
  <c r="P1466" i="30"/>
  <c r="Q1466" i="30" s="1"/>
  <c r="P1399" i="30"/>
  <c r="Q1399" i="30" s="1"/>
  <c r="P1406" i="30"/>
  <c r="Q1406" i="30" s="1"/>
  <c r="P1409" i="30"/>
  <c r="Q1409" i="30" s="1"/>
  <c r="P1459" i="30"/>
  <c r="Q1459" i="30" s="1"/>
  <c r="P1472" i="30"/>
  <c r="Q1472" i="30" s="1"/>
  <c r="P1487" i="30"/>
  <c r="Q1487" i="30" s="1"/>
  <c r="P1496" i="30"/>
  <c r="Q1496" i="30" s="1"/>
  <c r="P1500" i="30"/>
  <c r="Q1500" i="30" s="1"/>
  <c r="P1521" i="30"/>
  <c r="Q1521" i="30" s="1"/>
  <c r="P1541" i="30"/>
  <c r="Q1541" i="30" s="1"/>
  <c r="P1572" i="30"/>
  <c r="Q1572" i="30" s="1"/>
  <c r="P1412" i="30"/>
  <c r="Q1412" i="30" s="1"/>
  <c r="P1548" i="30"/>
  <c r="Q1548" i="30" s="1"/>
  <c r="P1449" i="30"/>
  <c r="Q1449" i="30" s="1"/>
  <c r="P1515" i="30"/>
  <c r="Q1515" i="30" s="1"/>
  <c r="P1543" i="30"/>
  <c r="Q1543" i="30" s="1"/>
  <c r="P1546" i="30"/>
  <c r="Q1546" i="30" s="1"/>
  <c r="P1179" i="30"/>
  <c r="Q1179" i="30" s="1"/>
  <c r="P1183" i="30"/>
  <c r="Q1183" i="30" s="1"/>
  <c r="P1187" i="30"/>
  <c r="Q1187" i="30" s="1"/>
  <c r="P1197" i="30"/>
  <c r="Q1197" i="30" s="1"/>
  <c r="P1200" i="30"/>
  <c r="Q1200" i="30" s="1"/>
  <c r="P1210" i="30"/>
  <c r="Q1210" i="30" s="1"/>
  <c r="P1214" i="30"/>
  <c r="Q1214" i="30" s="1"/>
  <c r="P1218" i="30"/>
  <c r="Q1218" i="30" s="1"/>
  <c r="P1222" i="30"/>
  <c r="Q1222" i="30" s="1"/>
  <c r="P1228" i="30"/>
  <c r="Q1228" i="30" s="1"/>
  <c r="P1231" i="30"/>
  <c r="Q1231" i="30" s="1"/>
  <c r="P1234" i="30"/>
  <c r="Q1234" i="30" s="1"/>
  <c r="P1237" i="30"/>
  <c r="Q1237" i="30" s="1"/>
  <c r="P1264" i="30"/>
  <c r="Q1264" i="30" s="1"/>
  <c r="P1267" i="30"/>
  <c r="Q1267" i="30" s="1"/>
  <c r="P1270" i="30"/>
  <c r="Q1270" i="30" s="1"/>
  <c r="P1279" i="30"/>
  <c r="Q1279" i="30" s="1"/>
  <c r="P1282" i="30"/>
  <c r="Q1282" i="30" s="1"/>
  <c r="P1287" i="30"/>
  <c r="Q1287" i="30" s="1"/>
  <c r="P1294" i="30"/>
  <c r="Q1294" i="30" s="1"/>
  <c r="P1298" i="30"/>
  <c r="Q1298" i="30" s="1"/>
  <c r="P1302" i="30"/>
  <c r="Q1302" i="30" s="1"/>
  <c r="P1308" i="30"/>
  <c r="Q1308" i="30" s="1"/>
  <c r="P1312" i="30"/>
  <c r="Q1312" i="30" s="1"/>
  <c r="P1316" i="30"/>
  <c r="Q1316" i="30" s="1"/>
  <c r="P1320" i="30"/>
  <c r="Q1320" i="30" s="1"/>
  <c r="P1327" i="30"/>
  <c r="Q1327" i="30" s="1"/>
  <c r="P1331" i="30"/>
  <c r="Q1331" i="30" s="1"/>
  <c r="P1335" i="30"/>
  <c r="Q1335" i="30" s="1"/>
  <c r="P1341" i="30"/>
  <c r="Q1341" i="30" s="1"/>
  <c r="O1363" i="30"/>
  <c r="P1363" i="30" s="1"/>
  <c r="Q1363" i="30" s="1"/>
  <c r="P1148" i="30"/>
  <c r="Q1148" i="30" s="1"/>
  <c r="P1152" i="30"/>
  <c r="Q1152" i="30" s="1"/>
  <c r="P1156" i="30"/>
  <c r="Q1156" i="30" s="1"/>
  <c r="P1185" i="30"/>
  <c r="Q1185" i="30" s="1"/>
  <c r="P1196" i="30"/>
  <c r="Q1196" i="30" s="1"/>
  <c r="P1203" i="30"/>
  <c r="Q1203" i="30" s="1"/>
  <c r="P1230" i="30"/>
  <c r="Q1230" i="30" s="1"/>
  <c r="P1266" i="30"/>
  <c r="Q1266" i="30" s="1"/>
  <c r="P1199" i="30"/>
  <c r="Q1199" i="30" s="1"/>
  <c r="P1213" i="30"/>
  <c r="Q1213" i="30"/>
  <c r="P1221" i="30"/>
  <c r="Q1221" i="30" s="1"/>
  <c r="P1236" i="30"/>
  <c r="Q1236" i="30" s="1"/>
  <c r="P1343" i="30"/>
  <c r="Q1343" i="30" s="1"/>
  <c r="P1135" i="30"/>
  <c r="Q1135" i="30" s="1"/>
  <c r="P1139" i="30"/>
  <c r="Q1139" i="30" s="1"/>
  <c r="P1147" i="30"/>
  <c r="Q1147" i="30"/>
  <c r="P1151" i="30"/>
  <c r="Q1151" i="30" s="1"/>
  <c r="P1155" i="30"/>
  <c r="Q1155" i="30" s="1"/>
  <c r="P1163" i="30"/>
  <c r="Q1163" i="30" s="1"/>
  <c r="P1167" i="30"/>
  <c r="Q1167" i="30" s="1"/>
  <c r="P1171" i="30"/>
  <c r="Q1171" i="30" s="1"/>
  <c r="P1184" i="30"/>
  <c r="Q1184" i="30" s="1"/>
  <c r="P1212" i="30"/>
  <c r="Q1212" i="30" s="1"/>
  <c r="P1220" i="30"/>
  <c r="Q1220" i="30" s="1"/>
  <c r="P1227" i="30"/>
  <c r="Q1227" i="30" s="1"/>
  <c r="P1249" i="30"/>
  <c r="Q1249" i="30" s="1"/>
  <c r="P1278" i="30"/>
  <c r="Q1278" i="30" s="1"/>
  <c r="P1286" i="30"/>
  <c r="Q1286" i="30" s="1"/>
  <c r="P1292" i="30"/>
  <c r="Q1292" i="30" s="1"/>
  <c r="P1297" i="30"/>
  <c r="Q1297" i="30" s="1"/>
  <c r="P1299" i="30"/>
  <c r="Q1299" i="30" s="1"/>
  <c r="P1130" i="30"/>
  <c r="Q1130" i="30"/>
  <c r="P1134" i="30"/>
  <c r="Q1134" i="30" s="1"/>
  <c r="P1138" i="30"/>
  <c r="Q1138" i="30" s="1"/>
  <c r="P1146" i="30"/>
  <c r="Q1146" i="30" s="1"/>
  <c r="P1150" i="30"/>
  <c r="Q1150" i="30" s="1"/>
  <c r="P1154" i="30"/>
  <c r="Q1154" i="30" s="1"/>
  <c r="P1162" i="30"/>
  <c r="Q1162" i="30"/>
  <c r="P1166" i="30"/>
  <c r="Q1166" i="30" s="1"/>
  <c r="P1170" i="30"/>
  <c r="Q1170" i="30" s="1"/>
  <c r="P1181" i="30"/>
  <c r="Q1181" i="30" s="1"/>
  <c r="P1189" i="30"/>
  <c r="Q1189" i="30" s="1"/>
  <c r="P1217" i="30"/>
  <c r="Q1217" i="30" s="1"/>
  <c r="P1246" i="30"/>
  <c r="Q1246" i="30" s="1"/>
  <c r="P1254" i="30"/>
  <c r="Q1254" i="30" s="1"/>
  <c r="P1283" i="30"/>
  <c r="Q1283" i="30"/>
  <c r="P1300" i="30"/>
  <c r="Q1300" i="30" s="1"/>
  <c r="P1301" i="30"/>
  <c r="Q1301" i="30"/>
  <c r="P1141" i="30"/>
  <c r="Q1141" i="30" s="1"/>
  <c r="P1194" i="30"/>
  <c r="Q1194" i="30" s="1"/>
  <c r="P1259" i="30"/>
  <c r="Q1259" i="30" s="1"/>
  <c r="P1303" i="30"/>
  <c r="Q1303" i="30" s="1"/>
  <c r="P1311" i="30"/>
  <c r="Q1311" i="30" s="1"/>
  <c r="P1315" i="30"/>
  <c r="Q1315" i="30" s="1"/>
  <c r="P1319" i="30"/>
  <c r="Q1319" i="30" s="1"/>
  <c r="P1328" i="30"/>
  <c r="Q1328" i="30"/>
  <c r="P1332" i="30"/>
  <c r="Q1332" i="30" s="1"/>
  <c r="P1336" i="30"/>
  <c r="Q1336" i="30" s="1"/>
  <c r="P1309" i="30"/>
  <c r="Q1309" i="30" s="1"/>
  <c r="P1313" i="30"/>
  <c r="Q1313" i="30" s="1"/>
  <c r="P1317" i="30"/>
  <c r="Q1317" i="30" s="1"/>
  <c r="P1326" i="30"/>
  <c r="Q1326" i="30"/>
  <c r="P1330" i="30"/>
  <c r="Q1330" i="30" s="1"/>
  <c r="P1334" i="30"/>
  <c r="Q1334" i="30"/>
  <c r="P1342" i="30"/>
  <c r="Q1342" i="30" s="1"/>
  <c r="F184" i="24"/>
  <c r="O436" i="24"/>
  <c r="U466" i="24"/>
  <c r="S402" i="24"/>
  <c r="P1506" i="30"/>
  <c r="Q1506" i="30" s="1"/>
  <c r="P1536" i="30"/>
  <c r="Q1536" i="30" s="1"/>
  <c r="P1564" i="30"/>
  <c r="Q1564" i="30" s="1"/>
  <c r="P1563" i="30"/>
  <c r="Q1563" i="30" s="1"/>
  <c r="E152" i="24"/>
  <c r="M152" i="24"/>
  <c r="M161" i="24" s="1"/>
  <c r="S152" i="24"/>
  <c r="S161" i="24" s="1"/>
  <c r="U161" i="24" s="1"/>
  <c r="E160" i="24"/>
  <c r="F160" i="24" s="1"/>
  <c r="G160" i="24" s="1"/>
  <c r="N160" i="24"/>
  <c r="P160" i="24" s="1"/>
  <c r="Q160" i="24" s="1"/>
  <c r="H160" i="24"/>
  <c r="K160" i="24" s="1"/>
  <c r="L160" i="24"/>
  <c r="P149" i="24"/>
  <c r="Q149" i="24" s="1"/>
  <c r="D160" i="24"/>
  <c r="M130" i="24"/>
  <c r="F115" i="24"/>
  <c r="G115" i="24" s="1"/>
  <c r="W118" i="24"/>
  <c r="X118" i="24" s="1"/>
  <c r="U124" i="24"/>
  <c r="V124" i="24" s="1"/>
  <c r="O129" i="24"/>
  <c r="K115" i="24"/>
  <c r="L115" i="24" s="1"/>
  <c r="W115" i="24"/>
  <c r="X115" i="24" s="1"/>
  <c r="P1437" i="30"/>
  <c r="Q1437" i="30" s="1"/>
  <c r="P1474" i="30"/>
  <c r="Q1474" i="30" s="1"/>
  <c r="P1503" i="30"/>
  <c r="Q1503" i="30" s="1"/>
  <c r="P1514" i="30"/>
  <c r="Q1514" i="30" s="1"/>
  <c r="P1136" i="30"/>
  <c r="Q1136" i="30" s="1"/>
  <c r="P1333" i="30"/>
  <c r="Q1333" i="30" s="1"/>
  <c r="O1356" i="30"/>
  <c r="P1356" i="30" s="1"/>
  <c r="O1357" i="30"/>
  <c r="P1357" i="30" s="1"/>
  <c r="P943" i="30"/>
  <c r="Q943" i="30" s="1"/>
  <c r="P947" i="30"/>
  <c r="Q947" i="30" s="1"/>
  <c r="P961" i="30"/>
  <c r="Q961" i="30" s="1"/>
  <c r="P965" i="30"/>
  <c r="Q965" i="30" s="1"/>
  <c r="P984" i="30"/>
  <c r="Q984" i="30" s="1"/>
  <c r="P988" i="30"/>
  <c r="Q988" i="30" s="1"/>
  <c r="P1012" i="30"/>
  <c r="Q1012" i="30" s="1"/>
  <c r="O1350" i="30"/>
  <c r="O1359" i="30"/>
  <c r="O1360" i="30"/>
  <c r="O1361" i="30"/>
  <c r="P934" i="30"/>
  <c r="Q934" i="30" s="1"/>
  <c r="P949" i="30"/>
  <c r="Q949" i="30" s="1"/>
  <c r="P1511" i="30"/>
  <c r="Q1511" i="30" s="1"/>
  <c r="P1268" i="30"/>
  <c r="Q1268" i="30" s="1"/>
  <c r="P1314" i="30"/>
  <c r="Q1314" i="30" s="1"/>
  <c r="O1352" i="30"/>
  <c r="P1352" i="30" s="1"/>
  <c r="P1016" i="30"/>
  <c r="Q1016" i="30" s="1"/>
  <c r="P1020" i="30"/>
  <c r="Q1020" i="30" s="1"/>
  <c r="P1024" i="30"/>
  <c r="Q1024" i="30" s="1"/>
  <c r="P935" i="30"/>
  <c r="Q935" i="30" s="1"/>
  <c r="P956" i="30"/>
  <c r="Q956" i="30" s="1"/>
  <c r="P966" i="30"/>
  <c r="Q966" i="30" s="1"/>
  <c r="P981" i="30"/>
  <c r="Q981" i="30" s="1"/>
  <c r="P1021" i="30"/>
  <c r="Q1021" i="30" s="1"/>
  <c r="P1025" i="30"/>
  <c r="Q1025" i="30" s="1"/>
  <c r="P1050" i="30"/>
  <c r="Q1050" i="30"/>
  <c r="P1054" i="30"/>
  <c r="Q1054" i="30" s="1"/>
  <c r="P1058" i="30"/>
  <c r="Q1058" i="30" s="1"/>
  <c r="P1064" i="30"/>
  <c r="Q1064" i="30" s="1"/>
  <c r="P1068" i="30"/>
  <c r="Q1068" i="30" s="1"/>
  <c r="P1072" i="30"/>
  <c r="Q1072" i="30" s="1"/>
  <c r="P1076" i="30"/>
  <c r="Q1076" i="30" s="1"/>
  <c r="P1083" i="30"/>
  <c r="Q1083" i="30" s="1"/>
  <c r="P1087" i="30"/>
  <c r="Q1087" i="30"/>
  <c r="P1091" i="30"/>
  <c r="Q1091" i="30" s="1"/>
  <c r="P1095" i="30"/>
  <c r="Q1095" i="30"/>
  <c r="P1101" i="30"/>
  <c r="Q1101" i="30" s="1"/>
  <c r="P933" i="30"/>
  <c r="Q933" i="30" s="1"/>
  <c r="P937" i="30"/>
  <c r="Q937" i="30"/>
  <c r="P963" i="30"/>
  <c r="Q963" i="30" s="1"/>
  <c r="P996" i="30"/>
  <c r="Q996" i="30" s="1"/>
  <c r="P1004" i="30"/>
  <c r="Q1004" i="30" s="1"/>
  <c r="P1033" i="30"/>
  <c r="Q1033" i="30" s="1"/>
  <c r="P1041" i="30"/>
  <c r="Q1041" i="30" s="1"/>
  <c r="P1102" i="30"/>
  <c r="Q1102" i="30" s="1"/>
  <c r="O1115" i="30"/>
  <c r="P1115" i="30" s="1"/>
  <c r="O1119" i="30"/>
  <c r="P878" i="30"/>
  <c r="Q878" i="30" s="1"/>
  <c r="P882" i="30"/>
  <c r="Q882" i="30" s="1"/>
  <c r="P886" i="30"/>
  <c r="Q886" i="30" s="1"/>
  <c r="P910" i="30"/>
  <c r="Q910" i="30" s="1"/>
  <c r="P914" i="30"/>
  <c r="Q914" i="30" s="1"/>
  <c r="P918" i="30"/>
  <c r="Q918" i="30" s="1"/>
  <c r="P928" i="30"/>
  <c r="Q928" i="30" s="1"/>
  <c r="P964" i="30"/>
  <c r="Q964" i="30" s="1"/>
  <c r="P970" i="30"/>
  <c r="Q970" i="30" s="1"/>
  <c r="P985" i="30"/>
  <c r="Q985" i="30" s="1"/>
  <c r="P989" i="30"/>
  <c r="Q989" i="30" s="1"/>
  <c r="P995" i="30"/>
  <c r="Q995" i="30" s="1"/>
  <c r="P999" i="30"/>
  <c r="Q999" i="30" s="1"/>
  <c r="P1003" i="30"/>
  <c r="Q1003" i="30" s="1"/>
  <c r="P1007" i="30"/>
  <c r="Q1007" i="30" s="1"/>
  <c r="P1013" i="30"/>
  <c r="Q1013" i="30" s="1"/>
  <c r="P1017" i="30"/>
  <c r="Q1017" i="30" s="1"/>
  <c r="P1032" i="30"/>
  <c r="Q1032" i="30" s="1"/>
  <c r="P1036" i="30"/>
  <c r="Q1036" i="30" s="1"/>
  <c r="P1040" i="30"/>
  <c r="Q1040" i="30" s="1"/>
  <c r="P1049" i="30"/>
  <c r="Q1049" i="30" s="1"/>
  <c r="P1053" i="30"/>
  <c r="Q1053" i="30" s="1"/>
  <c r="P1057" i="30"/>
  <c r="Q1057" i="30" s="1"/>
  <c r="P1082" i="30"/>
  <c r="Q1082" i="30" s="1"/>
  <c r="P1086" i="30"/>
  <c r="Q1086" i="30" s="1"/>
  <c r="P1090" i="30"/>
  <c r="Q1090" i="30" s="1"/>
  <c r="P1094" i="30"/>
  <c r="Q1094" i="30" s="1"/>
  <c r="P951" i="30"/>
  <c r="Q951" i="30" s="1"/>
  <c r="P962" i="30"/>
  <c r="Q962" i="30" s="1"/>
  <c r="P973" i="30"/>
  <c r="Q973" i="30" s="1"/>
  <c r="P979" i="30"/>
  <c r="Q979" i="30" s="1"/>
  <c r="P875" i="30"/>
  <c r="Q875" i="30" s="1"/>
  <c r="P879" i="30"/>
  <c r="Q879" i="30" s="1"/>
  <c r="P883" i="30"/>
  <c r="Q883" i="30" s="1"/>
  <c r="P911" i="30"/>
  <c r="Q911" i="30" s="1"/>
  <c r="P915" i="30"/>
  <c r="Q915" i="30" s="1"/>
  <c r="P919" i="30"/>
  <c r="Q919" i="30" s="1"/>
  <c r="P931" i="30"/>
  <c r="Q931" i="30" s="1"/>
  <c r="P938" i="30"/>
  <c r="Q938" i="30" s="1"/>
  <c r="P955" i="30"/>
  <c r="Q955" i="30" s="1"/>
  <c r="P980" i="30"/>
  <c r="Q980" i="30" s="1"/>
  <c r="P983" i="30"/>
  <c r="Q983" i="30" s="1"/>
  <c r="P1001" i="30"/>
  <c r="Q1001" i="30" s="1"/>
  <c r="P1030" i="30"/>
  <c r="Q1030" i="30" s="1"/>
  <c r="P1065" i="30"/>
  <c r="Q1065" i="30" s="1"/>
  <c r="P877" i="30"/>
  <c r="Q877" i="30" s="1"/>
  <c r="P893" i="30"/>
  <c r="Q893" i="30" s="1"/>
  <c r="P897" i="30"/>
  <c r="Q897" i="30" s="1"/>
  <c r="P901" i="30"/>
  <c r="Q901" i="30" s="1"/>
  <c r="P917" i="30"/>
  <c r="Q917" i="30" s="1"/>
  <c r="P926" i="30"/>
  <c r="Q926" i="30" s="1"/>
  <c r="P930" i="30"/>
  <c r="Q930" i="30" s="1"/>
  <c r="P944" i="30"/>
  <c r="Q944" i="30" s="1"/>
  <c r="P948" i="30"/>
  <c r="Q948" i="30" s="1"/>
  <c r="P952" i="30"/>
  <c r="Q952" i="30" s="1"/>
  <c r="P884" i="30"/>
  <c r="Q884" i="30" s="1"/>
  <c r="P892" i="30"/>
  <c r="Q892" i="30"/>
  <c r="P896" i="30"/>
  <c r="Q896" i="30" s="1"/>
  <c r="P900" i="30"/>
  <c r="Q900" i="30"/>
  <c r="P904" i="30"/>
  <c r="Q904" i="30" s="1"/>
  <c r="P916" i="30"/>
  <c r="Q916" i="30" s="1"/>
  <c r="P929" i="30"/>
  <c r="Q929" i="30" s="1"/>
  <c r="P969" i="30"/>
  <c r="Q969" i="30" s="1"/>
  <c r="O1121" i="30"/>
  <c r="P887" i="30"/>
  <c r="Q887" i="30" s="1"/>
  <c r="P990" i="30"/>
  <c r="Q990" i="30" s="1"/>
  <c r="P998" i="30"/>
  <c r="Q998" i="30" s="1"/>
  <c r="P1002" i="30"/>
  <c r="Q1002" i="30" s="1"/>
  <c r="P1006" i="30"/>
  <c r="Q1006" i="30" s="1"/>
  <c r="P1014" i="30"/>
  <c r="Q1014" i="30" s="1"/>
  <c r="P1031" i="30"/>
  <c r="Q1031" i="30" s="1"/>
  <c r="P1035" i="30"/>
  <c r="Q1035" i="30" s="1"/>
  <c r="P1039" i="30"/>
  <c r="Q1039" i="30" s="1"/>
  <c r="P1043" i="30"/>
  <c r="Q1043" i="30" s="1"/>
  <c r="P1055" i="30"/>
  <c r="Q1055" i="30" s="1"/>
  <c r="P1067" i="30"/>
  <c r="Q1067" i="30" s="1"/>
  <c r="P1071" i="30"/>
  <c r="Q1071" i="30" s="1"/>
  <c r="P1075" i="30"/>
  <c r="Q1075" i="30" s="1"/>
  <c r="P1092" i="30"/>
  <c r="Q1092" i="30" s="1"/>
  <c r="P1100" i="30"/>
  <c r="Q1100" i="30" s="1"/>
  <c r="AV6" i="23"/>
  <c r="I27" i="12"/>
  <c r="J27" i="12"/>
  <c r="N20" i="12"/>
  <c r="AR8" i="23"/>
  <c r="G226" i="1"/>
  <c r="AR6" i="23"/>
  <c r="AR10" i="23"/>
  <c r="AV7" i="23"/>
  <c r="AV14" i="23"/>
  <c r="AR9" i="23"/>
  <c r="AR16" i="23"/>
  <c r="AR15" i="23"/>
  <c r="AR7" i="23"/>
  <c r="AR5" i="23"/>
  <c r="AR11" i="23"/>
  <c r="P1384" i="30"/>
  <c r="Q1384" i="30" s="1"/>
  <c r="P1427" i="30"/>
  <c r="Q1427" i="30" s="1"/>
  <c r="P1438" i="30"/>
  <c r="Q1438" i="30" s="1"/>
  <c r="P1442" i="30"/>
  <c r="Q1442" i="30" s="1"/>
  <c r="P1568" i="30"/>
  <c r="Q1568" i="30" s="1"/>
  <c r="P1131" i="30"/>
  <c r="Q1131" i="30" s="1"/>
  <c r="P635" i="30"/>
  <c r="Q635" i="30" s="1"/>
  <c r="P650" i="30"/>
  <c r="Q650" i="30" s="1"/>
  <c r="P654" i="30"/>
  <c r="Q654" i="30" s="1"/>
  <c r="P659" i="30"/>
  <c r="Q659" i="30" s="1"/>
  <c r="P663" i="30"/>
  <c r="Q663" i="30" s="1"/>
  <c r="P708" i="30"/>
  <c r="Q708" i="30" s="1"/>
  <c r="P716" i="30"/>
  <c r="Q716" i="30" s="1"/>
  <c r="P754" i="30"/>
  <c r="Q754" i="30" s="1"/>
  <c r="P797" i="30"/>
  <c r="Q797" i="30" s="1"/>
  <c r="P836" i="30"/>
  <c r="Q836" i="30" s="1"/>
  <c r="P1233" i="30"/>
  <c r="Q1233" i="30" s="1"/>
  <c r="P1392" i="30"/>
  <c r="Q1392" i="30"/>
  <c r="P1403" i="30"/>
  <c r="Q1403" i="30" s="1"/>
  <c r="P1407" i="30"/>
  <c r="Q1407" i="30" s="1"/>
  <c r="P1411" i="30"/>
  <c r="Q1411" i="30" s="1"/>
  <c r="P1132" i="30"/>
  <c r="Q1132" i="30" s="1"/>
  <c r="P680" i="30"/>
  <c r="Q680" i="30" s="1"/>
  <c r="P698" i="30"/>
  <c r="Q698" i="30" s="1"/>
  <c r="P729" i="30"/>
  <c r="Q729" i="30" s="1"/>
  <c r="P737" i="30"/>
  <c r="Q737" i="30" s="1"/>
  <c r="P772" i="30"/>
  <c r="Q772" i="30" s="1"/>
  <c r="P845" i="30"/>
  <c r="Q845" i="30" s="1"/>
  <c r="P1271" i="30"/>
  <c r="Q1271" i="30" s="1"/>
  <c r="P591" i="30"/>
  <c r="Q591" i="30" s="1"/>
  <c r="P1467" i="30"/>
  <c r="Q1467" i="30" s="1"/>
  <c r="P1468" i="30"/>
  <c r="Q1468" i="30" s="1"/>
  <c r="P1410" i="30"/>
  <c r="Q1410" i="30" s="1"/>
  <c r="P1397" i="30"/>
  <c r="Q1397" i="30" s="1"/>
  <c r="P1398" i="30"/>
  <c r="Q1398" i="30" s="1"/>
  <c r="P1450" i="30"/>
  <c r="Q1450" i="30"/>
  <c r="P1451" i="30"/>
  <c r="Q1451" i="30" s="1"/>
  <c r="P1454" i="30"/>
  <c r="Q1454" i="30" s="1"/>
  <c r="P1455" i="30"/>
  <c r="Q1455" i="30" s="1"/>
  <c r="P1380" i="30"/>
  <c r="Q1380" i="30" s="1"/>
  <c r="P1381" i="30"/>
  <c r="Q1381" i="30" s="1"/>
  <c r="P1391" i="30"/>
  <c r="Q1391" i="30" s="1"/>
  <c r="P1390" i="30"/>
  <c r="Q1390" i="30" s="1"/>
  <c r="P1497" i="30"/>
  <c r="Q1497" i="30" s="1"/>
  <c r="P1498" i="30"/>
  <c r="Q1498" i="30" s="1"/>
  <c r="P1512" i="30"/>
  <c r="Q1512" i="30" s="1"/>
  <c r="P1513" i="30"/>
  <c r="Q1513" i="30" s="1"/>
  <c r="P1517" i="30"/>
  <c r="Q1517" i="30" s="1"/>
  <c r="P1516" i="30"/>
  <c r="Q1516" i="30" s="1"/>
  <c r="P1531" i="30"/>
  <c r="Q1531" i="30" s="1"/>
  <c r="P1530" i="30"/>
  <c r="Q1530" i="30" s="1"/>
  <c r="P1535" i="30"/>
  <c r="Q1535" i="30" s="1"/>
  <c r="P1534" i="30"/>
  <c r="Q1534" i="30" s="1"/>
  <c r="P1566" i="30"/>
  <c r="Q1566" i="30" s="1"/>
  <c r="P1567" i="30"/>
  <c r="Q1567" i="30" s="1"/>
  <c r="Q1357" i="30"/>
  <c r="P1484" i="30"/>
  <c r="Q1484" i="30" s="1"/>
  <c r="P1413" i="30"/>
  <c r="Q1413" i="30" s="1"/>
  <c r="P1414" i="30"/>
  <c r="Q1414" i="30" s="1"/>
  <c r="P1421" i="30"/>
  <c r="Q1421" i="30" s="1"/>
  <c r="P1420" i="30"/>
  <c r="Q1420" i="30" s="1"/>
  <c r="P1470" i="30"/>
  <c r="Q1470" i="30" s="1"/>
  <c r="P1471" i="30"/>
  <c r="Q1471" i="30" s="1"/>
  <c r="P1419" i="30"/>
  <c r="Q1419" i="30" s="1"/>
  <c r="O1353" i="30"/>
  <c r="P1353" i="30" s="1"/>
  <c r="O1355" i="30"/>
  <c r="P1355" i="30" s="1"/>
  <c r="O1362" i="30"/>
  <c r="P1362" i="30" s="1"/>
  <c r="Q1362" i="30" s="1"/>
  <c r="P1376" i="30"/>
  <c r="Q1376" i="30" s="1"/>
  <c r="O1351" i="30"/>
  <c r="P1351" i="30" s="1"/>
  <c r="Q1351" i="30" s="1"/>
  <c r="O1354" i="30"/>
  <c r="P1354" i="30" s="1"/>
  <c r="O1358" i="30"/>
  <c r="P1358" i="30" s="1"/>
  <c r="Q1358" i="30" s="1"/>
  <c r="P630" i="30"/>
  <c r="Q630" i="30" s="1"/>
  <c r="P669" i="30"/>
  <c r="Q669" i="30" s="1"/>
  <c r="P673" i="30"/>
  <c r="Q673" i="30" s="1"/>
  <c r="P677" i="30"/>
  <c r="Q677" i="30" s="1"/>
  <c r="P701" i="30"/>
  <c r="Q701" i="30" s="1"/>
  <c r="P711" i="30"/>
  <c r="Q711" i="30" s="1"/>
  <c r="P726" i="30"/>
  <c r="Q726" i="30" s="1"/>
  <c r="P734" i="30"/>
  <c r="Q734" i="30" s="1"/>
  <c r="P738" i="30"/>
  <c r="Q738" i="30" s="1"/>
  <c r="P745" i="30"/>
  <c r="Q745" i="30" s="1"/>
  <c r="P757" i="30"/>
  <c r="Q757" i="30" s="1"/>
  <c r="P765" i="30"/>
  <c r="Q765" i="30" s="1"/>
  <c r="P775" i="30"/>
  <c r="Q775" i="30" s="1"/>
  <c r="P794" i="30"/>
  <c r="Q794" i="30" s="1"/>
  <c r="P809" i="30"/>
  <c r="Q809" i="30" s="1"/>
  <c r="P817" i="30"/>
  <c r="Q817" i="30" s="1"/>
  <c r="P825" i="30"/>
  <c r="Q825" i="30" s="1"/>
  <c r="P837" i="30"/>
  <c r="Q837" i="30" s="1"/>
  <c r="P1465" i="30"/>
  <c r="Q1465" i="30" s="1"/>
  <c r="P1502" i="30"/>
  <c r="Q1502" i="30" s="1"/>
  <c r="P1549" i="30"/>
  <c r="Q1549" i="30" s="1"/>
  <c r="P1559" i="30"/>
  <c r="Q1559" i="30" s="1"/>
  <c r="P1296" i="30"/>
  <c r="Q1296" i="30" s="1"/>
  <c r="P1304" i="30"/>
  <c r="Q1304" i="30" s="1"/>
  <c r="P1310" i="30"/>
  <c r="Q1310" i="30" s="1"/>
  <c r="P1318" i="30"/>
  <c r="Q1318" i="30" s="1"/>
  <c r="P1325" i="30"/>
  <c r="Q1325" i="30" s="1"/>
  <c r="P1329" i="30"/>
  <c r="Q1329" i="30" s="1"/>
  <c r="P621" i="30"/>
  <c r="Q621" i="30" s="1"/>
  <c r="P674" i="30"/>
  <c r="Q674" i="30" s="1"/>
  <c r="P678" i="30"/>
  <c r="Q678" i="30" s="1"/>
  <c r="P689" i="30"/>
  <c r="Q689" i="30" s="1"/>
  <c r="P693" i="30"/>
  <c r="Q693" i="30" s="1"/>
  <c r="P697" i="30"/>
  <c r="Q697" i="30" s="1"/>
  <c r="P707" i="30"/>
  <c r="Q707" i="30" s="1"/>
  <c r="P713" i="30"/>
  <c r="Q713" i="30" s="1"/>
  <c r="P717" i="30"/>
  <c r="Q717" i="30" s="1"/>
  <c r="P732" i="30"/>
  <c r="Q732" i="30" s="1"/>
  <c r="P740" i="30"/>
  <c r="Q740" i="30" s="1"/>
  <c r="P755" i="30"/>
  <c r="Q755" i="30" s="1"/>
  <c r="P759" i="30"/>
  <c r="Q759" i="30" s="1"/>
  <c r="P771" i="30"/>
  <c r="Q771" i="30" s="1"/>
  <c r="P777" i="30"/>
  <c r="Q777" i="30" s="1"/>
  <c r="P788" i="30"/>
  <c r="Q788" i="30" s="1"/>
  <c r="P792" i="30"/>
  <c r="Q792" i="30" s="1"/>
  <c r="P823" i="30"/>
  <c r="Q823" i="30" s="1"/>
  <c r="P827" i="30"/>
  <c r="Q827" i="30" s="1"/>
  <c r="P842" i="30"/>
  <c r="Q842" i="30" s="1"/>
  <c r="P846" i="30"/>
  <c r="Q846" i="30"/>
  <c r="P1444" i="30"/>
  <c r="Q1444" i="30" s="1"/>
  <c r="P1445" i="30"/>
  <c r="Q1445" i="30" s="1"/>
  <c r="P1422" i="30"/>
  <c r="Q1422" i="30" s="1"/>
  <c r="P1423" i="30"/>
  <c r="Q1423" i="30" s="1"/>
  <c r="P1475" i="30"/>
  <c r="Q1475" i="30" s="1"/>
  <c r="P1476" i="30"/>
  <c r="Q1476" i="30" s="1"/>
  <c r="P1482" i="30"/>
  <c r="Q1482" i="30" s="1"/>
  <c r="P1481" i="30"/>
  <c r="Q1481" i="30" s="1"/>
  <c r="P1485" i="30"/>
  <c r="Q1485" i="30"/>
  <c r="P1486" i="30"/>
  <c r="Q1486" i="30" s="1"/>
  <c r="P1490" i="30"/>
  <c r="Q1490" i="30" s="1"/>
  <c r="P1489" i="30"/>
  <c r="Q1489" i="30" s="1"/>
  <c r="P1440" i="30"/>
  <c r="Q1440" i="30" s="1"/>
  <c r="P1441" i="30"/>
  <c r="Q1441" i="30" s="1"/>
  <c r="P1378" i="30"/>
  <c r="Q1378" i="30" s="1"/>
  <c r="P1377" i="30"/>
  <c r="Q1377" i="30" s="1"/>
  <c r="P1428" i="30"/>
  <c r="Q1428" i="30" s="1"/>
  <c r="P1429" i="30"/>
  <c r="Q1429" i="30" s="1"/>
  <c r="P1434" i="30"/>
  <c r="Q1434" i="30"/>
  <c r="P1435" i="30"/>
  <c r="Q1435" i="30" s="1"/>
  <c r="P1394" i="30"/>
  <c r="Q1394" i="30" s="1"/>
  <c r="P730" i="30"/>
  <c r="Q730" i="30" s="1"/>
  <c r="P746" i="30"/>
  <c r="Q746" i="30" s="1"/>
  <c r="P789" i="30"/>
  <c r="Q789" i="30" s="1"/>
  <c r="P798" i="30"/>
  <c r="Q798" i="30" s="1"/>
  <c r="P810" i="30"/>
  <c r="Q810" i="30" s="1"/>
  <c r="P828" i="30"/>
  <c r="Q828" i="30" s="1"/>
  <c r="O852" i="30"/>
  <c r="P852" i="30" s="1"/>
  <c r="O853" i="30"/>
  <c r="P853" i="30" s="1"/>
  <c r="O855" i="30"/>
  <c r="P855" i="30" s="1"/>
  <c r="O857" i="30"/>
  <c r="P857" i="30" s="1"/>
  <c r="O859" i="30"/>
  <c r="O861" i="30"/>
  <c r="O863" i="30"/>
  <c r="P595" i="30"/>
  <c r="Q595" i="30" s="1"/>
  <c r="P610" i="30"/>
  <c r="Q610" i="30" s="1"/>
  <c r="P614" i="30"/>
  <c r="Q614" i="30" s="1"/>
  <c r="P618" i="30"/>
  <c r="Q618" i="30" s="1"/>
  <c r="P622" i="30"/>
  <c r="Q622" i="30"/>
  <c r="P652" i="30"/>
  <c r="Q652" i="30" s="1"/>
  <c r="P660" i="30"/>
  <c r="Q660" i="30" s="1"/>
  <c r="P670" i="30"/>
  <c r="Q670" i="30" s="1"/>
  <c r="P681" i="30"/>
  <c r="Q681" i="30" s="1"/>
  <c r="P687" i="30"/>
  <c r="Q687" i="30" s="1"/>
  <c r="P695" i="30"/>
  <c r="Q695" i="30" s="1"/>
  <c r="P719" i="30"/>
  <c r="Q719" i="30" s="1"/>
  <c r="P728" i="30"/>
  <c r="Q728" i="30" s="1"/>
  <c r="P747" i="30"/>
  <c r="Q747" i="30" s="1"/>
  <c r="P751" i="30"/>
  <c r="Q751" i="30" s="1"/>
  <c r="P769" i="30"/>
  <c r="Q769" i="30" s="1"/>
  <c r="P784" i="30"/>
  <c r="Q784" i="30" s="1"/>
  <c r="P790" i="30"/>
  <c r="Q790" i="30" s="1"/>
  <c r="P796" i="30"/>
  <c r="Q796" i="30" s="1"/>
  <c r="P805" i="30"/>
  <c r="Q805" i="30" s="1"/>
  <c r="P811" i="30"/>
  <c r="Q811" i="30" s="1"/>
  <c r="P815" i="30"/>
  <c r="Q815" i="30" s="1"/>
  <c r="P829" i="30"/>
  <c r="Q829" i="30" s="1"/>
  <c r="P833" i="30"/>
  <c r="Q833" i="30" s="1"/>
  <c r="P596" i="30"/>
  <c r="Q596" i="30" s="1"/>
  <c r="P600" i="30"/>
  <c r="Q600" i="30" s="1"/>
  <c r="P612" i="30"/>
  <c r="Q612" i="30" s="1"/>
  <c r="P624" i="30"/>
  <c r="Q624" i="30" s="1"/>
  <c r="P629" i="30"/>
  <c r="Q629" i="30" s="1"/>
  <c r="P634" i="30"/>
  <c r="Q634" i="30" s="1"/>
  <c r="P638" i="30"/>
  <c r="Q638" i="30" s="1"/>
  <c r="P642" i="30"/>
  <c r="Q642" i="30" s="1"/>
  <c r="P672" i="30"/>
  <c r="Q672" i="30" s="1"/>
  <c r="P682" i="30"/>
  <c r="Q682" i="30"/>
  <c r="P691" i="30"/>
  <c r="Q691" i="30" s="1"/>
  <c r="P715" i="30"/>
  <c r="Q715" i="30" s="1"/>
  <c r="P721" i="30"/>
  <c r="Q721" i="30" s="1"/>
  <c r="P736" i="30"/>
  <c r="Q736" i="30" s="1"/>
  <c r="P749" i="30"/>
  <c r="Q749" i="30" s="1"/>
  <c r="P753" i="30"/>
  <c r="Q753" i="30" s="1"/>
  <c r="P767" i="30"/>
  <c r="Q767" i="30" s="1"/>
  <c r="P779" i="30"/>
  <c r="Q779" i="30" s="1"/>
  <c r="P786" i="30"/>
  <c r="Q786" i="30" s="1"/>
  <c r="P803" i="30"/>
  <c r="Q803" i="30" s="1"/>
  <c r="P807" i="30"/>
  <c r="Q807" i="30" s="1"/>
  <c r="P813" i="30"/>
  <c r="Q813" i="30" s="1"/>
  <c r="P831" i="30"/>
  <c r="Q831" i="30" s="1"/>
  <c r="P835" i="30"/>
  <c r="Q835" i="30" s="1"/>
  <c r="P844" i="30"/>
  <c r="Q844" i="30" s="1"/>
  <c r="P599" i="30"/>
  <c r="Q599" i="30" s="1"/>
  <c r="P603" i="30"/>
  <c r="Q603" i="30" s="1"/>
  <c r="P633" i="30"/>
  <c r="Q633" i="30" s="1"/>
  <c r="P651" i="30"/>
  <c r="Q651" i="30" s="1"/>
  <c r="P611" i="30"/>
  <c r="Q611" i="30" s="1"/>
  <c r="P615" i="30"/>
  <c r="Q615" i="30" s="1"/>
  <c r="P619" i="30"/>
  <c r="Q619" i="30" s="1"/>
  <c r="P623" i="30"/>
  <c r="Q623" i="30" s="1"/>
  <c r="P636" i="30"/>
  <c r="Q636" i="30" s="1"/>
  <c r="P658" i="30"/>
  <c r="Q658" i="30" s="1"/>
  <c r="P662" i="30"/>
  <c r="Q662" i="30"/>
  <c r="P671" i="30"/>
  <c r="Q671" i="30" s="1"/>
  <c r="P676" i="30"/>
  <c r="Q676" i="30" s="1"/>
  <c r="P679" i="30"/>
  <c r="Q679" i="30" s="1"/>
  <c r="P733" i="30"/>
  <c r="Q733" i="30" s="1"/>
  <c r="P750" i="30"/>
  <c r="Q750" i="30" s="1"/>
  <c r="P758" i="30"/>
  <c r="Q758" i="30" s="1"/>
  <c r="P806" i="30"/>
  <c r="Q806" i="30" s="1"/>
  <c r="P814" i="30"/>
  <c r="Q814" i="30" s="1"/>
  <c r="P824" i="30"/>
  <c r="Q824" i="30" s="1"/>
  <c r="P832" i="30"/>
  <c r="Q832" i="30" s="1"/>
  <c r="O854" i="30"/>
  <c r="P854" i="30" s="1"/>
  <c r="O858" i="30"/>
  <c r="P858" i="30" s="1"/>
  <c r="O862" i="30"/>
  <c r="P597" i="30"/>
  <c r="Q597" i="30" s="1"/>
  <c r="O865" i="30"/>
  <c r="P688" i="30"/>
  <c r="Q688" i="30" s="1"/>
  <c r="P690" i="30"/>
  <c r="Q690" i="30" s="1"/>
  <c r="P692" i="30"/>
  <c r="Q692" i="30" s="1"/>
  <c r="P694" i="30"/>
  <c r="Q694" i="30" s="1"/>
  <c r="P712" i="30"/>
  <c r="Q712" i="30" s="1"/>
  <c r="P720" i="30"/>
  <c r="Q720" i="30" s="1"/>
  <c r="P768" i="30"/>
  <c r="Q768" i="30" s="1"/>
  <c r="P776" i="30"/>
  <c r="Q776" i="30" s="1"/>
  <c r="P785" i="30"/>
  <c r="Q785" i="30" s="1"/>
  <c r="P793" i="30"/>
  <c r="Q793" i="30" s="1"/>
  <c r="O864" i="30"/>
  <c r="P864" i="30" s="1"/>
  <c r="Q864" i="30" s="1"/>
  <c r="P604" i="30"/>
  <c r="Q604" i="30" s="1"/>
  <c r="P675" i="30"/>
  <c r="Q675" i="30" s="1"/>
  <c r="O851" i="30"/>
  <c r="O856" i="30"/>
  <c r="P856" i="30" s="1"/>
  <c r="O860" i="30"/>
  <c r="P696" i="30"/>
  <c r="Q696" i="30" s="1"/>
  <c r="P700" i="30"/>
  <c r="Q700" i="30" s="1"/>
  <c r="P710" i="30"/>
  <c r="Q710" i="30" s="1"/>
  <c r="P714" i="30"/>
  <c r="Q714" i="30" s="1"/>
  <c r="P718" i="30"/>
  <c r="Q718" i="30" s="1"/>
  <c r="P727" i="30"/>
  <c r="Q727" i="30" s="1"/>
  <c r="P731" i="30"/>
  <c r="Q731" i="30" s="1"/>
  <c r="P735" i="30"/>
  <c r="Q735" i="30" s="1"/>
  <c r="P739" i="30"/>
  <c r="Q739" i="30" s="1"/>
  <c r="P748" i="30"/>
  <c r="Q748" i="30" s="1"/>
  <c r="P752" i="30"/>
  <c r="Q752" i="30" s="1"/>
  <c r="P756" i="30"/>
  <c r="Q756" i="30" s="1"/>
  <c r="P766" i="30"/>
  <c r="Q766" i="30" s="1"/>
  <c r="P770" i="30"/>
  <c r="Q770" i="30" s="1"/>
  <c r="P774" i="30"/>
  <c r="Q774" i="30" s="1"/>
  <c r="P778" i="30"/>
  <c r="Q778" i="30" s="1"/>
  <c r="P787" i="30"/>
  <c r="Q787" i="30" s="1"/>
  <c r="P791" i="30"/>
  <c r="Q791" i="30" s="1"/>
  <c r="P795" i="30"/>
  <c r="Q795" i="30" s="1"/>
  <c r="P804" i="30"/>
  <c r="Q804" i="30"/>
  <c r="P808" i="30"/>
  <c r="Q808" i="30" s="1"/>
  <c r="P812" i="30"/>
  <c r="Q812" i="30" s="1"/>
  <c r="P816" i="30"/>
  <c r="Q816" i="30" s="1"/>
  <c r="P826" i="30"/>
  <c r="Q826" i="30" s="1"/>
  <c r="P830" i="30"/>
  <c r="Q830" i="30" s="1"/>
  <c r="P834" i="30"/>
  <c r="Q834" i="30" s="1"/>
  <c r="P843" i="30"/>
  <c r="Q843" i="30" s="1"/>
  <c r="Q1352" i="30"/>
  <c r="O31" i="26" l="1"/>
  <c r="X311" i="24"/>
  <c r="O1593" i="30"/>
  <c r="H121" i="24"/>
  <c r="K121" i="24" s="1"/>
  <c r="L121" i="24" s="1"/>
  <c r="E402" i="24"/>
  <c r="E252" i="24"/>
  <c r="X192" i="24"/>
  <c r="W178" i="24"/>
  <c r="X178" i="24" s="1"/>
  <c r="AK11" i="23" s="1"/>
  <c r="AL11" i="23" s="1"/>
  <c r="K401" i="24"/>
  <c r="L401" i="24" s="1"/>
  <c r="F251" i="24"/>
  <c r="G251" i="24" s="1"/>
  <c r="G252" i="24" s="1"/>
  <c r="I243" i="24"/>
  <c r="I252" i="24" s="1"/>
  <c r="K252" i="24" s="1"/>
  <c r="P932" i="30"/>
  <c r="Q932" i="30" s="1"/>
  <c r="P997" i="30"/>
  <c r="Q997" i="30" s="1"/>
  <c r="P1093" i="30"/>
  <c r="Q1093" i="30" s="1"/>
  <c r="O1114" i="30"/>
  <c r="P1114" i="30" s="1"/>
  <c r="P435" i="24"/>
  <c r="Q435" i="24" s="1"/>
  <c r="U181" i="24"/>
  <c r="V181" i="24" s="1"/>
  <c r="U333" i="24"/>
  <c r="V333" i="24" s="1"/>
  <c r="K207" i="24"/>
  <c r="L207" i="24" s="1"/>
  <c r="V457" i="24"/>
  <c r="V467" i="24" s="1"/>
  <c r="M243" i="24"/>
  <c r="M252" i="24" s="1"/>
  <c r="R222" i="24"/>
  <c r="O1592" i="30"/>
  <c r="P1592" i="30" s="1"/>
  <c r="Q1592" i="30" s="1"/>
  <c r="W341" i="24"/>
  <c r="W342" i="24" s="1"/>
  <c r="Q854" i="30"/>
  <c r="R854" i="30" s="1"/>
  <c r="H130" i="24"/>
  <c r="P1120" i="30"/>
  <c r="Q1120" i="30" s="1"/>
  <c r="K192" i="24"/>
  <c r="L192" i="24" s="1"/>
  <c r="F466" i="24"/>
  <c r="K435" i="24"/>
  <c r="L435" i="24" s="1"/>
  <c r="X363" i="24"/>
  <c r="U401" i="24"/>
  <c r="V401" i="24" s="1"/>
  <c r="O1591" i="30"/>
  <c r="Q1355" i="30"/>
  <c r="C161" i="24"/>
  <c r="K333" i="24"/>
  <c r="L333" i="24" s="1"/>
  <c r="Q1353" i="30"/>
  <c r="R1354" i="30" s="1"/>
  <c r="F435" i="24"/>
  <c r="F436" i="24" s="1"/>
  <c r="H342" i="24"/>
  <c r="K342" i="24" s="1"/>
  <c r="G466" i="24"/>
  <c r="G467" i="24" s="1"/>
  <c r="R436" i="24"/>
  <c r="K251" i="24"/>
  <c r="L251" i="24" s="1"/>
  <c r="P1173" i="30"/>
  <c r="Q1173" i="30" s="1"/>
  <c r="P1206" i="30"/>
  <c r="Q1206" i="30" s="1"/>
  <c r="O121" i="24"/>
  <c r="P121" i="24" s="1"/>
  <c r="Q121" i="24" s="1"/>
  <c r="P902" i="30"/>
  <c r="Q902" i="30" s="1"/>
  <c r="P1000" i="30"/>
  <c r="Q1000" i="30" s="1"/>
  <c r="O1112" i="30"/>
  <c r="P1112" i="30" s="1"/>
  <c r="Q1112" i="30" s="1"/>
  <c r="P620" i="30"/>
  <c r="Q620" i="30" s="1"/>
  <c r="P637" i="30"/>
  <c r="Q637" i="30" s="1"/>
  <c r="P656" i="30"/>
  <c r="Q656" i="30" s="1"/>
  <c r="Q51" i="24"/>
  <c r="R51" i="24" s="1"/>
  <c r="R60" i="24" s="1"/>
  <c r="O1583" i="30"/>
  <c r="P1583" i="30" s="1"/>
  <c r="P1145" i="30"/>
  <c r="Q1145" i="30" s="1"/>
  <c r="R121" i="24"/>
  <c r="X281" i="24"/>
  <c r="P282" i="24"/>
  <c r="S213" i="24"/>
  <c r="H152" i="24"/>
  <c r="S121" i="24"/>
  <c r="P1052" i="30"/>
  <c r="Q1052" i="30" s="1"/>
  <c r="P1084" i="30"/>
  <c r="Q1084" i="30" s="1"/>
  <c r="O1111" i="30"/>
  <c r="P1111" i="30" s="1"/>
  <c r="Q1111" i="30" s="1"/>
  <c r="O1118" i="30"/>
  <c r="P1118" i="30" s="1"/>
  <c r="Q1118" i="30" s="1"/>
  <c r="P605" i="30"/>
  <c r="Q605" i="30" s="1"/>
  <c r="P639" i="30"/>
  <c r="Q639" i="30" s="1"/>
  <c r="P657" i="30"/>
  <c r="Q657" i="30" s="1"/>
  <c r="S252" i="24"/>
  <c r="J436" i="24"/>
  <c r="N436" i="24"/>
  <c r="R342" i="24"/>
  <c r="X303" i="24"/>
  <c r="P251" i="24"/>
  <c r="Q251" i="24" s="1"/>
  <c r="I184" i="24"/>
  <c r="I193" i="24" s="1"/>
  <c r="V342" i="24"/>
  <c r="P1361" i="30"/>
  <c r="Q1361" i="30" s="1"/>
  <c r="H243" i="24"/>
  <c r="H252" i="24" s="1"/>
  <c r="W207" i="24"/>
  <c r="X207" i="24" s="1"/>
  <c r="F363" i="24"/>
  <c r="F372" i="24" s="1"/>
  <c r="U303" i="24"/>
  <c r="V303" i="24" s="1"/>
  <c r="AE2" i="23"/>
  <c r="AF2" i="23" s="1"/>
  <c r="P1426" i="30"/>
  <c r="Q1426" i="30" s="1"/>
  <c r="P1458" i="30"/>
  <c r="Q1458" i="30" s="1"/>
  <c r="O1122" i="30"/>
  <c r="P1122" i="30" s="1"/>
  <c r="Q1122" i="30" s="1"/>
  <c r="O1110" i="30"/>
  <c r="P1110" i="30" s="1"/>
  <c r="Q1110" i="30" s="1"/>
  <c r="O1117" i="30"/>
  <c r="P641" i="30"/>
  <c r="Q641" i="30" s="1"/>
  <c r="N7" i="26"/>
  <c r="T193" i="24"/>
  <c r="K311" i="24"/>
  <c r="L311" i="24" s="1"/>
  <c r="L312" i="24" s="1"/>
  <c r="O402" i="24"/>
  <c r="S372" i="24"/>
  <c r="F341" i="24"/>
  <c r="G341" i="24" s="1"/>
  <c r="G342" i="24" s="1"/>
  <c r="C213" i="24"/>
  <c r="C222" i="24" s="1"/>
  <c r="P1544" i="30"/>
  <c r="Q1544" i="30" s="1"/>
  <c r="N161" i="24"/>
  <c r="O1109" i="30"/>
  <c r="P1109" i="30" s="1"/>
  <c r="O1116" i="30"/>
  <c r="P1116" i="30" s="1"/>
  <c r="Q1116" i="30" s="1"/>
  <c r="W466" i="24"/>
  <c r="O243" i="24"/>
  <c r="O252" i="24" s="1"/>
  <c r="D38" i="6"/>
  <c r="H15" i="19" s="1"/>
  <c r="Q857" i="30"/>
  <c r="U184" i="24"/>
  <c r="V184" i="24" s="1"/>
  <c r="Q467" i="24"/>
  <c r="I342" i="24"/>
  <c r="J342" i="24"/>
  <c r="E282" i="24"/>
  <c r="U251" i="24"/>
  <c r="V251" i="24" s="1"/>
  <c r="P221" i="24"/>
  <c r="Q221" i="24" s="1"/>
  <c r="P1529" i="30"/>
  <c r="Q1529" i="30" s="1"/>
  <c r="D152" i="24"/>
  <c r="E121" i="24"/>
  <c r="E130" i="24" s="1"/>
  <c r="O1108" i="30"/>
  <c r="P598" i="30"/>
  <c r="Q598" i="30" s="1"/>
  <c r="P632" i="30"/>
  <c r="Q632" i="30" s="1"/>
  <c r="N60" i="24"/>
  <c r="Q1113" i="30"/>
  <c r="P1119" i="30"/>
  <c r="Q1119" i="30" s="1"/>
  <c r="P1591" i="30"/>
  <c r="Q1591" i="30" s="1"/>
  <c r="P1593" i="30"/>
  <c r="Q1593" i="30" s="1"/>
  <c r="D161" i="24"/>
  <c r="F152" i="24"/>
  <c r="Q1114" i="30"/>
  <c r="P1117" i="30"/>
  <c r="Q1117" i="30" s="1"/>
  <c r="X393" i="24"/>
  <c r="P1121" i="30"/>
  <c r="Q1121" i="30" s="1"/>
  <c r="Q1115" i="30"/>
  <c r="P593" i="30"/>
  <c r="Q593" i="30" s="1"/>
  <c r="O866" i="30"/>
  <c r="B19" i="18" s="1"/>
  <c r="Q855" i="30"/>
  <c r="P617" i="30"/>
  <c r="Q617" i="30" s="1"/>
  <c r="P939" i="30"/>
  <c r="Q939" i="30" s="1"/>
  <c r="Q1354" i="30"/>
  <c r="P1023" i="30"/>
  <c r="Q1023" i="30" s="1"/>
  <c r="P1060" i="30"/>
  <c r="Q1060" i="30" s="1"/>
  <c r="P1085" i="30"/>
  <c r="Q1085" i="30" s="1"/>
  <c r="P1051" i="30"/>
  <c r="Q1051" i="30" s="1"/>
  <c r="P986" i="30"/>
  <c r="Q986" i="30" s="1"/>
  <c r="P880" i="30"/>
  <c r="Q880" i="30" s="1"/>
  <c r="P913" i="30"/>
  <c r="Q913" i="30" s="1"/>
  <c r="P1019" i="30"/>
  <c r="Q1019" i="30" s="1"/>
  <c r="P953" i="30"/>
  <c r="Q953" i="30" s="1"/>
  <c r="P908" i="30"/>
  <c r="Q908" i="30" s="1"/>
  <c r="P921" i="30"/>
  <c r="Q921" i="30" s="1"/>
  <c r="P899" i="30"/>
  <c r="Q899" i="30" s="1"/>
  <c r="U152" i="24"/>
  <c r="V152" i="24" s="1"/>
  <c r="V161" i="24" s="1"/>
  <c r="K146" i="24"/>
  <c r="L146" i="24" s="1"/>
  <c r="K466" i="24"/>
  <c r="P436" i="24"/>
  <c r="F312" i="24"/>
  <c r="F149" i="24"/>
  <c r="G149" i="24" s="1"/>
  <c r="J152" i="24"/>
  <c r="J161" i="24" s="1"/>
  <c r="M193" i="24"/>
  <c r="P193" i="24" s="1"/>
  <c r="P184" i="24"/>
  <c r="Q184" i="24" s="1"/>
  <c r="Q193" i="24" s="1"/>
  <c r="W273" i="24"/>
  <c r="W282" i="24" s="1"/>
  <c r="K213" i="24"/>
  <c r="L213" i="24" s="1"/>
  <c r="L222" i="24" s="1"/>
  <c r="U210" i="24"/>
  <c r="V210" i="24" s="1"/>
  <c r="X401" i="24"/>
  <c r="X402" i="24" s="1"/>
  <c r="X427" i="24"/>
  <c r="M402" i="24"/>
  <c r="W363" i="24"/>
  <c r="X247" i="24"/>
  <c r="X251" i="24" s="1"/>
  <c r="W251" i="24"/>
  <c r="K210" i="24"/>
  <c r="L210" i="24" s="1"/>
  <c r="H213" i="24"/>
  <c r="H222" i="24" s="1"/>
  <c r="P863" i="30"/>
  <c r="Q863" i="30" s="1"/>
  <c r="P602" i="30"/>
  <c r="Q602" i="30" s="1"/>
  <c r="Q853" i="30"/>
  <c r="P1048" i="30"/>
  <c r="Q1048" i="30" s="1"/>
  <c r="P1073" i="30"/>
  <c r="Q1073" i="30" s="1"/>
  <c r="P1038" i="30"/>
  <c r="Q1038" i="30" s="1"/>
  <c r="P971" i="30"/>
  <c r="Q971" i="30" s="1"/>
  <c r="P946" i="30"/>
  <c r="Q946" i="30" s="1"/>
  <c r="P967" i="30"/>
  <c r="Q967" i="30" s="1"/>
  <c r="P895" i="30"/>
  <c r="Q895" i="30" s="1"/>
  <c r="P903" i="30"/>
  <c r="Q903" i="30" s="1"/>
  <c r="F121" i="24"/>
  <c r="P146" i="24"/>
  <c r="Q146" i="24" s="1"/>
  <c r="U146" i="24"/>
  <c r="V146" i="24" s="1"/>
  <c r="P342" i="24"/>
  <c r="U457" i="24"/>
  <c r="X365" i="24"/>
  <c r="W371" i="24"/>
  <c r="R312" i="24"/>
  <c r="U311" i="24"/>
  <c r="V311" i="24" s="1"/>
  <c r="P303" i="24"/>
  <c r="Q303" i="24" s="1"/>
  <c r="Q312" i="24" s="1"/>
  <c r="W303" i="24"/>
  <c r="U178" i="24"/>
  <c r="V178" i="24" s="1"/>
  <c r="X218" i="24"/>
  <c r="X221" i="24" s="1"/>
  <c r="W221" i="24"/>
  <c r="Q858" i="30"/>
  <c r="P640" i="30"/>
  <c r="Q640" i="30" s="1"/>
  <c r="P655" i="30"/>
  <c r="Q655" i="30" s="1"/>
  <c r="P1070" i="30"/>
  <c r="Q1070" i="30" s="1"/>
  <c r="W121" i="24"/>
  <c r="F401" i="24"/>
  <c r="F402" i="24" s="1"/>
  <c r="F342" i="24"/>
  <c r="W210" i="24"/>
  <c r="X210" i="24" s="1"/>
  <c r="AH15" i="23" s="1"/>
  <c r="AI15" i="23" s="1"/>
  <c r="W393" i="24"/>
  <c r="W402" i="24" s="1"/>
  <c r="I402" i="24"/>
  <c r="K402" i="24" s="1"/>
  <c r="U342" i="24"/>
  <c r="X333" i="24"/>
  <c r="X342" i="24" s="1"/>
  <c r="F187" i="24"/>
  <c r="G187" i="24" s="1"/>
  <c r="D192" i="24"/>
  <c r="F192" i="24" s="1"/>
  <c r="F146" i="24"/>
  <c r="G146" i="24" s="1"/>
  <c r="W146" i="24"/>
  <c r="X146" i="24" s="1"/>
  <c r="X152" i="24" s="1"/>
  <c r="J193" i="24"/>
  <c r="K193" i="24" s="1"/>
  <c r="W457" i="24"/>
  <c r="P341" i="24"/>
  <c r="Q341" i="24" s="1"/>
  <c r="X273" i="24"/>
  <c r="P668" i="30"/>
  <c r="Q668" i="30" s="1"/>
  <c r="P699" i="30"/>
  <c r="Q699" i="30" s="1"/>
  <c r="P773" i="30"/>
  <c r="Q773" i="30" s="1"/>
  <c r="W281" i="24"/>
  <c r="R243" i="24"/>
  <c r="U243" i="24" s="1"/>
  <c r="V243" i="24" s="1"/>
  <c r="H44" i="4"/>
  <c r="J43" i="4"/>
  <c r="O1584" i="30"/>
  <c r="P1584" i="30" s="1"/>
  <c r="O1585" i="30"/>
  <c r="P1585" i="30" s="1"/>
  <c r="Q1585" i="30" s="1"/>
  <c r="O1586" i="30"/>
  <c r="P1586" i="30" s="1"/>
  <c r="Q1586" i="30" s="1"/>
  <c r="O1588" i="30"/>
  <c r="P1588" i="30" s="1"/>
  <c r="Q1588" i="30" s="1"/>
  <c r="O1590" i="30"/>
  <c r="P1590" i="30" s="1"/>
  <c r="Q1590" i="30" s="1"/>
  <c r="F155" i="24"/>
  <c r="G155" i="24" s="1"/>
  <c r="O372" i="24"/>
  <c r="P372" i="24" s="1"/>
  <c r="C342" i="24"/>
  <c r="T312" i="24"/>
  <c r="R282" i="24"/>
  <c r="U282" i="24" s="1"/>
  <c r="P1153" i="30"/>
  <c r="Q1153" i="30" s="1"/>
  <c r="P1178" i="30"/>
  <c r="Q1178" i="30" s="1"/>
  <c r="P1186" i="30"/>
  <c r="Q1186" i="30" s="1"/>
  <c r="P1195" i="30"/>
  <c r="Q1195" i="30" s="1"/>
  <c r="P1250" i="30"/>
  <c r="Q1250" i="30" s="1"/>
  <c r="T130" i="24"/>
  <c r="F129" i="24"/>
  <c r="G129" i="24" s="1"/>
  <c r="J372" i="24"/>
  <c r="K372" i="24" s="1"/>
  <c r="P371" i="24"/>
  <c r="Q371" i="24" s="1"/>
  <c r="Q372" i="24" s="1"/>
  <c r="K363" i="24"/>
  <c r="L363" i="24" s="1"/>
  <c r="T402" i="24"/>
  <c r="E213" i="24"/>
  <c r="M213" i="24"/>
  <c r="M222" i="24" s="1"/>
  <c r="P222" i="24" s="1"/>
  <c r="U207" i="24"/>
  <c r="V207" i="24" s="1"/>
  <c r="F28" i="21"/>
  <c r="H28" i="21" s="1"/>
  <c r="X59" i="24"/>
  <c r="P862" i="30"/>
  <c r="Q862" i="30" s="1"/>
  <c r="P859" i="30"/>
  <c r="Q859" i="30" s="1"/>
  <c r="P861" i="30"/>
  <c r="Q861" i="30" s="1"/>
  <c r="P865" i="30"/>
  <c r="Q865" i="30" s="1"/>
  <c r="K152" i="24"/>
  <c r="L152" i="24" s="1"/>
  <c r="H161" i="24"/>
  <c r="K161" i="24" s="1"/>
  <c r="AE11" i="23"/>
  <c r="AF11" i="23" s="1"/>
  <c r="X243" i="24"/>
  <c r="Q1356" i="30"/>
  <c r="R1357" i="30" s="1"/>
  <c r="P1359" i="30"/>
  <c r="Q1359" i="30" s="1"/>
  <c r="Q856" i="30"/>
  <c r="Q852" i="30"/>
  <c r="E161" i="24"/>
  <c r="P129" i="24"/>
  <c r="Q129" i="24" s="1"/>
  <c r="Q130" i="24" s="1"/>
  <c r="G152" i="24"/>
  <c r="G161" i="24" s="1"/>
  <c r="F161" i="24"/>
  <c r="X155" i="24"/>
  <c r="X160" i="24" s="1"/>
  <c r="W160" i="24"/>
  <c r="X121" i="24"/>
  <c r="W184" i="24"/>
  <c r="O43" i="26"/>
  <c r="Q436" i="24"/>
  <c r="P401" i="24"/>
  <c r="Q401" i="24" s="1"/>
  <c r="D222" i="24"/>
  <c r="R372" i="24"/>
  <c r="U213" i="24"/>
  <c r="V213" i="24" s="1"/>
  <c r="J222" i="24"/>
  <c r="X433" i="24"/>
  <c r="X435" i="24" s="1"/>
  <c r="W435" i="24"/>
  <c r="W436" i="24" s="1"/>
  <c r="K393" i="24"/>
  <c r="L393" i="24" s="1"/>
  <c r="L402" i="24" s="1"/>
  <c r="N243" i="24"/>
  <c r="P243" i="24" s="1"/>
  <c r="Q243" i="24" s="1"/>
  <c r="Q252" i="24" s="1"/>
  <c r="P1480" i="30"/>
  <c r="Q1480" i="30" s="1"/>
  <c r="Q1109" i="30"/>
  <c r="R1115" i="30" s="1"/>
  <c r="P1360" i="30"/>
  <c r="Q1360" i="30" s="1"/>
  <c r="P161" i="24"/>
  <c r="R402" i="24"/>
  <c r="U192" i="24"/>
  <c r="V192" i="24" s="1"/>
  <c r="V193" i="24" s="1"/>
  <c r="V282" i="24"/>
  <c r="W311" i="24"/>
  <c r="U436" i="24"/>
  <c r="K273" i="24"/>
  <c r="L273" i="24" s="1"/>
  <c r="K184" i="24"/>
  <c r="L184" i="24" s="1"/>
  <c r="L193" i="24" s="1"/>
  <c r="X312" i="24"/>
  <c r="AH11" i="23"/>
  <c r="AI11" i="23" s="1"/>
  <c r="Q60" i="24"/>
  <c r="X282" i="24"/>
  <c r="H658" i="4"/>
  <c r="H224" i="1"/>
  <c r="S130" i="24"/>
  <c r="Y59" i="24"/>
  <c r="Y60" i="24" s="1"/>
  <c r="O7" i="26"/>
  <c r="U87" i="24"/>
  <c r="V87" i="24" s="1"/>
  <c r="V96" i="24" s="1"/>
  <c r="R96" i="24"/>
  <c r="U96" i="24" s="1"/>
  <c r="P466" i="24"/>
  <c r="W467" i="24"/>
  <c r="I436" i="24"/>
  <c r="K436" i="24" s="1"/>
  <c r="U435" i="24"/>
  <c r="V435" i="24" s="1"/>
  <c r="V436" i="24" s="1"/>
  <c r="K371" i="24"/>
  <c r="L371" i="24" s="1"/>
  <c r="U393" i="24"/>
  <c r="V393" i="24" s="1"/>
  <c r="V402" i="24" s="1"/>
  <c r="U363" i="24"/>
  <c r="V363" i="24" s="1"/>
  <c r="V372" i="24" s="1"/>
  <c r="K341" i="24"/>
  <c r="L341" i="24" s="1"/>
  <c r="K281" i="24"/>
  <c r="L281" i="24" s="1"/>
  <c r="D282" i="24"/>
  <c r="K237" i="24"/>
  <c r="L237" i="24" s="1"/>
  <c r="S222" i="24"/>
  <c r="P1424" i="30"/>
  <c r="Q1424" i="30" s="1"/>
  <c r="P1491" i="30"/>
  <c r="Q1491" i="30" s="1"/>
  <c r="P1505" i="30"/>
  <c r="Q1505" i="30" s="1"/>
  <c r="P1526" i="30"/>
  <c r="Q1526" i="30" s="1"/>
  <c r="P1149" i="30"/>
  <c r="Q1149" i="30" s="1"/>
  <c r="P1157" i="30"/>
  <c r="Q1157" i="30" s="1"/>
  <c r="P1182" i="30"/>
  <c r="Q1182" i="30" s="1"/>
  <c r="P1190" i="30"/>
  <c r="Q1190" i="30" s="1"/>
  <c r="P1204" i="30"/>
  <c r="Q1204" i="30" s="1"/>
  <c r="P1229" i="30"/>
  <c r="Q1229" i="30" s="1"/>
  <c r="P1293" i="30"/>
  <c r="Q1293" i="30" s="1"/>
  <c r="P118" i="24"/>
  <c r="Q118" i="24" s="1"/>
  <c r="U129" i="24"/>
  <c r="V129" i="24" s="1"/>
  <c r="P653" i="30"/>
  <c r="Q653" i="30" s="1"/>
  <c r="P709" i="30"/>
  <c r="Q709" i="30" s="1"/>
  <c r="Q59" i="24"/>
  <c r="R59" i="24" s="1"/>
  <c r="X457" i="24"/>
  <c r="K427" i="24"/>
  <c r="L427" i="24" s="1"/>
  <c r="L436" i="24" s="1"/>
  <c r="P393" i="24"/>
  <c r="Q393" i="24" s="1"/>
  <c r="C372" i="24"/>
  <c r="P333" i="24"/>
  <c r="Q333" i="24" s="1"/>
  <c r="E342" i="24"/>
  <c r="N312" i="24"/>
  <c r="P312" i="24" s="1"/>
  <c r="D312" i="24"/>
  <c r="F281" i="24"/>
  <c r="AH2" i="23"/>
  <c r="AI2" i="23" s="1"/>
  <c r="P1552" i="30"/>
  <c r="Q1552" i="30" s="1"/>
  <c r="P1239" i="30"/>
  <c r="Q1239" i="30" s="1"/>
  <c r="U115" i="24"/>
  <c r="V115" i="24" s="1"/>
  <c r="P1066" i="30"/>
  <c r="Q1066" i="30" s="1"/>
  <c r="P1089" i="30"/>
  <c r="Q1089" i="30" s="1"/>
  <c r="P1099" i="30"/>
  <c r="Q1099" i="30" s="1"/>
  <c r="P661" i="30"/>
  <c r="Q661" i="30" s="1"/>
  <c r="E372" i="24"/>
  <c r="H312" i="24"/>
  <c r="K312" i="24" s="1"/>
  <c r="J282" i="24"/>
  <c r="K282" i="24" s="1"/>
  <c r="N252" i="24"/>
  <c r="P252" i="24" s="1"/>
  <c r="R252" i="24"/>
  <c r="P1473" i="30"/>
  <c r="Q1473" i="30" s="1"/>
  <c r="O1581" i="30"/>
  <c r="O1582" i="30"/>
  <c r="P1263" i="30"/>
  <c r="Q1263" i="30" s="1"/>
  <c r="P1337" i="30"/>
  <c r="Q1337" i="30" s="1"/>
  <c r="D130" i="24"/>
  <c r="R130" i="24"/>
  <c r="U118" i="24"/>
  <c r="V118" i="24" s="1"/>
  <c r="K129" i="24"/>
  <c r="L129" i="24" s="1"/>
  <c r="L130" i="24" s="1"/>
  <c r="G225" i="1"/>
  <c r="G227" i="1" s="1"/>
  <c r="P592" i="30"/>
  <c r="Q592" i="30" s="1"/>
  <c r="F87" i="24"/>
  <c r="G87" i="24" s="1"/>
  <c r="G96" i="24" s="1"/>
  <c r="M60" i="24"/>
  <c r="H113" i="21"/>
  <c r="F29" i="11"/>
  <c r="F28" i="11"/>
  <c r="C22" i="16" s="1"/>
  <c r="C8" i="16"/>
  <c r="D8" i="16" s="1"/>
  <c r="F8" i="16" s="1"/>
  <c r="H62" i="21"/>
  <c r="D10" i="16"/>
  <c r="F10" i="16" s="1"/>
  <c r="H45" i="21"/>
  <c r="C27" i="16"/>
  <c r="AV2" i="23" s="1"/>
  <c r="N164" i="28"/>
  <c r="H10" i="19"/>
  <c r="L164" i="28"/>
  <c r="H207" i="1"/>
  <c r="H122" i="1"/>
  <c r="H173" i="1"/>
  <c r="H190" i="1"/>
  <c r="H71" i="1"/>
  <c r="H88" i="1"/>
  <c r="H11" i="19"/>
  <c r="F72" i="21"/>
  <c r="H72" i="21" s="1"/>
  <c r="F17" i="21"/>
  <c r="C19" i="16"/>
  <c r="E21" i="16"/>
  <c r="E24" i="16" s="1"/>
  <c r="H94" i="21"/>
  <c r="F295" i="4"/>
  <c r="H295" i="4" s="1"/>
  <c r="AV9" i="23"/>
  <c r="D31" i="8"/>
  <c r="AV10" i="23"/>
  <c r="F31" i="8"/>
  <c r="E225" i="1"/>
  <c r="B18" i="6"/>
  <c r="C6" i="6"/>
  <c r="C18" i="6" s="1"/>
  <c r="H14" i="19" s="1"/>
  <c r="Q18" i="32"/>
  <c r="L26" i="12"/>
  <c r="V51" i="24"/>
  <c r="W51" i="24" s="1"/>
  <c r="W60" i="24" s="1"/>
  <c r="S60" i="24"/>
  <c r="V60" i="24" s="1"/>
  <c r="X51" i="24"/>
  <c r="X60" i="24" s="1"/>
  <c r="D60" i="24"/>
  <c r="G51" i="24"/>
  <c r="I60" i="24"/>
  <c r="L60" i="24" s="1"/>
  <c r="D27" i="12"/>
  <c r="B26" i="12"/>
  <c r="B27" i="12" s="1"/>
  <c r="F26" i="12"/>
  <c r="H96" i="24"/>
  <c r="K96" i="24" s="1"/>
  <c r="K87" i="24"/>
  <c r="L87" i="24" s="1"/>
  <c r="L96" i="24" s="1"/>
  <c r="P87" i="24"/>
  <c r="Q87" i="24" s="1"/>
  <c r="Q96" i="24" s="1"/>
  <c r="M96" i="24"/>
  <c r="P96" i="24" s="1"/>
  <c r="G26" i="12"/>
  <c r="W87" i="24"/>
  <c r="W96" i="24" s="1"/>
  <c r="D96" i="24"/>
  <c r="N14" i="12"/>
  <c r="O14" i="12" s="1"/>
  <c r="D37" i="16" s="1"/>
  <c r="AW14" i="23" s="1"/>
  <c r="AX14" i="23" s="1"/>
  <c r="N13" i="12"/>
  <c r="O13" i="12" s="1"/>
  <c r="N11" i="12"/>
  <c r="O11" i="12" s="1"/>
  <c r="D34" i="16" s="1"/>
  <c r="AW10" i="23" s="1"/>
  <c r="N10" i="12"/>
  <c r="O10" i="12" s="1"/>
  <c r="D33" i="16" s="1"/>
  <c r="AW9" i="23" s="1"/>
  <c r="N8" i="12"/>
  <c r="O8" i="12" s="1"/>
  <c r="D31" i="16" s="1"/>
  <c r="AW7" i="23" s="1"/>
  <c r="AX7" i="23" s="1"/>
  <c r="N6" i="12"/>
  <c r="O6" i="12" s="1"/>
  <c r="D29" i="16" s="1"/>
  <c r="AW5" i="23" s="1"/>
  <c r="N5" i="12"/>
  <c r="O5" i="12" s="1"/>
  <c r="D28" i="16" s="1"/>
  <c r="AW3" i="23" s="1"/>
  <c r="N24" i="12"/>
  <c r="N23" i="12"/>
  <c r="O23" i="12" s="1"/>
  <c r="N21" i="12"/>
  <c r="O21" i="12" s="1"/>
  <c r="AW8" i="23"/>
  <c r="AX6" i="23"/>
  <c r="E30" i="16"/>
  <c r="N15" i="26"/>
  <c r="E26" i="12"/>
  <c r="K26" i="12"/>
  <c r="N25" i="12"/>
  <c r="O25" i="12" s="1"/>
  <c r="O4" i="12"/>
  <c r="M26" i="12"/>
  <c r="N22" i="12"/>
  <c r="O22" i="12" s="1"/>
  <c r="O20" i="12"/>
  <c r="C26" i="12"/>
  <c r="O11" i="26"/>
  <c r="P860" i="30"/>
  <c r="Q860" i="30" s="1"/>
  <c r="U252" i="24"/>
  <c r="R1352" i="30"/>
  <c r="AV12" i="23"/>
  <c r="L161" i="24"/>
  <c r="G184" i="24"/>
  <c r="X184" i="24"/>
  <c r="X193" i="24" s="1"/>
  <c r="AK15" i="23"/>
  <c r="AL15" i="23" s="1"/>
  <c r="U193" i="24"/>
  <c r="W152" i="24"/>
  <c r="P152" i="24"/>
  <c r="Q152" i="24" s="1"/>
  <c r="Q161" i="24" s="1"/>
  <c r="D193" i="24"/>
  <c r="W192" i="24"/>
  <c r="M467" i="24"/>
  <c r="P467" i="24" s="1"/>
  <c r="V222" i="24"/>
  <c r="F467" i="24"/>
  <c r="Q402" i="24"/>
  <c r="S467" i="24"/>
  <c r="U467" i="24" s="1"/>
  <c r="X466" i="24"/>
  <c r="AK2" i="23"/>
  <c r="N402" i="24"/>
  <c r="I130" i="24"/>
  <c r="K130" i="24" s="1"/>
  <c r="N130" i="24"/>
  <c r="F89" i="4"/>
  <c r="H89" i="4" s="1"/>
  <c r="U117" i="24"/>
  <c r="V117" i="24" s="1"/>
  <c r="P124" i="24"/>
  <c r="Q124" i="24" s="1"/>
  <c r="P115" i="24"/>
  <c r="Q115" i="24" s="1"/>
  <c r="W124" i="24"/>
  <c r="K124" i="24"/>
  <c r="L124" i="24" s="1"/>
  <c r="E17" i="2"/>
  <c r="E11" i="26"/>
  <c r="N11" i="26" s="1"/>
  <c r="H27" i="12"/>
  <c r="P631" i="30"/>
  <c r="Q631" i="30" s="1"/>
  <c r="R1122" i="30" l="1"/>
  <c r="R1120" i="30"/>
  <c r="R1121" i="30"/>
  <c r="R1119" i="30"/>
  <c r="R1118" i="30"/>
  <c r="R1116" i="30"/>
  <c r="K243" i="24"/>
  <c r="L243" i="24" s="1"/>
  <c r="L252" i="24" s="1"/>
  <c r="R1363" i="30"/>
  <c r="R1355" i="30"/>
  <c r="W213" i="24"/>
  <c r="W222" i="24" s="1"/>
  <c r="R1113" i="30"/>
  <c r="U312" i="24"/>
  <c r="R1356" i="30"/>
  <c r="V312" i="24"/>
  <c r="R855" i="30"/>
  <c r="X161" i="24"/>
  <c r="X467" i="24"/>
  <c r="R1353" i="30"/>
  <c r="X436" i="24"/>
  <c r="P866" i="30"/>
  <c r="Q866" i="30" s="1"/>
  <c r="U222" i="24"/>
  <c r="Q1584" i="30"/>
  <c r="K222" i="24"/>
  <c r="W312" i="24"/>
  <c r="AE18" i="23"/>
  <c r="O130" i="24"/>
  <c r="P130" i="24" s="1"/>
  <c r="P402" i="24"/>
  <c r="E222" i="24"/>
  <c r="F252" i="24"/>
  <c r="W193" i="24"/>
  <c r="U372" i="24"/>
  <c r="R853" i="30"/>
  <c r="V252" i="24"/>
  <c r="G363" i="24"/>
  <c r="G372" i="24" s="1"/>
  <c r="L342" i="24"/>
  <c r="U402" i="24"/>
  <c r="U121" i="24"/>
  <c r="V121" i="24" s="1"/>
  <c r="V130" i="24" s="1"/>
  <c r="G192" i="24"/>
  <c r="G193" i="24" s="1"/>
  <c r="F193" i="24"/>
  <c r="R1361" i="30"/>
  <c r="U130" i="24"/>
  <c r="X252" i="24"/>
  <c r="F213" i="24"/>
  <c r="W372" i="24"/>
  <c r="Q342" i="24"/>
  <c r="L372" i="24"/>
  <c r="R1112" i="30"/>
  <c r="R1358" i="30"/>
  <c r="R1117" i="30"/>
  <c r="R1362" i="30"/>
  <c r="R1114" i="30"/>
  <c r="R866" i="30"/>
  <c r="X213" i="24"/>
  <c r="X222" i="24" s="1"/>
  <c r="R1111" i="30"/>
  <c r="P213" i="24"/>
  <c r="Q213" i="24" s="1"/>
  <c r="Q222" i="24" s="1"/>
  <c r="R859" i="30"/>
  <c r="R863" i="30"/>
  <c r="Q1587" i="30"/>
  <c r="O39" i="26"/>
  <c r="X371" i="24"/>
  <c r="X372" i="24" s="1"/>
  <c r="P1589" i="30"/>
  <c r="Q1589" i="30" s="1"/>
  <c r="R1591" i="30" s="1"/>
  <c r="W161" i="24"/>
  <c r="R1359" i="30"/>
  <c r="F96" i="24"/>
  <c r="R1360" i="30"/>
  <c r="G121" i="24"/>
  <c r="G130" i="24" s="1"/>
  <c r="F130" i="24"/>
  <c r="R856" i="30"/>
  <c r="H17" i="21"/>
  <c r="F123" i="21"/>
  <c r="F24" i="11"/>
  <c r="C15" i="16" s="1"/>
  <c r="R858" i="30"/>
  <c r="D27" i="16"/>
  <c r="AW2" i="23" s="1"/>
  <c r="AX2" i="23" s="1"/>
  <c r="P1582" i="30"/>
  <c r="Q1582" i="30" s="1"/>
  <c r="Q1583" i="30"/>
  <c r="R1589" i="30" s="1"/>
  <c r="G281" i="24"/>
  <c r="G282" i="24" s="1"/>
  <c r="F282" i="24"/>
  <c r="W243" i="24"/>
  <c r="W252" i="24" s="1"/>
  <c r="R857" i="30"/>
  <c r="R862" i="30"/>
  <c r="AH18" i="23"/>
  <c r="R864" i="30"/>
  <c r="H122" i="21"/>
  <c r="H123" i="21" s="1"/>
  <c r="H125" i="21" s="1"/>
  <c r="L282" i="24"/>
  <c r="R1110" i="30"/>
  <c r="F26" i="11"/>
  <c r="C20" i="16" s="1"/>
  <c r="F22" i="11"/>
  <c r="C14" i="16" s="1"/>
  <c r="F13" i="11"/>
  <c r="C32" i="16"/>
  <c r="AV8" i="23" s="1"/>
  <c r="AX8" i="23" s="1"/>
  <c r="C28" i="16"/>
  <c r="F659" i="4"/>
  <c r="C27" i="12"/>
  <c r="O24" i="12"/>
  <c r="O26" i="12" s="1"/>
  <c r="B39" i="18"/>
  <c r="B40" i="18" s="1"/>
  <c r="M27" i="12"/>
  <c r="G10" i="16"/>
  <c r="C10" i="16"/>
  <c r="AX9" i="23"/>
  <c r="AV11" i="23"/>
  <c r="AV15" i="23"/>
  <c r="AX10" i="23"/>
  <c r="D40" i="6"/>
  <c r="F30" i="11" s="1"/>
  <c r="B20" i="32"/>
  <c r="H21" i="32" s="1"/>
  <c r="B26" i="18" s="1"/>
  <c r="D36" i="16"/>
  <c r="E27" i="12"/>
  <c r="L27" i="12"/>
  <c r="E34" i="16"/>
  <c r="B11" i="18"/>
  <c r="B12" i="18" s="1"/>
  <c r="G60" i="24"/>
  <c r="H51" i="24"/>
  <c r="H60" i="24" s="1"/>
  <c r="E37" i="16"/>
  <c r="B32" i="18"/>
  <c r="B33" i="18" s="1"/>
  <c r="F27" i="12"/>
  <c r="E31" i="16"/>
  <c r="E33" i="16"/>
  <c r="E27" i="16"/>
  <c r="N26" i="12"/>
  <c r="N15" i="12"/>
  <c r="O15" i="12" s="1"/>
  <c r="D38" i="16" s="1"/>
  <c r="G27" i="12"/>
  <c r="R861" i="30"/>
  <c r="AL2" i="23"/>
  <c r="AK18" i="23"/>
  <c r="O18" i="12"/>
  <c r="B5" i="18" s="1"/>
  <c r="B4" i="18" s="1"/>
  <c r="K27" i="12"/>
  <c r="W129" i="24"/>
  <c r="W130" i="24" s="1"/>
  <c r="X124" i="24"/>
  <c r="X129" i="24" s="1"/>
  <c r="X130" i="24" s="1"/>
  <c r="R865" i="30"/>
  <c r="R860" i="30"/>
  <c r="R1590" i="30" l="1"/>
  <c r="R1593" i="30"/>
  <c r="R1592" i="30"/>
  <c r="F222" i="24"/>
  <c r="G213" i="24"/>
  <c r="G222" i="24" s="1"/>
  <c r="R1584" i="30"/>
  <c r="R1588" i="30"/>
  <c r="R1587" i="30"/>
  <c r="R1585" i="30"/>
  <c r="R1583" i="30"/>
  <c r="R1586" i="30"/>
  <c r="F663" i="4"/>
  <c r="F8" i="11"/>
  <c r="G7" i="11" s="1"/>
  <c r="C17" i="16"/>
  <c r="AW12" i="23"/>
  <c r="E36" i="16"/>
  <c r="G34" i="16"/>
  <c r="G36" i="16"/>
  <c r="C16" i="16"/>
  <c r="G28" i="16"/>
  <c r="G40" i="16"/>
  <c r="G29" i="16"/>
  <c r="G31" i="16"/>
  <c r="G30" i="16"/>
  <c r="G38" i="16"/>
  <c r="G39" i="16"/>
  <c r="G33" i="16"/>
  <c r="G27" i="16"/>
  <c r="G32" i="16"/>
  <c r="G37" i="16"/>
  <c r="G35" i="16"/>
  <c r="E32" i="16"/>
  <c r="E39" i="16"/>
  <c r="AV16" i="23"/>
  <c r="AX16" i="23" s="1"/>
  <c r="F40" i="11"/>
  <c r="F56" i="11" s="1"/>
  <c r="N27" i="12"/>
  <c r="D35" i="16"/>
  <c r="D40" i="16" s="1"/>
  <c r="O27" i="12"/>
  <c r="AV5" i="23"/>
  <c r="AX5" i="23" s="1"/>
  <c r="E29" i="16"/>
  <c r="G8" i="16"/>
  <c r="F36" i="16" s="1"/>
  <c r="H12" i="19"/>
  <c r="H29" i="19"/>
  <c r="AV3" i="23"/>
  <c r="E28" i="16"/>
  <c r="C40" i="16"/>
  <c r="AW15" i="23"/>
  <c r="AX15" i="23" s="1"/>
  <c r="E38" i="16"/>
  <c r="D13" i="16" l="1"/>
  <c r="F13" i="16" s="1"/>
  <c r="G13" i="16" s="1"/>
  <c r="AW11" i="23"/>
  <c r="E35" i="16"/>
  <c r="D29" i="19"/>
  <c r="C5" i="16"/>
  <c r="D4" i="16" s="1"/>
  <c r="F4" i="16" s="1"/>
  <c r="F35" i="16"/>
  <c r="F30" i="16"/>
  <c r="F27" i="16"/>
  <c r="F37" i="16"/>
  <c r="F33" i="16"/>
  <c r="F29" i="16"/>
  <c r="F40" i="16"/>
  <c r="F32" i="16"/>
  <c r="F39" i="16"/>
  <c r="F34" i="16"/>
  <c r="F31" i="16"/>
  <c r="F38" i="16"/>
  <c r="F28" i="16"/>
  <c r="AV18" i="23"/>
  <c r="AX3" i="23"/>
  <c r="I36" i="16" l="1"/>
  <c r="I29" i="16"/>
  <c r="I40" i="16"/>
  <c r="I28" i="16"/>
  <c r="I32" i="16"/>
  <c r="I27" i="16"/>
  <c r="I30" i="16"/>
  <c r="I34" i="16"/>
  <c r="I35" i="16"/>
  <c r="I38" i="16"/>
  <c r="I33" i="16"/>
  <c r="I37" i="16"/>
  <c r="I39" i="16"/>
  <c r="I31" i="16"/>
  <c r="G4" i="16"/>
  <c r="G37" i="11"/>
  <c r="H6" i="11" s="1"/>
  <c r="AX11" i="23"/>
  <c r="AW18" i="23"/>
  <c r="I6" i="11" l="1"/>
  <c r="J7" i="11" s="1"/>
  <c r="H31" i="11"/>
  <c r="I31" i="11" s="1"/>
  <c r="J31" i="11" s="1"/>
  <c r="B23" i="18" s="1"/>
  <c r="B24" i="18" s="1"/>
  <c r="B27" i="18" s="1"/>
  <c r="H35" i="11"/>
  <c r="I35" i="11" s="1"/>
  <c r="H32" i="11"/>
  <c r="I32" i="11" s="1"/>
  <c r="J32" i="11" s="1"/>
  <c r="H36" i="11"/>
  <c r="I36" i="11" s="1"/>
  <c r="J36" i="11" s="1"/>
  <c r="B9" i="18" s="1"/>
  <c r="B10" i="18" s="1"/>
  <c r="B13" i="18" s="1"/>
  <c r="H33" i="11"/>
  <c r="I33" i="11" s="1"/>
  <c r="J33" i="11" s="1"/>
  <c r="H34" i="11"/>
  <c r="I34" i="11" s="1"/>
  <c r="J34" i="11" s="1"/>
  <c r="B37" i="18" s="1"/>
  <c r="B38" i="18" s="1"/>
  <c r="B41" i="18" s="1"/>
  <c r="D3" i="5" l="1"/>
  <c r="J35" i="11"/>
  <c r="B30" i="18" s="1"/>
  <c r="B31" i="18" s="1"/>
  <c r="B34" i="18" s="1"/>
  <c r="E40" i="16"/>
  <c r="B16" i="18"/>
  <c r="B17" i="18" s="1"/>
  <c r="B20" i="18" s="1"/>
  <c r="I37" i="11"/>
  <c r="C12" i="16"/>
  <c r="D11" i="16" s="1"/>
  <c r="H37" i="11"/>
  <c r="F11" i="16" l="1"/>
  <c r="F24" i="16" s="1"/>
  <c r="D24" i="16"/>
  <c r="J37" i="11"/>
  <c r="F58" i="11" s="1"/>
  <c r="E3" i="5"/>
  <c r="E4" i="5" l="1"/>
  <c r="H13" i="19"/>
  <c r="H16" i="19" s="1"/>
  <c r="G11" i="16"/>
  <c r="H36" i="16" s="1"/>
  <c r="J36" i="16" s="1"/>
  <c r="B2" i="18"/>
  <c r="B3" i="18" l="1"/>
  <c r="H35" i="16"/>
  <c r="J35" i="16" s="1"/>
  <c r="H28" i="16"/>
  <c r="J28" i="16" s="1"/>
  <c r="H32" i="16"/>
  <c r="J32" i="16" s="1"/>
  <c r="H38" i="16"/>
  <c r="J38" i="16" s="1"/>
  <c r="H31" i="16"/>
  <c r="J31" i="16" s="1"/>
  <c r="H29" i="16"/>
  <c r="J29" i="16" s="1"/>
  <c r="H40" i="16"/>
  <c r="J40" i="16" s="1"/>
  <c r="AX18" i="23" s="1"/>
  <c r="H37" i="16"/>
  <c r="J37" i="16" s="1"/>
  <c r="H27" i="16"/>
  <c r="J27" i="16" s="1"/>
  <c r="H33" i="16"/>
  <c r="J33" i="16" s="1"/>
  <c r="H39" i="16"/>
  <c r="J39" i="16" s="1"/>
  <c r="H30" i="16"/>
  <c r="J30" i="16" s="1"/>
  <c r="H34" i="16"/>
  <c r="J34" i="16" s="1"/>
  <c r="G24" i="16"/>
  <c r="B6" i="18" l="1"/>
  <c r="F32" i="19"/>
  <c r="F31" i="19"/>
</calcChain>
</file>

<file path=xl/sharedStrings.xml><?xml version="1.0" encoding="utf-8"?>
<sst xmlns="http://schemas.openxmlformats.org/spreadsheetml/2006/main" count="6572" uniqueCount="999">
  <si>
    <t xml:space="preserve"> </t>
  </si>
  <si>
    <t>Institution</t>
  </si>
  <si>
    <t>Benefit</t>
  </si>
  <si>
    <t>%Employer Contribution</t>
  </si>
  <si>
    <t>Annual Cost</t>
  </si>
  <si>
    <t>Sub-Total</t>
  </si>
  <si>
    <t>Grand Total</t>
  </si>
  <si>
    <t>Anvil Mt. C.C.</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</si>
  <si>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</si>
  <si>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</si>
  <si>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</si>
  <si>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</si>
  <si>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</si>
  <si>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</si>
  <si>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</si>
  <si>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</si>
  <si>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</si>
  <si>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</si>
  <si>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</si>
  <si>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</si>
  <si>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</si>
  <si>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</si>
  <si>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</si>
  <si>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</si>
  <si>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</si>
  <si>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</si>
  <si>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</si>
  <si>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</si>
  <si>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</si>
  <si>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</si>
  <si>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</si>
  <si>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</si>
  <si>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</si>
  <si>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</si>
  <si>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</si>
  <si>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</si>
  <si>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</si>
  <si>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</si>
  <si>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</si>
  <si>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</si>
  <si>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</si>
  <si>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</si>
  <si>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</si>
  <si>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</si>
  <si>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</si>
  <si>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</si>
  <si>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</si>
  <si>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</si>
  <si>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</si>
  <si>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</si>
  <si>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</si>
  <si>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</si>
  <si>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</si>
  <si>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</si>
  <si>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</si>
  <si>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</si>
  <si>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</si>
  <si>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</si>
  <si>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</si>
  <si>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</si>
  <si>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</si>
  <si>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</si>
  <si>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</si>
  <si>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</si>
  <si>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</si>
  <si>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FCC</t>
  </si>
  <si>
    <t>KCC</t>
  </si>
  <si>
    <t>LCCC</t>
  </si>
  <si>
    <t>PCC</t>
  </si>
  <si>
    <t>SCCC</t>
  </si>
  <si>
    <t>Parole Board</t>
  </si>
  <si>
    <t>Correctional Academy</t>
  </si>
  <si>
    <t>Anvil Mt.CC</t>
  </si>
  <si>
    <t>Division/Institution</t>
  </si>
  <si>
    <t>Total Reimbursement</t>
  </si>
  <si>
    <t>Outstanding Balance of RSA</t>
  </si>
  <si>
    <t>Data &amp; Word Processing</t>
  </si>
  <si>
    <t>Facility-Capital Improvement</t>
  </si>
  <si>
    <t>Institution Director's Office</t>
  </si>
  <si>
    <t>Anvil Mtn. CC</t>
  </si>
  <si>
    <t>Combined Hiland Mtn. CC</t>
  </si>
  <si>
    <t>Yukon Kuskokwim CC</t>
  </si>
  <si>
    <t>Out-of-State Contractual</t>
  </si>
  <si>
    <t>Point Mackenzie</t>
  </si>
  <si>
    <t>Daily Cost per Prisoner</t>
  </si>
  <si>
    <t xml:space="preserve">  </t>
  </si>
  <si>
    <t>Daily Cost Per Prisoner</t>
  </si>
  <si>
    <t>UUU</t>
  </si>
  <si>
    <t>UUU (Unidentified)</t>
  </si>
  <si>
    <t>Training Academy</t>
  </si>
  <si>
    <t>AMCC</t>
  </si>
  <si>
    <t>YKCC</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</si>
  <si>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</si>
  <si>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</si>
  <si>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</si>
  <si>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</si>
  <si>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</si>
  <si>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</si>
  <si>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</si>
  <si>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</si>
  <si>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</si>
  <si>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</si>
  <si>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</si>
  <si>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</si>
  <si>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</si>
  <si>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</si>
  <si>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</si>
  <si>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</si>
  <si>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</si>
  <si>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</si>
  <si>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Cook Inlet</t>
  </si>
  <si>
    <t>Hiland Mt.CC</t>
  </si>
  <si>
    <t xml:space="preserve">Lemon Creek </t>
  </si>
  <si>
    <t>Spring Creek</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</si>
  <si>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</si>
  <si>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</si>
  <si>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</si>
  <si>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</si>
  <si>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</si>
  <si>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</si>
  <si>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</si>
  <si>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</si>
  <si>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</si>
  <si>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</si>
  <si>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</si>
  <si>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</si>
  <si>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</si>
  <si>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</si>
  <si>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</si>
  <si>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</si>
  <si>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</si>
  <si>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</si>
  <si>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</si>
  <si>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</si>
  <si>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</si>
  <si>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CHMCC</t>
  </si>
  <si>
    <t>% OF TOTAL</t>
  </si>
  <si>
    <t>TOTAL ALL COSTS</t>
  </si>
  <si>
    <t>Anvil Mountain CC</t>
  </si>
  <si>
    <t>Cook Inlet CC</t>
  </si>
  <si>
    <t>Mat-Su CC</t>
  </si>
  <si>
    <t>Yukon-Kuskokwim CC</t>
  </si>
  <si>
    <t>Tents</t>
  </si>
  <si>
    <t>CRC's</t>
  </si>
  <si>
    <t>CRC Offender Supervision</t>
  </si>
  <si>
    <t>Electronic Monitoring</t>
  </si>
  <si>
    <t>Treatment Beds</t>
  </si>
  <si>
    <t>Arizona</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</si>
  <si>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</si>
  <si>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</si>
  <si>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</si>
  <si>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</si>
  <si>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</si>
  <si>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</si>
  <si>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</si>
  <si>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</si>
  <si>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</si>
  <si>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</si>
  <si>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</si>
  <si>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</si>
  <si>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</si>
  <si>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</si>
  <si>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</si>
  <si>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</si>
  <si>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</si>
  <si>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</si>
  <si>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</si>
  <si>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</si>
  <si>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</si>
  <si>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</si>
  <si>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</si>
  <si>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</si>
  <si>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</si>
  <si>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</si>
  <si>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</si>
  <si>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</si>
  <si>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</si>
  <si>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</si>
  <si>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</si>
  <si>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</si>
  <si>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</si>
  <si>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</si>
  <si>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</si>
  <si>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</si>
  <si>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</si>
  <si>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</si>
  <si>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</si>
  <si>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</si>
  <si>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</si>
  <si>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</si>
  <si>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</si>
  <si>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</si>
  <si>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</si>
  <si>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</si>
  <si>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</si>
  <si>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</si>
  <si>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</si>
  <si>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</si>
  <si>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</si>
  <si>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</si>
  <si>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</si>
  <si>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</si>
  <si>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</si>
  <si>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</si>
  <si>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</si>
  <si>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</si>
  <si>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</si>
  <si>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</si>
  <si>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</si>
  <si>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</si>
  <si>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</si>
  <si>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</si>
  <si>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</si>
  <si>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</si>
  <si>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</si>
  <si>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</si>
  <si>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</si>
  <si>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</si>
  <si>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</si>
  <si>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</si>
  <si>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</si>
  <si>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</si>
  <si>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</si>
  <si>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</si>
  <si>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</si>
  <si>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</si>
  <si>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SEASIDE CRC-NOME</t>
  </si>
  <si>
    <t>DAILY COST OF CARE CALCULATIONS</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</si>
  <si>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</si>
  <si>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</si>
  <si>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</si>
  <si>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</si>
  <si>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</si>
  <si>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</si>
  <si>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</si>
  <si>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</si>
  <si>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 xml:space="preserve">Lemon Creek CC   </t>
  </si>
  <si>
    <t>E.  Other Direct Operating costs (Schedule D1 and D2)</t>
  </si>
  <si>
    <t>Less: Reimb. from Dept. Public Safety</t>
  </si>
  <si>
    <t xml:space="preserve">COST ALLOCATION </t>
  </si>
  <si>
    <t>TOTAL COSTS</t>
  </si>
  <si>
    <t>COMMUNITY RESIDENTIAL CENTERS</t>
  </si>
  <si>
    <t>Anchorage Jail</t>
  </si>
  <si>
    <t>Alternative Housing</t>
  </si>
  <si>
    <t>Budgeted Revenue Interagency Receipts (I/A)</t>
  </si>
  <si>
    <t>% for Institution Operations</t>
  </si>
  <si>
    <t>Less: DHSS RSA Youth Meals</t>
  </si>
  <si>
    <t>Less: DPS RSA Transport</t>
  </si>
  <si>
    <t>STATEWIDE DIRECT COSTS</t>
  </si>
  <si>
    <t>Statewide Direct Cost</t>
  </si>
  <si>
    <t>PERSONAL SERVICES BENEFITS BY INDIVIDUAL INSTITUTIONS</t>
  </si>
  <si>
    <t>.</t>
  </si>
  <si>
    <t>ANCHORAGE JAIL</t>
  </si>
  <si>
    <t>Sixth Avenue</t>
  </si>
  <si>
    <t xml:space="preserve">* * * * * * * * * * * </t>
  </si>
  <si>
    <t>* * * * * * *</t>
  </si>
  <si>
    <t xml:space="preserve">* * * * * * * </t>
  </si>
  <si>
    <t>Daily Cost per Probationer/Parolee</t>
  </si>
  <si>
    <t>AVERAGE QTRLY</t>
  </si>
  <si>
    <t>FY04</t>
  </si>
  <si>
    <t>FY03</t>
  </si>
  <si>
    <t>Capacity</t>
  </si>
  <si>
    <t>EM/Max</t>
  </si>
  <si>
    <t>416/388</t>
  </si>
  <si>
    <t>104/102</t>
  </si>
  <si>
    <t>403/397</t>
  </si>
  <si>
    <t>211/200</t>
  </si>
  <si>
    <t>311/303</t>
  </si>
  <si>
    <t>58/52</t>
  </si>
  <si>
    <t>170/164</t>
  </si>
  <si>
    <t>85/82</t>
  </si>
  <si>
    <t>390/383</t>
  </si>
  <si>
    <t>486/466</t>
  </si>
  <si>
    <t>368/361</t>
  </si>
  <si>
    <t>92/88</t>
  </si>
  <si>
    <r>
      <t>Combined</t>
    </r>
    <r>
      <rPr>
        <sz val="11"/>
        <rFont val="Arial"/>
        <family val="2"/>
      </rPr>
      <t xml:space="preserve"> Hiland Mtn CC</t>
    </r>
  </si>
  <si>
    <r>
      <t>Combined</t>
    </r>
    <r>
      <rPr>
        <sz val="11"/>
        <rFont val="Arial"/>
        <family val="2"/>
      </rPr>
      <t xml:space="preserve"> Palmer CC</t>
    </r>
  </si>
  <si>
    <r>
      <t>Combined</t>
    </r>
    <r>
      <rPr>
        <sz val="11"/>
        <rFont val="Arial"/>
        <family val="2"/>
      </rPr>
      <t xml:space="preserve"> Wildwood CC</t>
    </r>
  </si>
  <si>
    <t>Total Quarterly Mandays</t>
  </si>
  <si>
    <t>112/112</t>
  </si>
  <si>
    <t>FY05</t>
  </si>
  <si>
    <t>Community Residential Centers</t>
  </si>
  <si>
    <t>ANNUAL AVERAGE  POPULATION</t>
  </si>
  <si>
    <t>FY2004 ANNUAL TOTAL MANDAYS</t>
  </si>
  <si>
    <t>FY2003 ANNUAL TOTAL MANDAYS</t>
  </si>
  <si>
    <t>FY2002 ANNUAL TOTAL MANDAYS</t>
  </si>
  <si>
    <t>FY2001 ANNUAL TOTAL MANDAYS</t>
  </si>
  <si>
    <t>ANNUAL AVERAGE POPULATION</t>
  </si>
  <si>
    <t>FY2000 ANNUAL TOTAL MANDAYS</t>
  </si>
  <si>
    <t>FY1999 ANNUAL TOTAL MANDAYS</t>
  </si>
  <si>
    <t>FY06</t>
  </si>
  <si>
    <t>Anchorage Complex East</t>
  </si>
  <si>
    <t>Anchorage Complex West</t>
  </si>
  <si>
    <t>FY07</t>
  </si>
  <si>
    <t>FY08</t>
  </si>
  <si>
    <t>FY09</t>
  </si>
  <si>
    <t>416/400</t>
  </si>
  <si>
    <t>436/418</t>
  </si>
  <si>
    <t>316/309</t>
  </si>
  <si>
    <t>404/395</t>
  </si>
  <si>
    <t>228/222</t>
  </si>
  <si>
    <t>102/98</t>
  </si>
  <si>
    <t>128/128</t>
  </si>
  <si>
    <t>557/541</t>
  </si>
  <si>
    <t>379/368</t>
  </si>
  <si>
    <t>131/126</t>
  </si>
  <si>
    <t>* * * * * * * * * * * *</t>
  </si>
  <si>
    <t xml:space="preserve"> * * * * * * *</t>
  </si>
  <si>
    <t>514/503</t>
  </si>
  <si>
    <r>
      <t xml:space="preserve">Fairbanks CC </t>
    </r>
    <r>
      <rPr>
        <b/>
        <sz val="11"/>
        <rFont val="Arial"/>
        <family val="2"/>
      </rPr>
      <t>259/248 ?</t>
    </r>
  </si>
  <si>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</si>
  <si>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</si>
  <si>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</si>
  <si>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</si>
  <si>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</si>
  <si>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</si>
  <si>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</si>
  <si>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</si>
  <si>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</si>
  <si>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</si>
  <si>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</si>
  <si>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</si>
  <si>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</si>
  <si>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</si>
  <si>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</si>
  <si>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</si>
  <si>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</si>
  <si>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</si>
  <si>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</si>
  <si>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</si>
  <si>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</si>
  <si>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</si>
  <si>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Probation &amp; Parole Director Ofc</t>
  </si>
  <si>
    <t>INSTITUTION</t>
  </si>
  <si>
    <t>PT. MACKENZIE CF</t>
  </si>
  <si>
    <t>FY10</t>
  </si>
  <si>
    <t>259/248</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</si>
  <si>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</si>
  <si>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</si>
  <si>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</si>
  <si>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</si>
  <si>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</si>
  <si>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</si>
  <si>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</si>
  <si>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</si>
  <si>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</si>
  <si>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</si>
  <si>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</si>
  <si>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</si>
  <si>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</si>
  <si>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</si>
  <si>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</si>
  <si>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Arizona/Hudson as of Dec09</t>
  </si>
  <si>
    <t>CHANLYUT</t>
  </si>
  <si>
    <t>$8.00/mo</t>
  </si>
  <si>
    <t>Less: Reimb from Courts (Mental Health Court)</t>
  </si>
  <si>
    <t>(907) 465-3315</t>
  </si>
  <si>
    <t>(907) 465-3460</t>
  </si>
  <si>
    <t>FY11</t>
  </si>
  <si>
    <t>Colorado</t>
  </si>
  <si>
    <t>2002 COC</t>
  </si>
  <si>
    <t>2003 COC</t>
  </si>
  <si>
    <t>2004 COC</t>
  </si>
  <si>
    <t>2005 COC</t>
  </si>
  <si>
    <t>2006 COC</t>
  </si>
  <si>
    <t>2007 COC</t>
  </si>
  <si>
    <t>2008 COC</t>
  </si>
  <si>
    <t>2009 COC</t>
  </si>
  <si>
    <t>2010 COC</t>
  </si>
  <si>
    <t>2011 COC</t>
  </si>
  <si>
    <t>2012 COC</t>
  </si>
  <si>
    <t>AK Supplemental Benefit</t>
  </si>
  <si>
    <t>ANVIL MTN CC</t>
  </si>
  <si>
    <t>COOK INLET PRETRIAL</t>
  </si>
  <si>
    <t>FAIRBANKS CC</t>
  </si>
  <si>
    <t>HILAND MTN CC</t>
  </si>
  <si>
    <t>KETCHIKAN CC</t>
  </si>
  <si>
    <t>LEMON CREEK CC</t>
  </si>
  <si>
    <t>MATSU PRETRIAL</t>
  </si>
  <si>
    <t>PALMER-MED CC</t>
  </si>
  <si>
    <t>PALMER-MIN CC</t>
  </si>
  <si>
    <t>SPRING CREEK CC</t>
  </si>
  <si>
    <t>WILDWOOD CC</t>
  </si>
  <si>
    <t>WILDWOOD PRETRIAL</t>
  </si>
  <si>
    <t>YUKON-KUSKOKWIM CC</t>
  </si>
  <si>
    <t>AKEELA HOUSE</t>
  </si>
  <si>
    <t>CLITHEROE</t>
  </si>
  <si>
    <t>CORDOVA CTR</t>
  </si>
  <si>
    <t>GLACIER MANOR</t>
  </si>
  <si>
    <t>GLENNWOOD CTR</t>
  </si>
  <si>
    <t>MIDTOWN CTR - ANCH</t>
  </si>
  <si>
    <t>NORTH STAR CTR</t>
  </si>
  <si>
    <t>PARKVIEW</t>
  </si>
  <si>
    <t>RALPH PERDUE CTR</t>
  </si>
  <si>
    <t>TUNDRA CTR</t>
  </si>
  <si>
    <t>ANCHORAGE EM</t>
  </si>
  <si>
    <t>FAIRBANKS EM</t>
  </si>
  <si>
    <t>JUNEAU EM</t>
  </si>
  <si>
    <t>KENAI EM</t>
  </si>
  <si>
    <t>KETCHIKAN EM</t>
  </si>
  <si>
    <t>PALMER EM</t>
  </si>
  <si>
    <t>HUDSON CF</t>
  </si>
  <si>
    <t>FEDERAL BUREAU PRISONS</t>
  </si>
  <si>
    <t>COLORADO STATE PRISON</t>
  </si>
  <si>
    <t>WASHINGTON STATE</t>
  </si>
  <si>
    <t>Facility Cap Imp Unit</t>
  </si>
  <si>
    <t>Commissioner's Office Jnu/Anch</t>
  </si>
  <si>
    <t>IDO Institution Director's Office</t>
  </si>
  <si>
    <t>8/9</t>
  </si>
  <si>
    <t xml:space="preserve">ACC Anchorage Complex </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</si>
  <si>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</si>
  <si>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</si>
  <si>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</si>
  <si>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</si>
  <si>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</si>
  <si>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</si>
  <si>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</si>
  <si>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</si>
  <si>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</si>
  <si>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</si>
  <si>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</si>
  <si>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</si>
  <si>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</si>
  <si>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</si>
  <si>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</si>
  <si>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</si>
  <si>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</si>
  <si>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</si>
  <si>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</si>
  <si>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</si>
  <si>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</si>
  <si>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</si>
  <si>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</si>
  <si>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</si>
  <si>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</si>
  <si>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</si>
  <si>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</si>
  <si>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</si>
  <si>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</si>
  <si>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</si>
  <si>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</si>
  <si>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</si>
  <si>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</si>
  <si>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</si>
  <si>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</si>
  <si>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</si>
  <si>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</si>
  <si>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</si>
  <si>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</si>
  <si>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</si>
  <si>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</si>
  <si>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</si>
  <si>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</si>
  <si>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Overall Percentage Difference </t>
  </si>
  <si>
    <t xml:space="preserve">FY12 </t>
  </si>
  <si>
    <t>GEN/Max</t>
  </si>
  <si>
    <t>128/126</t>
  </si>
  <si>
    <r>
      <t>Combined</t>
    </r>
    <r>
      <rPr>
        <sz val="11"/>
        <rFont val="Arial"/>
        <family val="2"/>
      </rPr>
      <t xml:space="preserve"> Wildwood CC*</t>
    </r>
  </si>
  <si>
    <t>473/462</t>
  </si>
  <si>
    <t>137/132</t>
  </si>
  <si>
    <t>n/a</t>
  </si>
  <si>
    <t>FY2012                                                                                                                                                         AVERAGE YEAR TO DATE INMATE POPULATION</t>
  </si>
  <si>
    <t>Goose Creek CC</t>
  </si>
  <si>
    <t>Leave- Holiday</t>
  </si>
  <si>
    <t>:Difference</t>
  </si>
  <si>
    <t>Commodities / Supplies</t>
  </si>
  <si>
    <t>Other Services</t>
  </si>
  <si>
    <t xml:space="preserve">Prison System Expansion </t>
  </si>
  <si>
    <t>GCCC</t>
  </si>
  <si>
    <t>SAARP</t>
  </si>
  <si>
    <t>Probation &amp; Parole</t>
  </si>
  <si>
    <t>FY13</t>
  </si>
  <si>
    <t>* Average Daily Probationers/Parole Served for Fiscal Year 2012: 6053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</si>
  <si>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</si>
  <si>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</si>
  <si>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</si>
  <si>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</si>
  <si>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</si>
  <si>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</si>
  <si>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</si>
  <si>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</si>
  <si>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</si>
  <si>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</si>
  <si>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</si>
  <si>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</si>
  <si>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</si>
  <si>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</si>
  <si>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</si>
  <si>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</si>
  <si>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 * * * * * * * * * * * *</t>
  </si>
  <si>
    <t>Leap Year</t>
  </si>
  <si>
    <t>Daily Cost (Divided by 365 days)</t>
  </si>
  <si>
    <t>863./829</t>
  </si>
  <si>
    <t>312/312</t>
  </si>
  <si>
    <t>232/226</t>
  </si>
  <si>
    <t>195/190</t>
  </si>
  <si>
    <t>839</t>
  </si>
  <si>
    <t>*GCCC Beds ramp-up to 1480 by June 30</t>
  </si>
  <si>
    <t>*ACCE &amp; ACCW combined totals for FY13</t>
  </si>
  <si>
    <t>FY2013                                                                                                                                                       AVERAGE YEAR TO DATE INMATE POPULATION</t>
  </si>
  <si>
    <t>Comb Hiland Mtn. CC</t>
  </si>
  <si>
    <t>Offender Habilitation</t>
  </si>
  <si>
    <t>Administrative Services</t>
  </si>
  <si>
    <t>GOOSE CREEK CC</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</si>
  <si>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</si>
  <si>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</si>
  <si>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</si>
  <si>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</si>
  <si>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</si>
  <si>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</si>
  <si>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</si>
  <si>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</si>
  <si>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</si>
  <si>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</si>
  <si>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</si>
  <si>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</si>
  <si>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</si>
  <si>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</si>
  <si>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</si>
  <si>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</si>
  <si>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</si>
  <si>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</si>
  <si>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</si>
  <si>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</si>
  <si>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</si>
  <si>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</si>
  <si>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</si>
  <si>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</si>
  <si>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</si>
  <si>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</si>
  <si>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</si>
  <si>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</si>
  <si>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</si>
  <si>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</si>
  <si>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</si>
  <si>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</si>
  <si>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</si>
  <si>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</si>
  <si>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 Average Daily Probationers/Parole Served for Fiscal Year 2013:  6,222</t>
  </si>
  <si>
    <t>Laundry - Lemon Creek</t>
  </si>
  <si>
    <t xml:space="preserve">Total Equipment Cost &amp; Building      Depreciation </t>
  </si>
  <si>
    <t>* * * * * * * *  * * * * * *</t>
  </si>
  <si>
    <t>IDO</t>
  </si>
  <si>
    <t>*ACCE &amp; ACCW combined totals for FY14</t>
  </si>
  <si>
    <t>FY2014</t>
  </si>
  <si>
    <t>FY2014                                                                                                                                                       AVERAGE YEAR TO DATE INMATE POPULATION</t>
  </si>
  <si>
    <t>FY2011                                                                                                                                                             AVERAGE YEAR TO DATE INMATE POPULATION</t>
  </si>
  <si>
    <t>FY2008                                                                                                                                                            AVERAGE YEAR TO DATE INMATE POPULATION</t>
  </si>
  <si>
    <t>FY2007                                                                                                                                                         AVERAGE YEAR TO DATE INMATE POPULATION</t>
  </si>
  <si>
    <t>FY2006                                                                                                                                                            AVERAGE YEAR TO DATE INMATE POPULATION</t>
  </si>
  <si>
    <t>FY2005                                                                                                                                                              AVERAGE YEAR TO DATE INMATE POPULATION</t>
  </si>
  <si>
    <t>FY2004                                                                                                                                                    AVERAGE YEAR TO DATE INMATE POPULATION</t>
  </si>
  <si>
    <t>FY2003                                                                                                                                                            AVERAGE YEAR TO DATE INMATE POPULATION</t>
  </si>
  <si>
    <t>FY2001                                                                                                                                                  AVERAGE YEAR TO DATE INMATE POPULATION</t>
  </si>
  <si>
    <t>FY2002                                                                                                                                                             AVERAGE YEAR TO DATE INMATE POPULATION</t>
  </si>
  <si>
    <t>FY2000                                                                                                                                                            AVERAGE YEAR TO DATE INMATE POPULATION</t>
  </si>
  <si>
    <t>FY1999                                                                                                                                                            AVERAGE YEAR TO DATE INMATE POPULATION</t>
  </si>
  <si>
    <t>FY1998                                                                                                                                                             AVERAGE YEAR TO DATE INMATE POPULATION</t>
  </si>
  <si>
    <t>* Average Daily Probationers/Parole Served for Fiscal Year 2014:  6,171</t>
  </si>
  <si>
    <t>CK</t>
  </si>
  <si>
    <t>21C</t>
  </si>
  <si>
    <t>Programs</t>
  </si>
  <si>
    <t>Misd 
Male Sent</t>
  </si>
  <si>
    <t>Misd
Male Unsent</t>
  </si>
  <si>
    <t>Misd
Female_Sent</t>
  </si>
  <si>
    <t>Misd
Female Unsent</t>
  </si>
  <si>
    <t>MISD
TOTAL</t>
  </si>
  <si>
    <t>Felony
Male Sent</t>
  </si>
  <si>
    <t>Felony
Male Unsent</t>
  </si>
  <si>
    <t>Felony
Female Sent</t>
  </si>
  <si>
    <t>Felony 
Female Unsent</t>
  </si>
  <si>
    <t xml:space="preserve">Felony
TOTAL </t>
  </si>
  <si>
    <t>GRAND
TOTAL</t>
  </si>
  <si>
    <t xml:space="preserve">AVG Daily </t>
  </si>
  <si>
    <t>WILDWOOD TRANSIT</t>
  </si>
  <si>
    <t>Population/Female</t>
  </si>
  <si>
    <t xml:space="preserve"> (Sched-A)</t>
  </si>
  <si>
    <t xml:space="preserve">PHILLIPS AYAGNIRVIK </t>
  </si>
  <si>
    <t>ANCH PRE SENT INV</t>
  </si>
  <si>
    <t xml:space="preserve">FEDERAL BUREAU </t>
  </si>
  <si>
    <t>2015 COC</t>
  </si>
  <si>
    <t>Total Actual Operating Cost for Prior Fiscal Year</t>
  </si>
  <si>
    <t>Daily Cost Per Community Residential Center Inmate</t>
  </si>
  <si>
    <t>Average Daily Community Jail Population for Fiscal Year 2015</t>
  </si>
  <si>
    <t>(907) 269-7397</t>
  </si>
  <si>
    <t>FY2015                                                                                                                                                       AVERAGE YEAR TO DATE INMATE POPULATION</t>
  </si>
  <si>
    <t>FY14 COST OF CARE SPREADSHEET</t>
  </si>
  <si>
    <t>1472/1408</t>
  </si>
  <si>
    <t>551/535</t>
  </si>
  <si>
    <t>441/430</t>
  </si>
  <si>
    <t>200/189</t>
  </si>
  <si>
    <t>N/A</t>
  </si>
  <si>
    <t>*Colorado contrat ended Sept 2013</t>
  </si>
  <si>
    <t>*PT. Mac combined with GCCC June 30</t>
  </si>
  <si>
    <t>FY2015</t>
  </si>
  <si>
    <t>FY2015 COST OF CARE SPREADSHEET</t>
  </si>
  <si>
    <t>body_loc_desc2</t>
  </si>
  <si>
    <t>location</t>
  </si>
  <si>
    <t>Misd
male
sent</t>
  </si>
  <si>
    <t>Misd
male
unsent</t>
  </si>
  <si>
    <t>Misd
female
sent</t>
  </si>
  <si>
    <t>Misd
female
unsent</t>
  </si>
  <si>
    <t>Felony
male
sent</t>
  </si>
  <si>
    <t>Felony
male
unsent</t>
  </si>
  <si>
    <t>Felony
female
sent</t>
  </si>
  <si>
    <t>Felony
female
unsent</t>
  </si>
  <si>
    <t>misd
total</t>
  </si>
  <si>
    <t>felony
total</t>
  </si>
  <si>
    <t>grand
total</t>
  </si>
  <si>
    <t>ANCHORAGE CC EAST</t>
  </si>
  <si>
    <t>AK PRISON</t>
  </si>
  <si>
    <t>ANCHORAGE CC WEST</t>
  </si>
  <si>
    <t>AVG Daily</t>
  </si>
  <si>
    <t>(Sched-A)</t>
  </si>
  <si>
    <t>z_TOTAL</t>
  </si>
  <si>
    <t>CRC</t>
  </si>
  <si>
    <t>EM</t>
  </si>
  <si>
    <t>BARROW EM</t>
  </si>
  <si>
    <t>KODIAK EM</t>
  </si>
  <si>
    <t>COLORADO STATE PRIS</t>
  </si>
  <si>
    <t>OUT OF STATE</t>
  </si>
  <si>
    <t>FEDERAL BUREAU PRI</t>
  </si>
  <si>
    <t>OUT OF S</t>
  </si>
  <si>
    <t>JULY 2014 TO JUNE 2015--NUMBER OF MAN-DAYS</t>
  </si>
  <si>
    <t>Average</t>
  </si>
  <si>
    <t>COC CY2016</t>
  </si>
  <si>
    <t>Research &amp; Records</t>
  </si>
  <si>
    <t>Juneau Central  Office / Admin Svcs</t>
  </si>
  <si>
    <t>FY15</t>
  </si>
  <si>
    <t>FY16</t>
  </si>
  <si>
    <t>* Average Daily Probationers/Parole Served for Fiscal Year 2015:  5,809</t>
  </si>
  <si>
    <t>2016 COC</t>
  </si>
  <si>
    <t xml:space="preserve">Total Out-of-State Contractual Costs </t>
  </si>
  <si>
    <t>Budgeted DPS Transport RSA</t>
  </si>
  <si>
    <t>acc</t>
  </si>
  <si>
    <t>amcc</t>
  </si>
  <si>
    <t>hmcc</t>
  </si>
  <si>
    <t>fcc</t>
  </si>
  <si>
    <t>gccc</t>
  </si>
  <si>
    <t>kcc</t>
  </si>
  <si>
    <t>lccc</t>
  </si>
  <si>
    <t>mscc</t>
  </si>
  <si>
    <t>pcc</t>
  </si>
  <si>
    <t>sccc</t>
  </si>
  <si>
    <t>wwcc</t>
  </si>
  <si>
    <t>ykcc</t>
  </si>
  <si>
    <t>Report totals</t>
  </si>
  <si>
    <t>Difference</t>
  </si>
  <si>
    <t>RSAs</t>
  </si>
  <si>
    <t>Average Daily Community Jail Population for Fiscal Year 2016</t>
  </si>
  <si>
    <t>Max</t>
  </si>
  <si>
    <t>Gen Capacity</t>
  </si>
  <si>
    <t>Capactiy</t>
  </si>
  <si>
    <t>FY2016</t>
  </si>
  <si>
    <t>FY2016                                                                                                                                                       AVERAGE YEAR TO DATE INMATE POPULATION</t>
  </si>
  <si>
    <t>JULY 2015 TO JUNE 2016-NUMBER OF PERSONS</t>
  </si>
  <si>
    <t>JULY 2015 TO JUNE 2016--NUMBER OF MAN-DAYS</t>
  </si>
  <si>
    <t>COC CY2017</t>
  </si>
  <si>
    <t>IRIS
Unit</t>
  </si>
  <si>
    <t>Procurement</t>
  </si>
  <si>
    <t>WCC</t>
  </si>
  <si>
    <t>MSCC</t>
  </si>
  <si>
    <t>Pt.Mackenzie Correctional Center</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</si>
  <si>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</si>
  <si>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</si>
  <si>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</si>
  <si>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</si>
  <si>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</si>
  <si>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</si>
  <si>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</si>
  <si>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</si>
  <si>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</si>
  <si>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</si>
  <si>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</si>
  <si>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</si>
  <si>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</si>
  <si>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</si>
  <si>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</si>
  <si>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</si>
  <si>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</si>
  <si>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</si>
  <si>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</si>
  <si>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</si>
  <si>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</si>
  <si>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</si>
  <si>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</si>
  <si>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</si>
  <si>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</si>
  <si>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</si>
  <si>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</si>
  <si>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</si>
  <si>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</si>
  <si>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</si>
  <si>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</si>
  <si>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</si>
  <si>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</si>
  <si>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</si>
  <si>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</si>
  <si>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</si>
  <si>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</si>
  <si>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</si>
  <si>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</si>
  <si>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</si>
  <si>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</si>
  <si>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</si>
  <si>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</si>
  <si>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</si>
  <si>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</si>
  <si>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</si>
  <si>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</si>
  <si>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</si>
  <si>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</si>
  <si>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</si>
  <si>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</si>
  <si>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</si>
  <si>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</si>
  <si>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</si>
  <si>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</si>
  <si>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</si>
  <si>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</si>
  <si>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</si>
  <si>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</si>
  <si>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</si>
  <si>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</si>
  <si>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</si>
  <si>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</si>
  <si>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</si>
  <si>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</si>
  <si>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</si>
  <si>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</si>
  <si>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</si>
  <si>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</si>
  <si>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</si>
  <si>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</si>
  <si>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</si>
  <si>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</si>
  <si>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</si>
  <si>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</si>
  <si>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</si>
  <si>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</si>
  <si>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</si>
  <si>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</si>
  <si>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</si>
  <si>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</si>
  <si>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</si>
  <si>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</si>
  <si>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</si>
  <si>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</si>
  <si>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</si>
  <si>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Mat-su Correctional</t>
  </si>
  <si>
    <t>Spring Creek Correctional</t>
  </si>
  <si>
    <t>Wildwood Correctional</t>
  </si>
  <si>
    <t>Interest Expense</t>
  </si>
  <si>
    <t>Safety Services</t>
  </si>
  <si>
    <t>Insurance/Bonds</t>
  </si>
  <si>
    <t>Other Wireless Charges</t>
  </si>
  <si>
    <t>Case Costs</t>
  </si>
  <si>
    <t>* Added Utilities - to Institutional costs based on ALDER Report</t>
  </si>
  <si>
    <t>Pt. MacKenzie Correctional</t>
  </si>
  <si>
    <t>Heating Oil</t>
  </si>
  <si>
    <t>Lemon Creek Correctional</t>
  </si>
  <si>
    <t>Less: DOT RSA Laundry Services</t>
  </si>
  <si>
    <t>Settlement Legal Fees</t>
  </si>
  <si>
    <t>:From Alder Report by Location</t>
  </si>
  <si>
    <t>Palmer Correctional</t>
  </si>
  <si>
    <t>:Unbudgeted RSA</t>
  </si>
  <si>
    <t>and 3002</t>
  </si>
  <si>
    <t>24-HRS Utilities</t>
  </si>
  <si>
    <t>1002 and 1004</t>
  </si>
  <si>
    <t>Services</t>
  </si>
  <si>
    <t>Health &amp; Rehabilitation</t>
  </si>
  <si>
    <t>Less: Reimb. from Federal Public Protection: RSAT Grant</t>
  </si>
  <si>
    <t>From ALDER Revenue Report</t>
  </si>
  <si>
    <t>Less: Alcohol Tax RSA (SCCC Men's Sub-Acute &amp; Juvenile Offender Pgm)</t>
  </si>
  <si>
    <t>Less: Reimb. from Dept. H&amp;SS RSAT RSA</t>
  </si>
  <si>
    <t>Less: Reimb. from Dept. Labor (ABE/GED RSA)</t>
  </si>
  <si>
    <t xml:space="preserve">Less: Reimb. from Dept. Education (Carl Perkings </t>
  </si>
  <si>
    <t>Less: Reimb. from Dept. Education (MOS)</t>
  </si>
  <si>
    <t>Total Alder Revenue Report (budgeted RSA's)</t>
  </si>
  <si>
    <t>Scientific and Medical</t>
  </si>
  <si>
    <t>Grants</t>
  </si>
  <si>
    <t xml:space="preserve">Recidivism Reduction </t>
  </si>
  <si>
    <t>Expansion</t>
  </si>
  <si>
    <t xml:space="preserve">Prison System </t>
  </si>
  <si>
    <t>Budgeted RSA's</t>
  </si>
  <si>
    <t>ck</t>
  </si>
  <si>
    <t>:</t>
  </si>
  <si>
    <t>:Sub Total</t>
  </si>
  <si>
    <t>*Utility Cost included within each Institution - 24HRS INST component n/a</t>
  </si>
  <si>
    <t>Batterer's RSA</t>
  </si>
  <si>
    <t>Appr Type</t>
  </si>
  <si>
    <t>JCOM</t>
  </si>
  <si>
    <t>JADS</t>
  </si>
  <si>
    <t>JINT</t>
  </si>
  <si>
    <t>JRRE</t>
  </si>
  <si>
    <t>JREN</t>
  </si>
  <si>
    <t>JCOA</t>
  </si>
  <si>
    <t>JPAB</t>
  </si>
  <si>
    <t>FY2015: Total Exp AR less SB64 PACE RSA, less SB64 1st DUI (JCOM)</t>
  </si>
  <si>
    <t>Education Programs / Palmer</t>
  </si>
  <si>
    <t>Health &amp; Rehabilitation Services</t>
  </si>
  <si>
    <t>JHRS</t>
  </si>
  <si>
    <t>Appr Group</t>
  </si>
  <si>
    <t>ApprType</t>
  </si>
  <si>
    <t>JBHC</t>
  </si>
  <si>
    <t>Revenue</t>
  </si>
  <si>
    <t>JSAP</t>
  </si>
  <si>
    <t>Offender Habilitation Programs</t>
  </si>
  <si>
    <t>JOHP</t>
  </si>
  <si>
    <t>JEDP</t>
  </si>
  <si>
    <t>JPOP</t>
  </si>
  <si>
    <t>JTRN</t>
  </si>
  <si>
    <t>JAMC</t>
  </si>
  <si>
    <t>JGCC</t>
  </si>
  <si>
    <t>JLCC</t>
  </si>
  <si>
    <t>JYKC</t>
  </si>
  <si>
    <t>(3 budgeted RSA's)</t>
  </si>
  <si>
    <t>JPCC</t>
  </si>
  <si>
    <t>Decreased by RSAs</t>
  </si>
  <si>
    <t>JCIM</t>
  </si>
  <si>
    <t>JIDO</t>
  </si>
  <si>
    <t>JPSE</t>
  </si>
  <si>
    <t>JCLF</t>
  </si>
  <si>
    <t>Decreased by RSA</t>
  </si>
  <si>
    <t>JPOA</t>
  </si>
  <si>
    <t>JRRG</t>
  </si>
  <si>
    <t>SB64 PACE RSA</t>
  </si>
  <si>
    <t>JCOJ</t>
  </si>
  <si>
    <t>JPPD</t>
  </si>
  <si>
    <t>JSPP</t>
  </si>
  <si>
    <t>JOOS</t>
  </si>
  <si>
    <t>JELM</t>
  </si>
  <si>
    <t>JCRC</t>
  </si>
  <si>
    <t>JFAC</t>
  </si>
  <si>
    <t>Unbudgeted RSA SpecAsst (20-X020)</t>
  </si>
  <si>
    <t>Unbudgeted SB64 RSAs (PACE / 1ST DUI)</t>
  </si>
  <si>
    <t xml:space="preserve">Health &amp; Rehab Svcs: RSAT GRANT </t>
  </si>
  <si>
    <t>Health &amp; Rehab Svcs: RSAT RSA</t>
  </si>
  <si>
    <t>Budg /Un-budg - Offender Programs (3) RSAs</t>
  </si>
  <si>
    <t>JOFH</t>
  </si>
  <si>
    <t>Unbudgeted RSA (20-X020 Public Info Officer Sherie D)</t>
  </si>
  <si>
    <t>Administration &amp; Support*</t>
  </si>
  <si>
    <t>JADS / JCOA
JCOM / JINT
JPAB / JREN
JRRE</t>
  </si>
  <si>
    <t>Note*: Includes SF Rent, Correctional Academy, and Parole Board Expenditues</t>
  </si>
  <si>
    <t>HEALTH &amp; REHABILITATION SERVICES</t>
  </si>
  <si>
    <t>OFFENDER HABILITATION PROGRAMS</t>
  </si>
  <si>
    <t>Education (3) RSAs</t>
  </si>
  <si>
    <t xml:space="preserve">Fairbanks Correctional  </t>
  </si>
  <si>
    <t>Ketchikan Correctional</t>
  </si>
  <si>
    <t>Mat-Su Correctional</t>
  </si>
  <si>
    <t xml:space="preserve">Palmer Correctional </t>
  </si>
  <si>
    <t xml:space="preserve">Yukon Kuskokwim Correctional </t>
  </si>
  <si>
    <t>Decreased by 3 RSAs (ABE/CARL P/MOS)</t>
  </si>
  <si>
    <t>SB64 1st DUI</t>
  </si>
  <si>
    <r>
      <rPr>
        <b/>
        <i/>
        <sz val="10"/>
        <rFont val="Calibri"/>
        <family val="2"/>
      </rPr>
      <t>Add</t>
    </r>
    <r>
      <rPr>
        <b/>
        <sz val="10"/>
        <rFont val="Calibri"/>
        <family val="2"/>
      </rPr>
      <t xml:space="preserve">: </t>
    </r>
    <r>
      <rPr>
        <sz val="10"/>
        <rFont val="Calibri"/>
        <family val="2"/>
      </rPr>
      <t>Depreciation Calculation</t>
    </r>
  </si>
  <si>
    <t>Budgeted DOT/LCCC Laundry RSA</t>
  </si>
  <si>
    <t>Unbudgeted Step C / Step H RSAs</t>
  </si>
  <si>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</si>
  <si>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</si>
  <si>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</si>
  <si>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</si>
  <si>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</si>
  <si>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</si>
  <si>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</si>
  <si>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</si>
  <si>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</si>
  <si>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</si>
  <si>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</si>
  <si>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</si>
  <si>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</si>
  <si>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</si>
  <si>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</si>
  <si>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</si>
  <si>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</si>
  <si>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</si>
  <si>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</si>
  <si>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</si>
  <si>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 xml:space="preserve">        Less: DOT/Laundry RSA</t>
  </si>
  <si>
    <t xml:space="preserve">        Less: DNR/MMM&amp;S RSA (Unbudgeted)</t>
  </si>
  <si>
    <t>Less: DH&amp;S/ RSAT RSA</t>
  </si>
  <si>
    <t>Less: 3 Education RSAs</t>
  </si>
  <si>
    <t>Less: 2 Voc Ed Programs RSA's (Unbudgeted)</t>
  </si>
  <si>
    <t>Less: DPS PREA RSA</t>
  </si>
  <si>
    <t>Less: DPS Transportation RSA</t>
  </si>
  <si>
    <t xml:space="preserve">* Average Daily Probationers / Parole Served for Fiscal Year 2016:  </t>
  </si>
  <si>
    <t>$1350.25/mo</t>
  </si>
  <si>
    <t>FY2016 COST OF CARE SPREADSHEET</t>
  </si>
  <si>
    <t xml:space="preserve">FY2016    </t>
  </si>
  <si>
    <t>Location</t>
  </si>
  <si>
    <t>Misd 
male 
sent</t>
  </si>
  <si>
    <t>Misd 
male 
unsent</t>
  </si>
  <si>
    <t>Misd 
female 
sent</t>
  </si>
  <si>
    <t>Misd 
female 
unsent</t>
  </si>
  <si>
    <t>Felony 
male 
sent</t>
  </si>
  <si>
    <t>Felony 
male 
unsent</t>
  </si>
  <si>
    <t>Felony 
female 
sent</t>
  </si>
  <si>
    <t>Felony 
female 
unsent</t>
  </si>
  <si>
    <t>Grand 
Total</t>
  </si>
  <si>
    <t>Female</t>
  </si>
  <si>
    <t>Population</t>
  </si>
  <si>
    <t>INSTITUTION TOTAL</t>
  </si>
  <si>
    <t>CRC Total</t>
  </si>
  <si>
    <t>EM Total</t>
  </si>
  <si>
    <t>Director, Administrative Services</t>
  </si>
  <si>
    <t>April Wilkerson</t>
  </si>
  <si>
    <t>Director, Admin. Services</t>
  </si>
  <si>
    <t>Total as of 6/30/17</t>
  </si>
  <si>
    <t>Aquired in FY2017</t>
  </si>
  <si>
    <t>FY2017 Vehicle Inventory Total</t>
  </si>
  <si>
    <t>Division</t>
  </si>
  <si>
    <t>Human Resources</t>
  </si>
  <si>
    <t>Pre-Trial Services</t>
  </si>
  <si>
    <t>Sex Offender Managemnet Pr</t>
  </si>
  <si>
    <t>Updated:  9/15/17 lj</t>
  </si>
  <si>
    <t>Average Daily Institutional Population for Fiscal Year 2017</t>
  </si>
  <si>
    <t>Annual Total Mandays for Fiscal Year 2017</t>
  </si>
  <si>
    <t>Average Daily CRC Population for Fiscal Year 2017</t>
  </si>
  <si>
    <t>Average Daily Probationers/Parole Served for Fiscal Year 2017</t>
  </si>
  <si>
    <t>Average Daily Community Jail Population for Fiscal Year 2017</t>
  </si>
  <si>
    <t>Average Daily Electronic Monitoring Population for Fiscal Year 2017</t>
  </si>
  <si>
    <t>Average Daily Out-of-State Population for Fiscal Year 2017</t>
  </si>
  <si>
    <t>*PT. Mac separated from GCCC November 2016</t>
  </si>
  <si>
    <t>FY2017</t>
  </si>
  <si>
    <t>FY2017                                                                                                                                                      AVERAGE YEAR TO DATE INMATE POPULATION</t>
  </si>
  <si>
    <t>*PCC Closed end October 2016</t>
  </si>
  <si>
    <t>JULY 2016 TO JUNE 2017-NUMBER OF PERSONS</t>
  </si>
  <si>
    <t>JULY 2016 TO JUNE 2017--NUMBER OF MAN-DAYS</t>
  </si>
  <si>
    <t>COC CY2018</t>
  </si>
  <si>
    <t>Updated: 9/15/17 lj</t>
  </si>
  <si>
    <t>Revised 9/15/17 lj</t>
  </si>
  <si>
    <t>DAILY AVERAGE BY INSTITUTION BY SEX BY CRIME DEGREE: FY2017</t>
  </si>
  <si>
    <t>LOCATION</t>
  </si>
  <si>
    <t>Misd
Male Sent</t>
  </si>
  <si>
    <t>Misd 
Male Unsent</t>
  </si>
  <si>
    <t>Misd 
Female 
Sent</t>
  </si>
  <si>
    <t>Misd 
Female 
Unsent</t>
  </si>
  <si>
    <t>Felony 
Female 
Sent</t>
  </si>
  <si>
    <t>Felony
Female 
Unsent</t>
  </si>
  <si>
    <t>WILDWOOD TRANSITIONAL</t>
  </si>
  <si>
    <t>PHILLIPS AYAGNIRVIK TC</t>
  </si>
  <si>
    <t>CRC TOTAL</t>
  </si>
  <si>
    <t>EM TOTAL</t>
  </si>
  <si>
    <t>NORTH DAKOTA</t>
  </si>
  <si>
    <t>Revised 9/19/17 lj</t>
  </si>
  <si>
    <t>FY17: 2 RSA's (BIP $ 68,500 /PBP $ 106,200): DPS</t>
  </si>
  <si>
    <t>Revised 10/09/17 lj</t>
  </si>
  <si>
    <t>KCC - FY17 Unbudgeted Meals RS $2,937.33 / Included</t>
  </si>
  <si>
    <t>Budgeted</t>
  </si>
  <si>
    <t>Less: RSA Meals Youth Fac</t>
  </si>
  <si>
    <t>FY17 RC 100,174.25 / Laundry</t>
  </si>
  <si>
    <t>FY17 2 RS - Converted to Budgeted</t>
  </si>
  <si>
    <t>LCCC - Budgeted Meals RS $69,162.39</t>
  </si>
  <si>
    <t>:2 RSA's + RC</t>
  </si>
  <si>
    <t>YKCC - Budgeted Meals RS $42,664.97</t>
  </si>
  <si>
    <t>Revised 10/10/17 lj</t>
  </si>
  <si>
    <t>Grand Total of 6 components $ 56,852,183.28 ( BHC, PHC, HRDirector,Domestic V, Substance, Sex Offender)</t>
  </si>
  <si>
    <t>Grand Total (HRS RDU) 6 components $ 56,852,183.28 ( BHC, PHC, HRDirector,Domestic V, Substance, Sex Offender)</t>
  </si>
  <si>
    <t>Travel / Moving Costs</t>
  </si>
  <si>
    <t>No Unbudgeted RSAs FY2017 (Step C + Step H )</t>
  </si>
  <si>
    <t>Grand Total (OFH RDU) 2 components $ 1,128,729.91 ( Education Programs &amp; Vocational Education Programs)</t>
  </si>
  <si>
    <t xml:space="preserve">Budgeted RSA </t>
  </si>
  <si>
    <t>Revised 10/11/17 lj</t>
  </si>
  <si>
    <t>Total Expenditures of FY2017</t>
  </si>
  <si>
    <t>Revised:  10/11/17 lj</t>
  </si>
  <si>
    <t>Revised: 10/11/17 lj</t>
  </si>
  <si>
    <t>FY2017 Restricted in full</t>
  </si>
  <si>
    <t xml:space="preserve">No RSA in FY2017 </t>
  </si>
  <si>
    <t>No RS in FY217</t>
  </si>
  <si>
    <t>Decreased by 2 Unbudgeted RSA's (Step C / Step H) - No in FY17</t>
  </si>
  <si>
    <t>No RSA in FY2017</t>
  </si>
  <si>
    <t xml:space="preserve">Budgeted MMM&amp;S/PCC </t>
  </si>
  <si>
    <t>Pretrial Services</t>
  </si>
  <si>
    <t>JPTS</t>
  </si>
  <si>
    <t>:Grand Total ALDER Report, includes PTS</t>
  </si>
  <si>
    <t>Pretrial Services Division</t>
  </si>
  <si>
    <t>(2 budgeted RSA's)</t>
  </si>
  <si>
    <t>Youth Meals (3) Budgeted RSAs</t>
  </si>
  <si>
    <t xml:space="preserve">        Less: GCCC Security DPS RS (Unbudgeted)</t>
  </si>
  <si>
    <t>JGCCC</t>
  </si>
  <si>
    <t>Unbudgeted DPS/GCCC Security</t>
  </si>
  <si>
    <t>Pretrial Services Unit</t>
  </si>
  <si>
    <t>2017COC</t>
  </si>
  <si>
    <t>2018 COC</t>
  </si>
  <si>
    <t>FY17</t>
  </si>
  <si>
    <t>FY18</t>
  </si>
  <si>
    <t>Increase in July due to Bethel vacant cases being assigned to Barrow for coverage</t>
  </si>
  <si>
    <t xml:space="preserve">* Average Daily Probationers / Parole Served for Fiscal Year 2017:  </t>
  </si>
  <si>
    <t>Revised 10/26/17 lj</t>
  </si>
  <si>
    <t>By Individual Institution (Based on FY2017 Actuals)</t>
  </si>
  <si>
    <t>Revised: 10/26/17 lj</t>
  </si>
  <si>
    <t xml:space="preserve">        Less: DHSS 4 RSAs Youth Meals</t>
  </si>
  <si>
    <t>JAMC /JLCC / JKCC / JYKC</t>
  </si>
  <si>
    <t>Palmer CC &amp; PMCF</t>
  </si>
  <si>
    <t>Adjusted for Siemen's one-time payment</t>
  </si>
  <si>
    <t>Decreased as Pretrial was not fully implemented FY2017</t>
  </si>
  <si>
    <t>Adjusted/ Pretrial Not Fully Implemented</t>
  </si>
  <si>
    <t>Allowable 
Indirect Cost</t>
  </si>
  <si>
    <t>* Pretrial Excluded not fully implemented during FY2017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</si>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</sst>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s>
  <fonts count="1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10"/>
      <color indexed="10"/>
      <name val="Arial"/>
      <family val="2"/>
    </font>
    <font>
      <sz val="9"/>
      <color indexed="81"/>
      <name val="Tahoma"/>
      <family val="2"/>
    </font>
    <font>
      <b/>
      <sz val="9"/>
      <color indexed="81"/>
      <name val="Tahoma"/>
      <family val="2"/>
    </font>
    <font>
      <u/>
      <sz val="8"/>
      <color indexed="81"/>
      <name val="Tahoma"/>
      <family val="2"/>
    </font>
    <font>
      <u/>
      <sz val="9"/>
      <color indexed="81"/>
      <name val="Tahoma"/>
      <family val="2"/>
    </font>
    <font>
      <b/>
      <u/>
      <sz val="9"/>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b/>
      <sz val="10"/>
      <color indexed="81"/>
      <name val="Tahoma"/>
      <family val="2"/>
    </font>
    <font>
      <b/>
      <sz val="11"/>
      <color indexed="52"/>
      <name val="Arial"/>
      <family val="2"/>
    </font>
    <font>
      <b/>
      <i/>
      <sz val="9"/>
      <name val="Arial"/>
      <family val="2"/>
    </font>
    <font>
      <u/>
      <sz val="10"/>
      <name val="Arial"/>
      <family val="2"/>
    </font>
    <font>
      <sz val="10"/>
      <name val="Arial"/>
      <family val="2"/>
    </font>
    <font>
      <u/>
      <sz val="10"/>
      <color indexed="60"/>
      <name val="Arial"/>
      <family val="2"/>
    </font>
    <font>
      <sz val="10"/>
      <color indexed="10"/>
      <name val="Arial"/>
      <family val="2"/>
    </font>
    <font>
      <sz val="10"/>
      <color indexed="8"/>
      <name val="Arial"/>
      <family val="2"/>
    </font>
    <font>
      <b/>
      <sz val="11"/>
      <color indexed="8"/>
      <name val="Calibri"/>
      <family val="2"/>
    </font>
    <font>
      <b/>
      <i/>
      <sz val="11"/>
      <color indexed="30"/>
      <name val="Arial"/>
      <family val="2"/>
    </font>
    <font>
      <b/>
      <i/>
      <sz val="12"/>
      <color indexed="30"/>
      <name val="Arial"/>
      <family val="2"/>
    </font>
    <font>
      <sz val="8"/>
      <name val="Arial"/>
      <family val="2"/>
    </font>
    <font>
      <b/>
      <i/>
      <sz val="12"/>
      <name val="Arial"/>
      <family val="2"/>
    </font>
    <font>
      <i/>
      <sz val="11"/>
      <name val="Arial"/>
      <family val="2"/>
    </font>
    <font>
      <i/>
      <sz val="12"/>
      <name val="Arial"/>
      <family val="2"/>
    </font>
    <font>
      <i/>
      <sz val="11"/>
      <color indexed="10"/>
      <name val="Arial"/>
      <family val="2"/>
    </font>
    <font>
      <i/>
      <sz val="11"/>
      <color indexed="12"/>
      <name val="Arial"/>
      <family val="2"/>
    </font>
    <font>
      <i/>
      <sz val="11"/>
      <color indexed="48"/>
      <name val="Arial"/>
      <family val="2"/>
    </font>
    <font>
      <sz val="10"/>
      <name val="Arial"/>
      <family val="2"/>
    </font>
    <font>
      <u/>
      <sz val="10"/>
      <color indexed="60"/>
      <name val="Arial"/>
      <family val="2"/>
    </font>
    <font>
      <sz val="10"/>
      <color indexed="10"/>
      <name val="Arial"/>
      <family val="2"/>
    </font>
    <font>
      <b/>
      <sz val="7"/>
      <color indexed="48"/>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b/>
      <sz val="10"/>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b/>
      <i/>
      <sz val="10"/>
      <color indexed="62"/>
      <name val="Arial"/>
      <family val="2"/>
    </font>
    <font>
      <b/>
      <i/>
      <sz val="10"/>
      <color indexed="17"/>
      <name val="Arial"/>
      <family val="2"/>
    </font>
    <font>
      <i/>
      <sz val="9"/>
      <name val="Arial"/>
      <family val="2"/>
    </font>
    <font>
      <b/>
      <i/>
      <sz val="9"/>
      <color indexed="81"/>
      <name val="Tahoma"/>
      <family val="2"/>
    </font>
    <font>
      <i/>
      <sz val="9"/>
      <name val="Calibri"/>
      <family val="2"/>
    </font>
    <font>
      <b/>
      <i/>
      <u/>
      <sz val="8"/>
      <color indexed="81"/>
      <name val="Tahoma"/>
      <family val="2"/>
    </font>
  </fonts>
  <fills count="5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18"/>
        <bgColor indexed="64"/>
      </patternFill>
    </fill>
    <fill>
      <patternFill patternType="solid">
        <fgColor indexed="43"/>
        <bgColor indexed="64"/>
      </patternFill>
    </fill>
    <fill>
      <patternFill patternType="solid">
        <fgColor indexed="27"/>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indexed="11"/>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00"/>
        <bgColor indexed="64"/>
      </patternFill>
    </fill>
    <fill>
      <patternFill patternType="solid">
        <fgColor rgb="FFCCFFCC"/>
        <bgColor indexed="64"/>
      </patternFill>
    </fill>
  </fills>
  <borders count="1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rgb="FFC1C1C1"/>
      </left>
      <right style="thin">
        <color rgb="FFC1C1C1"/>
      </right>
      <top style="thin">
        <color rgb="FFC1C1C1"/>
      </top>
      <bottom style="thin">
        <color rgb="FFC1C1C1"/>
      </bottom>
      <diagonal/>
    </border>
    <border>
      <left style="medium">
        <color rgb="FF000000"/>
      </left>
      <right style="thin">
        <color rgb="FFC1C1C1"/>
      </right>
      <top style="medium">
        <color rgb="FF000000"/>
      </top>
      <bottom style="thin">
        <color rgb="FFC1C1C1"/>
      </bottom>
      <diagonal/>
    </border>
    <border>
      <left style="thin">
        <color rgb="FFC1C1C1"/>
      </left>
      <right style="thin">
        <color rgb="FFC1C1C1"/>
      </right>
      <top style="medium">
        <color rgb="FF000000"/>
      </top>
      <bottom style="thin">
        <color rgb="FFC1C1C1"/>
      </bottom>
      <diagonal/>
    </border>
    <border>
      <left style="thin">
        <color rgb="FFC1C1C1"/>
      </left>
      <right style="medium">
        <color rgb="FF000000"/>
      </right>
      <top style="medium">
        <color rgb="FF000000"/>
      </top>
      <bottom style="thin">
        <color rgb="FFC1C1C1"/>
      </bottom>
      <diagonal/>
    </border>
    <border>
      <left style="medium">
        <color rgb="FF000000"/>
      </left>
      <right style="thin">
        <color rgb="FFC1C1C1"/>
      </right>
      <top style="thin">
        <color rgb="FFC1C1C1"/>
      </top>
      <bottom style="thin">
        <color rgb="FFC1C1C1"/>
      </bottom>
      <diagonal/>
    </border>
    <border>
      <left style="thin">
        <color rgb="FFC1C1C1"/>
      </left>
      <right style="medium">
        <color rgb="FF000000"/>
      </right>
      <top style="thin">
        <color rgb="FFC1C1C1"/>
      </top>
      <bottom style="thin">
        <color rgb="FFC1C1C1"/>
      </bottom>
      <diagonal/>
    </border>
    <border>
      <left style="medium">
        <color rgb="FF000000"/>
      </left>
      <right style="thin">
        <color rgb="FFC1C1C1"/>
      </right>
      <top style="thin">
        <color rgb="FFC1C1C1"/>
      </top>
      <bottom/>
      <diagonal/>
    </border>
    <border>
      <left style="thin">
        <color rgb="FFC1C1C1"/>
      </left>
      <right style="thin">
        <color rgb="FFC1C1C1"/>
      </right>
      <top style="thin">
        <color rgb="FFC1C1C1"/>
      </top>
      <bottom/>
      <diagonal/>
    </border>
    <border>
      <left style="thin">
        <color rgb="FFC1C1C1"/>
      </left>
      <right style="medium">
        <color rgb="FF000000"/>
      </right>
      <top style="thin">
        <color rgb="FFC1C1C1"/>
      </top>
      <bottom/>
      <diagonal/>
    </border>
    <border>
      <left style="medium">
        <color rgb="FF000000"/>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style="medium">
        <color rgb="FF000000"/>
      </right>
      <top/>
      <bottom style="thin">
        <color rgb="FFC1C1C1"/>
      </bottom>
      <diagonal/>
    </border>
    <border>
      <left style="thin">
        <color indexed="64"/>
      </left>
      <right style="thin">
        <color rgb="FFC1C1C1"/>
      </right>
      <top style="thin">
        <color indexed="64"/>
      </top>
      <bottom style="thin">
        <color indexed="64"/>
      </bottom>
      <diagonal/>
    </border>
    <border>
      <left style="thin">
        <color rgb="FFC1C1C1"/>
      </left>
      <right style="thin">
        <color rgb="FFC1C1C1"/>
      </right>
      <top style="thin">
        <color indexed="64"/>
      </top>
      <bottom style="thin">
        <color indexed="64"/>
      </bottom>
      <diagonal/>
    </border>
    <border>
      <left style="thin">
        <color rgb="FFC1C1C1"/>
      </left>
      <right style="thin">
        <color indexed="64"/>
      </right>
      <top style="thin">
        <color indexed="64"/>
      </top>
      <bottom style="thin">
        <color indexed="64"/>
      </bottom>
      <diagonal/>
    </border>
    <border>
      <left/>
      <right style="medium">
        <color indexed="64"/>
      </right>
      <top style="thin">
        <color indexed="64"/>
      </top>
      <bottom/>
      <diagonal/>
    </border>
  </borders>
  <cellStyleXfs count="140">
    <xf numFmtId="0" fontId="0" fillId="0" borderId="0"/>
    <xf numFmtId="0" fontId="91" fillId="9" borderId="0" applyNumberFormat="0" applyBorder="0" applyAlignment="0" applyProtection="0"/>
    <xf numFmtId="0" fontId="91" fillId="10" borderId="0" applyNumberFormat="0" applyBorder="0" applyAlignment="0" applyProtection="0"/>
    <xf numFmtId="0" fontId="91" fillId="11" borderId="0" applyNumberFormat="0" applyBorder="0" applyAlignment="0" applyProtection="0"/>
    <xf numFmtId="0" fontId="91" fillId="12" borderId="0" applyNumberFormat="0" applyBorder="0" applyAlignment="0" applyProtection="0"/>
    <xf numFmtId="0" fontId="91" fillId="13"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91" fillId="16" borderId="0" applyNumberFormat="0" applyBorder="0" applyAlignment="0" applyProtection="0"/>
    <xf numFmtId="0" fontId="91" fillId="17"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92" fillId="21" borderId="0" applyNumberFormat="0" applyBorder="0" applyAlignment="0" applyProtection="0"/>
    <xf numFmtId="0" fontId="92"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92" fillId="25" borderId="0" applyNumberFormat="0" applyBorder="0" applyAlignment="0" applyProtection="0"/>
    <xf numFmtId="0" fontId="92"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92" fillId="29" borderId="0" applyNumberFormat="0" applyBorder="0" applyAlignment="0" applyProtection="0"/>
    <xf numFmtId="0" fontId="92"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93" fillId="33" borderId="0" applyNumberFormat="0" applyBorder="0" applyAlignment="0" applyProtection="0"/>
    <xf numFmtId="0" fontId="94" fillId="34" borderId="93" applyNumberFormat="0" applyAlignment="0" applyProtection="0"/>
    <xf numFmtId="0" fontId="95" fillId="35" borderId="94" applyNumberFormat="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7" fillId="0" borderId="0" applyFont="0" applyFill="0" applyBorder="0" applyAlignment="0" applyProtection="0"/>
    <xf numFmtId="0" fontId="96" fillId="0" borderId="0" applyNumberFormat="0" applyFill="0" applyBorder="0" applyAlignment="0" applyProtection="0"/>
    <xf numFmtId="0" fontId="97" fillId="36" borderId="0" applyNumberFormat="0" applyBorder="0" applyAlignment="0" applyProtection="0"/>
    <xf numFmtId="0" fontId="98" fillId="0" borderId="95" applyNumberFormat="0" applyFill="0" applyAlignment="0" applyProtection="0"/>
    <xf numFmtId="0" fontId="99" fillId="0" borderId="96" applyNumberFormat="0" applyFill="0" applyAlignment="0" applyProtection="0"/>
    <xf numFmtId="0" fontId="100" fillId="0" borderId="97" applyNumberFormat="0" applyFill="0" applyAlignment="0" applyProtection="0"/>
    <xf numFmtId="0" fontId="100" fillId="0" borderId="0" applyNumberFormat="0" applyFill="0" applyBorder="0" applyAlignment="0" applyProtection="0"/>
    <xf numFmtId="0" fontId="101" fillId="37" borderId="93" applyNumberFormat="0" applyAlignment="0" applyProtection="0"/>
    <xf numFmtId="0" fontId="102" fillId="0" borderId="98" applyNumberFormat="0" applyFill="0" applyAlignment="0" applyProtection="0"/>
    <xf numFmtId="0" fontId="103" fillId="38" borderId="0" applyNumberFormat="0" applyBorder="0" applyAlignment="0" applyProtection="0"/>
    <xf numFmtId="0" fontId="91" fillId="0" borderId="0"/>
    <xf numFmtId="0" fontId="26" fillId="0" borderId="0"/>
    <xf numFmtId="0" fontId="5" fillId="0" borderId="0"/>
    <xf numFmtId="0" fontId="5" fillId="0" borderId="0"/>
    <xf numFmtId="0" fontId="27"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7" fillId="39" borderId="99" applyNumberFormat="0" applyFont="0" applyAlignment="0" applyProtection="0"/>
    <xf numFmtId="0" fontId="40" fillId="39" borderId="99" applyNumberFormat="0" applyFont="0" applyAlignment="0" applyProtection="0"/>
    <xf numFmtId="0" fontId="27" fillId="39" borderId="99" applyNumberFormat="0" applyFont="0" applyAlignment="0" applyProtection="0"/>
    <xf numFmtId="0" fontId="104" fillId="34" borderId="100" applyNumberFormat="0" applyAlignment="0" applyProtection="0"/>
    <xf numFmtId="0" fontId="105" fillId="0" borderId="0" applyNumberFormat="0" applyFill="0" applyBorder="0" applyAlignment="0" applyProtection="0"/>
    <xf numFmtId="0" fontId="106" fillId="0" borderId="101" applyNumberFormat="0" applyFill="0" applyAlignment="0" applyProtection="0"/>
    <xf numFmtId="0" fontId="107" fillId="0" borderId="0" applyNumberFormat="0" applyFill="0" applyBorder="0" applyAlignment="0" applyProtection="0"/>
    <xf numFmtId="0" fontId="110" fillId="0" borderId="0"/>
    <xf numFmtId="43" fontId="110" fillId="0" borderId="0" applyFont="0" applyFill="0" applyBorder="0" applyAlignment="0" applyProtection="0"/>
    <xf numFmtId="44" fontId="110" fillId="0" borderId="0" applyFont="0" applyFill="0" applyBorder="0" applyAlignment="0" applyProtection="0"/>
    <xf numFmtId="0" fontId="110" fillId="0" borderId="0"/>
    <xf numFmtId="0" fontId="110" fillId="0" borderId="0"/>
    <xf numFmtId="0" fontId="111" fillId="0" borderId="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2" fillId="0" borderId="0"/>
    <xf numFmtId="0" fontId="2" fillId="0" borderId="0"/>
    <xf numFmtId="0" fontId="2" fillId="0" borderId="0"/>
    <xf numFmtId="0" fontId="2" fillId="39" borderId="99" applyNumberFormat="0" applyFont="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110" fillId="0" borderId="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cellStyleXfs>
  <cellXfs count="1226">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3" fontId="8" fillId="0" borderId="3" xfId="0" applyNumberFormat="1" applyFont="1" applyBorder="1" applyAlignment="1">
      <alignment horizontal="center"/>
    </xf>
    <xf numFmtId="3" fontId="8" fillId="0" borderId="4" xfId="0" applyNumberFormat="1" applyFont="1" applyBorder="1" applyAlignment="1">
      <alignment horizontal="center"/>
    </xf>
    <xf numFmtId="3" fontId="8" fillId="0" borderId="5" xfId="0" applyNumberFormat="1" applyFont="1" applyBorder="1" applyAlignment="1">
      <alignment horizontal="center"/>
    </xf>
    <xf numFmtId="3" fontId="7" fillId="0" borderId="6" xfId="0" applyNumberFormat="1" applyFont="1" applyBorder="1" applyAlignment="1">
      <alignment horizontal="center"/>
    </xf>
    <xf numFmtId="0" fontId="7" fillId="0" borderId="0" xfId="0" applyFont="1" applyAlignment="1">
      <alignment vertical="top"/>
    </xf>
    <xf numFmtId="0" fontId="7" fillId="0" borderId="7" xfId="0" applyFont="1" applyBorder="1"/>
    <xf numFmtId="0" fontId="9" fillId="0" borderId="0" xfId="0" applyFont="1"/>
    <xf numFmtId="0" fontId="10" fillId="0" borderId="0" xfId="0" applyFont="1"/>
    <xf numFmtId="0" fontId="0" fillId="0" borderId="8" xfId="0" applyBorder="1"/>
    <xf numFmtId="0" fontId="0" fillId="0" borderId="9" xfId="0" applyBorder="1"/>
    <xf numFmtId="0" fontId="0" fillId="0" borderId="2" xfId="0" applyBorder="1"/>
    <xf numFmtId="0" fontId="0" fillId="0" borderId="3" xfId="0" applyBorder="1"/>
    <xf numFmtId="165" fontId="8" fillId="0" borderId="1" xfId="0" applyNumberFormat="1" applyFont="1" applyBorder="1" applyAlignment="1">
      <alignment horizontal="center"/>
    </xf>
    <xf numFmtId="0" fontId="7" fillId="0" borderId="0" xfId="0" applyFont="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3" fontId="0" fillId="0" borderId="8" xfId="0" applyNumberFormat="1" applyBorder="1"/>
    <xf numFmtId="170"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0" fontId="7" fillId="0" borderId="11" xfId="0" applyFont="1" applyBorder="1"/>
    <xf numFmtId="17" fontId="8" fillId="0" borderId="12" xfId="0" applyNumberFormat="1" applyFont="1" applyBorder="1" applyAlignment="1">
      <alignment horizontal="left"/>
    </xf>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17" fontId="8" fillId="0" borderId="15" xfId="0" applyNumberFormat="1" applyFont="1" applyBorder="1" applyAlignment="1">
      <alignment horizontal="left"/>
    </xf>
    <xf numFmtId="0" fontId="7" fillId="0" borderId="14" xfId="0" applyFont="1" applyBorder="1" applyAlignment="1">
      <alignment horizontal="center"/>
    </xf>
    <xf numFmtId="0" fontId="7" fillId="0" borderId="14" xfId="0" applyFont="1" applyBorder="1"/>
    <xf numFmtId="0" fontId="0" fillId="0" borderId="16" xfId="0"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17" fontId="9" fillId="0" borderId="12" xfId="0" applyNumberFormat="1" applyFont="1" applyBorder="1" applyAlignment="1">
      <alignment horizontal="center"/>
    </xf>
    <xf numFmtId="17" fontId="9" fillId="0" borderId="13" xfId="0" applyNumberFormat="1" applyFont="1" applyBorder="1" applyAlignment="1">
      <alignment horizontal="center"/>
    </xf>
    <xf numFmtId="0" fontId="11" fillId="0" borderId="0" xfId="0" applyFont="1" applyAlignment="1">
      <alignment vertical="top"/>
    </xf>
    <xf numFmtId="17" fontId="11" fillId="0" borderId="20" xfId="0" applyNumberFormat="1" applyFont="1" applyBorder="1" applyAlignment="1">
      <alignment horizontal="center"/>
    </xf>
    <xf numFmtId="0" fontId="11" fillId="0" borderId="18" xfId="0"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17" fontId="10" fillId="0" borderId="24"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11" xfId="0" applyFont="1" applyBorder="1"/>
    <xf numFmtId="0" fontId="11" fillId="0" borderId="7" xfId="0" applyFont="1" applyBorder="1"/>
    <xf numFmtId="0" fontId="10" fillId="0" borderId="1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17" fontId="11" fillId="0" borderId="28" xfId="0" applyNumberFormat="1" applyFont="1" applyBorder="1" applyAlignment="1">
      <alignment horizontal="center"/>
    </xf>
    <xf numFmtId="3" fontId="16" fillId="0" borderId="29" xfId="0" applyNumberFormat="1" applyFont="1" applyBorder="1" applyAlignment="1">
      <alignment horizontal="center"/>
    </xf>
    <xf numFmtId="3" fontId="10" fillId="0" borderId="29" xfId="0" applyNumberFormat="1" applyFont="1" applyBorder="1" applyAlignment="1">
      <alignment horizontal="center"/>
    </xf>
    <xf numFmtId="3" fontId="11" fillId="0" borderId="29" xfId="0" applyNumberFormat="1" applyFont="1" applyBorder="1" applyAlignment="1">
      <alignment horizontal="center"/>
    </xf>
    <xf numFmtId="3" fontId="11" fillId="0" borderId="30" xfId="0" applyNumberFormat="1" applyFont="1" applyBorder="1" applyAlignment="1">
      <alignment horizontal="center"/>
    </xf>
    <xf numFmtId="3" fontId="16" fillId="0" borderId="31"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2" xfId="0" applyNumberFormat="1" applyFont="1" applyBorder="1"/>
    <xf numFmtId="4" fontId="10" fillId="0" borderId="14" xfId="0" applyNumberFormat="1" applyFont="1" applyBorder="1"/>
    <xf numFmtId="3" fontId="10" fillId="0" borderId="3" xfId="0" applyNumberFormat="1" applyFont="1" applyBorder="1" applyAlignment="1">
      <alignment horizontal="center"/>
    </xf>
    <xf numFmtId="3" fontId="10" fillId="0" borderId="4" xfId="0" applyNumberFormat="1" applyFont="1" applyBorder="1" applyAlignment="1">
      <alignment horizontal="center"/>
    </xf>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0" fillId="0" borderId="33" xfId="0" applyNumberFormat="1" applyFont="1" applyBorder="1" applyAlignment="1">
      <alignment horizontal="center"/>
    </xf>
    <xf numFmtId="3" fontId="10" fillId="0" borderId="34" xfId="0" applyNumberFormat="1" applyFont="1" applyBorder="1" applyAlignment="1">
      <alignment horizontal="center"/>
    </xf>
    <xf numFmtId="3" fontId="11" fillId="0" borderId="35" xfId="0" applyNumberFormat="1" applyFont="1" applyBorder="1" applyAlignment="1">
      <alignment horizontal="center"/>
    </xf>
    <xf numFmtId="3" fontId="11" fillId="0" borderId="6" xfId="0" applyNumberFormat="1" applyFont="1" applyBorder="1" applyAlignment="1">
      <alignment horizontal="center"/>
    </xf>
    <xf numFmtId="3" fontId="11" fillId="0" borderId="32" xfId="0" applyNumberFormat="1" applyFont="1" applyBorder="1" applyAlignment="1">
      <alignment horizontal="center"/>
    </xf>
    <xf numFmtId="3" fontId="11" fillId="0" borderId="36" xfId="0" applyNumberFormat="1" applyFont="1" applyBorder="1" applyAlignment="1">
      <alignment horizontal="center"/>
    </xf>
    <xf numFmtId="4" fontId="16" fillId="0" borderId="11" xfId="0" applyNumberFormat="1" applyFont="1" applyBorder="1"/>
    <xf numFmtId="4" fontId="17" fillId="0" borderId="32" xfId="0" applyNumberFormat="1" applyFont="1" applyBorder="1"/>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26"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1" fontId="11" fillId="0" borderId="6" xfId="0" applyNumberFormat="1" applyFont="1" applyBorder="1" applyAlignment="1">
      <alignment horizontal="center"/>
    </xf>
    <xf numFmtId="0" fontId="10" fillId="0" borderId="16" xfId="0" applyFont="1" applyBorder="1"/>
    <xf numFmtId="3" fontId="16" fillId="0" borderId="0" xfId="0" applyNumberFormat="1" applyFont="1" applyAlignment="1">
      <alignment horizontal="center"/>
    </xf>
    <xf numFmtId="3" fontId="11" fillId="0" borderId="14" xfId="0" applyNumberFormat="1" applyFont="1" applyBorder="1" applyAlignment="1">
      <alignment horizontal="center"/>
    </xf>
    <xf numFmtId="3" fontId="16" fillId="0" borderId="37" xfId="0" applyNumberFormat="1" applyFont="1" applyBorder="1" applyAlignment="1">
      <alignment horizontal="center"/>
    </xf>
    <xf numFmtId="3" fontId="10" fillId="0" borderId="38"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1" fontId="10" fillId="0" borderId="12" xfId="0" applyNumberFormat="1" applyFont="1" applyBorder="1" applyAlignment="1">
      <alignment horizontal="center"/>
    </xf>
    <xf numFmtId="1" fontId="10" fillId="0" borderId="13" xfId="0" applyNumberFormat="1" applyFont="1" applyBorder="1" applyAlignment="1">
      <alignment horizontal="center"/>
    </xf>
    <xf numFmtId="1" fontId="11" fillId="0" borderId="14" xfId="0" applyNumberFormat="1" applyFont="1" applyBorder="1" applyAlignment="1">
      <alignment horizontal="center"/>
    </xf>
    <xf numFmtId="4" fontId="16" fillId="0" borderId="20" xfId="0" applyNumberFormat="1" applyFont="1" applyBorder="1"/>
    <xf numFmtId="4" fontId="17" fillId="0" borderId="14" xfId="0" applyNumberFormat="1" applyFont="1" applyBorder="1"/>
    <xf numFmtId="3" fontId="11" fillId="0" borderId="38" xfId="0" applyNumberFormat="1" applyFont="1" applyBorder="1" applyAlignment="1">
      <alignment horizontal="center"/>
    </xf>
    <xf numFmtId="3" fontId="10" fillId="0" borderId="6" xfId="0" applyNumberFormat="1" applyFont="1" applyBorder="1" applyAlignment="1">
      <alignment horizontal="center" wrapText="1"/>
    </xf>
    <xf numFmtId="3" fontId="15" fillId="0" borderId="20" xfId="0" applyNumberFormat="1" applyFont="1" applyBorder="1" applyAlignment="1">
      <alignment horizontal="center"/>
    </xf>
    <xf numFmtId="3" fontId="15" fillId="0" borderId="37" xfId="0" applyNumberFormat="1" applyFont="1" applyBorder="1" applyAlignment="1">
      <alignment horizontal="center"/>
    </xf>
    <xf numFmtId="3" fontId="15" fillId="0" borderId="30" xfId="0" applyNumberFormat="1" applyFont="1" applyBorder="1" applyAlignment="1">
      <alignment horizontal="center"/>
    </xf>
    <xf numFmtId="3" fontId="15" fillId="0" borderId="35" xfId="0" applyNumberFormat="1" applyFont="1" applyBorder="1" applyAlignment="1">
      <alignment horizontal="center"/>
    </xf>
    <xf numFmtId="3" fontId="15" fillId="0" borderId="29" xfId="0" applyNumberFormat="1" applyFont="1" applyBorder="1" applyAlignment="1">
      <alignment horizontal="center"/>
    </xf>
    <xf numFmtId="3" fontId="15" fillId="0" borderId="31" xfId="0" applyNumberFormat="1" applyFont="1" applyBorder="1" applyAlignment="1">
      <alignment horizontal="center"/>
    </xf>
    <xf numFmtId="3" fontId="15" fillId="0" borderId="0" xfId="0" applyNumberFormat="1" applyFont="1" applyAlignment="1">
      <alignment horizontal="center"/>
    </xf>
    <xf numFmtId="0" fontId="11" fillId="0" borderId="0" xfId="0" applyFont="1"/>
    <xf numFmtId="3" fontId="11" fillId="0" borderId="0" xfId="0" applyNumberFormat="1" applyFont="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7" xfId="0" applyNumberFormat="1" applyFont="1" applyBorder="1" applyAlignment="1">
      <alignment horizontal="center"/>
    </xf>
    <xf numFmtId="3" fontId="20" fillId="0" borderId="11" xfId="0" applyNumberFormat="1" applyFont="1" applyBorder="1" applyAlignment="1">
      <alignment horizontal="center"/>
    </xf>
    <xf numFmtId="17" fontId="9" fillId="0" borderId="13" xfId="0" applyNumberFormat="1" applyFont="1" applyBorder="1" applyAlignment="1">
      <alignment horizontal="left"/>
    </xf>
    <xf numFmtId="1" fontId="8" fillId="0" borderId="26" xfId="0" applyNumberFormat="1" applyFont="1" applyBorder="1" applyAlignment="1">
      <alignment horizontal="center"/>
    </xf>
    <xf numFmtId="1" fontId="8" fillId="0" borderId="4" xfId="0" applyNumberFormat="1" applyFont="1" applyBorder="1" applyAlignment="1">
      <alignment horizontal="center"/>
    </xf>
    <xf numFmtId="1" fontId="8" fillId="0" borderId="5"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7" fontId="19" fillId="0" borderId="7" xfId="0" applyNumberFormat="1" applyFont="1" applyBorder="1" applyAlignment="1">
      <alignment horizontal="center"/>
    </xf>
    <xf numFmtId="17" fontId="19" fillId="0" borderId="39" xfId="0" applyNumberFormat="1" applyFont="1" applyBorder="1" applyAlignment="1">
      <alignment horizontal="center"/>
    </xf>
    <xf numFmtId="17" fontId="18" fillId="0" borderId="7" xfId="0" applyNumberFormat="1" applyFont="1" applyBorder="1" applyAlignment="1">
      <alignment horizontal="center"/>
    </xf>
    <xf numFmtId="17" fontId="18" fillId="0" borderId="39" xfId="0" applyNumberFormat="1" applyFont="1" applyBorder="1" applyAlignment="1">
      <alignment horizontal="center"/>
    </xf>
    <xf numFmtId="17" fontId="14" fillId="0" borderId="7" xfId="0" applyNumberFormat="1" applyFont="1" applyBorder="1" applyAlignment="1">
      <alignment horizontal="center"/>
    </xf>
    <xf numFmtId="17" fontId="14" fillId="0" borderId="39" xfId="0" applyNumberFormat="1" applyFont="1" applyBorder="1" applyAlignment="1">
      <alignment horizontal="center"/>
    </xf>
    <xf numFmtId="0" fontId="14" fillId="0" borderId="7" xfId="0" applyFont="1" applyBorder="1" applyAlignment="1">
      <alignment horizontal="center"/>
    </xf>
    <xf numFmtId="0" fontId="14" fillId="0" borderId="39" xfId="0" applyFont="1" applyBorder="1" applyAlignment="1">
      <alignment horizontal="center"/>
    </xf>
    <xf numFmtId="1" fontId="10" fillId="0" borderId="25" xfId="0" applyNumberFormat="1" applyFont="1" applyBorder="1" applyAlignment="1">
      <alignment horizontal="center"/>
    </xf>
    <xf numFmtId="3" fontId="20" fillId="0" borderId="29" xfId="0" applyNumberFormat="1" applyFont="1" applyBorder="1" applyAlignment="1">
      <alignment horizontal="center"/>
    </xf>
    <xf numFmtId="3" fontId="10" fillId="0" borderId="31" xfId="0" applyNumberFormat="1" applyFont="1" applyBorder="1" applyAlignment="1">
      <alignment horizontal="center"/>
    </xf>
    <xf numFmtId="3" fontId="10" fillId="0" borderId="11" xfId="0" applyNumberFormat="1" applyFont="1" applyBorder="1" applyAlignment="1">
      <alignment horizontal="center"/>
    </xf>
    <xf numFmtId="3" fontId="20" fillId="0" borderId="0" xfId="0" applyNumberFormat="1" applyFont="1" applyAlignment="1">
      <alignment horizontal="center"/>
    </xf>
    <xf numFmtId="170" fontId="0" fillId="0" borderId="5" xfId="0" applyNumberFormat="1" applyBorder="1"/>
    <xf numFmtId="0" fontId="4" fillId="0" borderId="40"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1"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2" xfId="0" applyNumberFormat="1" applyBorder="1"/>
    <xf numFmtId="3" fontId="0" fillId="0" borderId="43" xfId="0" applyNumberFormat="1" applyBorder="1"/>
    <xf numFmtId="170" fontId="0" fillId="2" borderId="44" xfId="0" applyNumberFormat="1" applyFill="1" applyBorder="1"/>
    <xf numFmtId="0" fontId="4" fillId="2" borderId="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7" fillId="3" borderId="11" xfId="0" applyFont="1" applyFill="1" applyBorder="1"/>
    <xf numFmtId="0" fontId="22" fillId="0" borderId="17" xfId="0" applyFont="1" applyBorder="1" applyAlignment="1">
      <alignment horizontal="center"/>
    </xf>
    <xf numFmtId="0" fontId="22" fillId="0" borderId="18" xfId="0" applyFont="1" applyBorder="1" applyAlignment="1">
      <alignment horizont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6" xfId="0" applyNumberFormat="1" applyBorder="1"/>
    <xf numFmtId="38" fontId="0" fillId="0" borderId="0" xfId="0" applyNumberFormat="1"/>
    <xf numFmtId="0" fontId="28" fillId="0" borderId="0" xfId="0" applyFont="1"/>
    <xf numFmtId="17" fontId="10" fillId="4" borderId="22" xfId="0" applyNumberFormat="1" applyFont="1" applyFill="1" applyBorder="1" applyAlignment="1">
      <alignment horizontal="left"/>
    </xf>
    <xf numFmtId="17" fontId="8" fillId="4" borderId="12" xfId="0" applyNumberFormat="1" applyFont="1" applyFill="1" applyBorder="1" applyAlignment="1">
      <alignment horizontal="left"/>
    </xf>
    <xf numFmtId="3" fontId="8" fillId="4" borderId="3" xfId="0" applyNumberFormat="1" applyFont="1" applyFill="1" applyBorder="1" applyAlignment="1">
      <alignment horizontal="center"/>
    </xf>
    <xf numFmtId="3" fontId="16" fillId="4" borderId="29" xfId="0" applyNumberFormat="1" applyFont="1" applyFill="1" applyBorder="1" applyAlignment="1">
      <alignment horizontal="center"/>
    </xf>
    <xf numFmtId="3" fontId="15" fillId="4" borderId="37" xfId="0" applyNumberFormat="1" applyFont="1" applyFill="1" applyBorder="1" applyAlignment="1">
      <alignment horizontal="center"/>
    </xf>
    <xf numFmtId="3" fontId="10" fillId="4" borderId="3" xfId="0" applyNumberFormat="1" applyFont="1" applyFill="1" applyBorder="1" applyAlignment="1">
      <alignment horizontal="center"/>
    </xf>
    <xf numFmtId="3" fontId="10" fillId="4" borderId="4" xfId="0" applyNumberFormat="1" applyFont="1" applyFill="1" applyBorder="1" applyAlignment="1">
      <alignment horizontal="center"/>
    </xf>
    <xf numFmtId="3" fontId="15" fillId="4" borderId="29" xfId="0" applyNumberFormat="1" applyFont="1" applyFill="1" applyBorder="1" applyAlignment="1">
      <alignment horizontal="center"/>
    </xf>
    <xf numFmtId="3" fontId="10" fillId="4" borderId="29" xfId="0" applyNumberFormat="1" applyFont="1" applyFill="1" applyBorder="1" applyAlignment="1">
      <alignment horizontal="center"/>
    </xf>
    <xf numFmtId="3" fontId="11" fillId="4" borderId="29" xfId="0" applyNumberFormat="1" applyFont="1" applyFill="1" applyBorder="1" applyAlignment="1">
      <alignment horizontal="center"/>
    </xf>
    <xf numFmtId="1" fontId="0" fillId="0" borderId="0" xfId="0" applyNumberFormat="1"/>
    <xf numFmtId="0" fontId="0" fillId="0" borderId="0" xfId="0" applyAlignment="1">
      <alignment wrapText="1"/>
    </xf>
    <xf numFmtId="0" fontId="0" fillId="2" borderId="0" xfId="0" applyFill="1" applyAlignment="1">
      <alignment wrapText="1"/>
    </xf>
    <xf numFmtId="0" fontId="29" fillId="0" borderId="0" xfId="0" applyFont="1"/>
    <xf numFmtId="10" fontId="0" fillId="0" borderId="0" xfId="0" applyNumberFormat="1"/>
    <xf numFmtId="0" fontId="0" fillId="5" borderId="0" xfId="0" applyFill="1"/>
    <xf numFmtId="0" fontId="29" fillId="0" borderId="0" xfId="0" applyFont="1" applyAlignment="1">
      <alignment horizontal="right"/>
    </xf>
    <xf numFmtId="0" fontId="42" fillId="0" borderId="0" xfId="0" applyFont="1"/>
    <xf numFmtId="42" fontId="44" fillId="0" borderId="47" xfId="0" applyNumberFormat="1" applyFont="1" applyBorder="1" applyAlignment="1">
      <alignment horizontal="center"/>
    </xf>
    <xf numFmtId="0" fontId="43" fillId="0" borderId="3" xfId="0" applyFont="1" applyBorder="1"/>
    <xf numFmtId="0" fontId="44" fillId="0" borderId="1" xfId="0" applyFont="1" applyBorder="1"/>
    <xf numFmtId="169" fontId="44" fillId="0" borderId="1" xfId="0" applyNumberFormat="1" applyFont="1" applyBorder="1" applyAlignment="1">
      <alignment horizontal="center"/>
    </xf>
    <xf numFmtId="0" fontId="45" fillId="0" borderId="1" xfId="0" applyFont="1" applyBorder="1"/>
    <xf numFmtId="41" fontId="44" fillId="0" borderId="1" xfId="0" applyNumberFormat="1" applyFont="1" applyBorder="1" applyAlignment="1">
      <alignment horizontal="center"/>
    </xf>
    <xf numFmtId="0" fontId="43" fillId="0" borderId="48" xfId="0" applyFont="1" applyBorder="1"/>
    <xf numFmtId="44" fontId="43" fillId="0" borderId="48" xfId="0" applyNumberFormat="1" applyFont="1" applyBorder="1" applyAlignment="1">
      <alignment horizontal="center"/>
    </xf>
    <xf numFmtId="0" fontId="44" fillId="0" borderId="3" xfId="0" applyFont="1" applyBorder="1"/>
    <xf numFmtId="42" fontId="44" fillId="0" borderId="3" xfId="0" applyNumberFormat="1" applyFont="1" applyBorder="1" applyAlignment="1">
      <alignment horizontal="center"/>
    </xf>
    <xf numFmtId="42" fontId="44" fillId="0" borderId="1" xfId="0" applyNumberFormat="1" applyFont="1" applyBorder="1" applyAlignment="1">
      <alignment horizontal="center"/>
    </xf>
    <xf numFmtId="44" fontId="44" fillId="0" borderId="1" xfId="0" applyNumberFormat="1" applyFont="1" applyBorder="1" applyAlignment="1">
      <alignment horizontal="center"/>
    </xf>
    <xf numFmtId="0" fontId="44" fillId="0" borderId="8" xfId="0" applyFont="1" applyBorder="1"/>
    <xf numFmtId="44" fontId="43" fillId="0" borderId="49" xfId="0" applyNumberFormat="1" applyFont="1" applyBorder="1" applyAlignment="1">
      <alignment horizontal="center"/>
    </xf>
    <xf numFmtId="0" fontId="44" fillId="0" borderId="0" xfId="0" applyFont="1"/>
    <xf numFmtId="44" fontId="44" fillId="0" borderId="0" xfId="0" applyNumberFormat="1" applyFont="1" applyAlignment="1">
      <alignment horizontal="center"/>
    </xf>
    <xf numFmtId="44" fontId="44" fillId="0" borderId="1" xfId="31" applyFont="1" applyBorder="1" applyAlignment="1">
      <alignment horizontal="center"/>
    </xf>
    <xf numFmtId="41" fontId="43" fillId="0" borderId="0" xfId="0" applyNumberFormat="1" applyFont="1" applyAlignment="1">
      <alignment horizontal="center"/>
    </xf>
    <xf numFmtId="0" fontId="43" fillId="0" borderId="0" xfId="0" applyFont="1"/>
    <xf numFmtId="44" fontId="43" fillId="0" borderId="0" xfId="0" applyNumberFormat="1" applyFont="1" applyAlignment="1">
      <alignment horizontal="center"/>
    </xf>
    <xf numFmtId="0" fontId="43" fillId="0" borderId="49" xfId="0" applyFont="1" applyBorder="1"/>
    <xf numFmtId="44" fontId="43" fillId="0" borderId="3" xfId="0" applyNumberFormat="1" applyFont="1" applyBorder="1" applyAlignment="1">
      <alignment horizontal="center"/>
    </xf>
    <xf numFmtId="0" fontId="44" fillId="0" borderId="50" xfId="0" applyFont="1" applyBorder="1"/>
    <xf numFmtId="42" fontId="44" fillId="0" borderId="50" xfId="0" applyNumberFormat="1" applyFont="1" applyBorder="1" applyAlignment="1">
      <alignment horizontal="center"/>
    </xf>
    <xf numFmtId="42" fontId="44" fillId="0" borderId="0" xfId="0" applyNumberFormat="1" applyFont="1" applyAlignment="1">
      <alignment horizontal="center"/>
    </xf>
    <xf numFmtId="0" fontId="45" fillId="0" borderId="0" xfId="0" applyFont="1"/>
    <xf numFmtId="0" fontId="45" fillId="0" borderId="3" xfId="0" applyFont="1" applyBorder="1"/>
    <xf numFmtId="42" fontId="45" fillId="0" borderId="1" xfId="0" applyNumberFormat="1" applyFont="1" applyBorder="1" applyAlignment="1">
      <alignment horizontal="center"/>
    </xf>
    <xf numFmtId="0" fontId="45" fillId="0" borderId="8" xfId="0" applyFont="1" applyBorder="1"/>
    <xf numFmtId="0" fontId="46" fillId="0" borderId="0" xfId="0" applyFont="1"/>
    <xf numFmtId="42" fontId="45" fillId="0" borderId="0" xfId="0" applyNumberFormat="1" applyFont="1" applyAlignment="1">
      <alignment horizontal="center"/>
    </xf>
    <xf numFmtId="0" fontId="47" fillId="0" borderId="0" xfId="0" applyFont="1"/>
    <xf numFmtId="0" fontId="43" fillId="0" borderId="0" xfId="0" applyFont="1" applyAlignment="1">
      <alignment vertical="top"/>
    </xf>
    <xf numFmtId="0" fontId="44" fillId="0" borderId="17" xfId="0" applyFont="1" applyBorder="1"/>
    <xf numFmtId="0" fontId="43" fillId="0" borderId="50" xfId="0" applyFont="1" applyBorder="1"/>
    <xf numFmtId="0" fontId="42" fillId="0" borderId="50" xfId="0" applyFont="1" applyBorder="1"/>
    <xf numFmtId="0" fontId="43" fillId="0" borderId="51" xfId="0" applyFont="1" applyBorder="1"/>
    <xf numFmtId="0" fontId="44" fillId="0" borderId="18" xfId="0" applyFont="1" applyBorder="1"/>
    <xf numFmtId="0" fontId="43" fillId="0" borderId="16" xfId="0" applyFont="1" applyBorder="1"/>
    <xf numFmtId="0" fontId="44" fillId="0" borderId="16" xfId="0" applyFont="1" applyBorder="1"/>
    <xf numFmtId="0" fontId="48" fillId="0" borderId="52" xfId="0" applyFont="1" applyBorder="1"/>
    <xf numFmtId="0" fontId="44" fillId="0" borderId="53" xfId="0" applyFont="1" applyBorder="1"/>
    <xf numFmtId="0" fontId="44" fillId="0" borderId="52" xfId="0" applyFont="1" applyBorder="1"/>
    <xf numFmtId="0" fontId="44" fillId="0" borderId="0" xfId="0" applyFont="1" applyAlignment="1">
      <alignment horizontal="right"/>
    </xf>
    <xf numFmtId="174" fontId="43" fillId="0" borderId="54" xfId="0" applyNumberFormat="1" applyFont="1" applyBorder="1" applyAlignment="1">
      <alignment horizontal="center"/>
    </xf>
    <xf numFmtId="0" fontId="48" fillId="0" borderId="53" xfId="0" applyFont="1" applyBorder="1" applyAlignment="1">
      <alignment horizontal="center"/>
    </xf>
    <xf numFmtId="44" fontId="42" fillId="0" borderId="0" xfId="0" applyNumberFormat="1" applyFont="1"/>
    <xf numFmtId="0" fontId="44" fillId="0" borderId="56" xfId="0" applyFont="1" applyBorder="1" applyAlignment="1">
      <alignment horizontal="right"/>
    </xf>
    <xf numFmtId="0" fontId="49" fillId="0" borderId="0" xfId="0" applyFont="1"/>
    <xf numFmtId="0" fontId="50" fillId="0" borderId="0" xfId="0" applyFont="1" applyAlignment="1">
      <alignment horizontal="center"/>
    </xf>
    <xf numFmtId="0" fontId="44" fillId="0" borderId="0" xfId="0" applyFont="1" applyAlignment="1">
      <alignment horizontal="center"/>
    </xf>
    <xf numFmtId="0" fontId="43" fillId="0" borderId="0" xfId="0" applyFont="1" applyAlignment="1">
      <alignment horizontal="center"/>
    </xf>
    <xf numFmtId="44" fontId="43" fillId="0" borderId="25" xfId="31" applyFont="1" applyBorder="1"/>
    <xf numFmtId="44" fontId="43" fillId="0" borderId="0" xfId="31" applyFont="1" applyBorder="1"/>
    <xf numFmtId="0" fontId="43" fillId="0" borderId="54" xfId="0" applyFont="1" applyBorder="1"/>
    <xf numFmtId="0" fontId="43" fillId="0" borderId="57" xfId="0" applyFont="1" applyBorder="1"/>
    <xf numFmtId="44" fontId="45" fillId="0" borderId="0" xfId="0" applyNumberFormat="1" applyFont="1"/>
    <xf numFmtId="0" fontId="51" fillId="0" borderId="0" xfId="0" applyFont="1"/>
    <xf numFmtId="0" fontId="52" fillId="0" borderId="0" xfId="0" applyFont="1"/>
    <xf numFmtId="0" fontId="53" fillId="0" borderId="33" xfId="0" applyFont="1" applyBorder="1"/>
    <xf numFmtId="44" fontId="53" fillId="0" borderId="33" xfId="0" applyNumberFormat="1" applyFont="1" applyBorder="1" applyAlignment="1">
      <alignment horizontal="center"/>
    </xf>
    <xf numFmtId="0" fontId="44" fillId="0" borderId="56" xfId="0" applyFont="1" applyBorder="1"/>
    <xf numFmtId="0" fontId="51" fillId="0" borderId="0" xfId="0" applyFont="1" applyAlignment="1">
      <alignment horizontal="center"/>
    </xf>
    <xf numFmtId="44" fontId="44" fillId="0" borderId="0" xfId="0" applyNumberFormat="1" applyFont="1"/>
    <xf numFmtId="3" fontId="44" fillId="0" borderId="0" xfId="0" applyNumberFormat="1" applyFont="1"/>
    <xf numFmtId="0" fontId="44" fillId="0" borderId="54" xfId="0" applyFont="1" applyBorder="1"/>
    <xf numFmtId="0" fontId="44" fillId="0" borderId="0" xfId="0" applyFont="1" applyAlignment="1">
      <alignment vertical="center"/>
    </xf>
    <xf numFmtId="0" fontId="43" fillId="0" borderId="1" xfId="0" applyFont="1" applyBorder="1" applyAlignment="1">
      <alignment horizontal="center"/>
    </xf>
    <xf numFmtId="3" fontId="43" fillId="0" borderId="1" xfId="0" applyNumberFormat="1" applyFont="1" applyBorder="1" applyAlignment="1">
      <alignment horizontal="center"/>
    </xf>
    <xf numFmtId="3" fontId="43" fillId="0" borderId="8" xfId="0" applyNumberFormat="1" applyFont="1" applyBorder="1" applyAlignment="1">
      <alignment horizontal="center"/>
    </xf>
    <xf numFmtId="1" fontId="43" fillId="0" borderId="8" xfId="0" applyNumberFormat="1" applyFont="1" applyBorder="1" applyAlignment="1">
      <alignment horizontal="center"/>
    </xf>
    <xf numFmtId="0" fontId="54" fillId="0" borderId="0" xfId="0" applyFont="1"/>
    <xf numFmtId="0" fontId="43" fillId="0" borderId="2" xfId="0" applyFont="1" applyBorder="1" applyAlignment="1">
      <alignment horizontal="center" vertical="center"/>
    </xf>
    <xf numFmtId="0" fontId="43" fillId="0" borderId="2" xfId="0" applyFont="1" applyBorder="1" applyAlignment="1">
      <alignment horizontal="center" vertical="center" wrapText="1"/>
    </xf>
    <xf numFmtId="1" fontId="44" fillId="0" borderId="1" xfId="0" applyNumberFormat="1" applyFont="1" applyBorder="1" applyAlignment="1">
      <alignment horizontal="center"/>
    </xf>
    <xf numFmtId="1" fontId="44" fillId="0" borderId="33" xfId="0" applyNumberFormat="1" applyFont="1" applyBorder="1" applyAlignment="1">
      <alignment horizontal="center"/>
    </xf>
    <xf numFmtId="0" fontId="43" fillId="0" borderId="41" xfId="0" applyFont="1" applyBorder="1" applyAlignment="1">
      <alignment horizontal="center"/>
    </xf>
    <xf numFmtId="44" fontId="43" fillId="0" borderId="41" xfId="0" applyNumberFormat="1" applyFont="1" applyBorder="1" applyAlignment="1">
      <alignment horizontal="center"/>
    </xf>
    <xf numFmtId="0" fontId="43" fillId="0" borderId="59" xfId="0" applyFont="1" applyBorder="1"/>
    <xf numFmtId="0" fontId="44" fillId="0" borderId="1" xfId="0" applyFont="1" applyBorder="1" applyAlignment="1">
      <alignment horizontal="center"/>
    </xf>
    <xf numFmtId="0" fontId="44" fillId="0" borderId="33" xfId="0" applyFont="1" applyBorder="1" applyAlignment="1">
      <alignment horizontal="center"/>
    </xf>
    <xf numFmtId="0" fontId="42" fillId="0" borderId="0" xfId="0" applyFont="1" applyAlignment="1">
      <alignment horizontal="center"/>
    </xf>
    <xf numFmtId="0" fontId="42" fillId="0" borderId="1" xfId="0" applyFont="1" applyBorder="1"/>
    <xf numFmtId="0" fontId="42" fillId="0" borderId="13" xfId="0" applyFont="1" applyBorder="1"/>
    <xf numFmtId="42" fontId="42" fillId="0" borderId="1" xfId="0" applyNumberFormat="1" applyFont="1" applyBorder="1" applyAlignment="1">
      <alignment horizontal="center"/>
    </xf>
    <xf numFmtId="0" fontId="42" fillId="0" borderId="8" xfId="0" applyFont="1" applyBorder="1"/>
    <xf numFmtId="42" fontId="42" fillId="0" borderId="0" xfId="0" applyNumberFormat="1" applyFont="1" applyAlignment="1">
      <alignment horizontal="center"/>
    </xf>
    <xf numFmtId="14" fontId="42" fillId="0" borderId="0" xfId="0" applyNumberFormat="1" applyFont="1" applyAlignment="1">
      <alignment horizontal="center"/>
    </xf>
    <xf numFmtId="8" fontId="44" fillId="0" borderId="1" xfId="0" applyNumberFormat="1" applyFont="1" applyBorder="1"/>
    <xf numFmtId="0" fontId="44" fillId="0" borderId="33" xfId="0" applyFont="1" applyBorder="1"/>
    <xf numFmtId="0" fontId="44" fillId="0" borderId="60" xfId="0" applyFont="1" applyBorder="1"/>
    <xf numFmtId="0" fontId="45" fillId="0" borderId="0" xfId="0" applyFont="1" applyAlignment="1">
      <alignment horizontal="center"/>
    </xf>
    <xf numFmtId="0" fontId="46" fillId="0" borderId="0" xfId="0" applyFont="1" applyAlignment="1">
      <alignment horizontal="center" wrapText="1"/>
    </xf>
    <xf numFmtId="0" fontId="46" fillId="0" borderId="1" xfId="0" applyFont="1" applyBorder="1"/>
    <xf numFmtId="8" fontId="45" fillId="0" borderId="3" xfId="0" applyNumberFormat="1" applyFont="1" applyBorder="1"/>
    <xf numFmtId="164" fontId="45" fillId="0" borderId="3" xfId="0" applyNumberFormat="1" applyFont="1" applyBorder="1" applyAlignment="1">
      <alignment horizontal="center"/>
    </xf>
    <xf numFmtId="167" fontId="45" fillId="0" borderId="4" xfId="0" applyNumberFormat="1" applyFont="1" applyBorder="1" applyAlignment="1">
      <alignment horizontal="center"/>
    </xf>
    <xf numFmtId="6" fontId="45" fillId="0" borderId="47" xfId="0" applyNumberFormat="1" applyFont="1" applyBorder="1" applyAlignment="1">
      <alignment horizontal="center"/>
    </xf>
    <xf numFmtId="8" fontId="45" fillId="0" borderId="13" xfId="0" applyNumberFormat="1" applyFont="1" applyBorder="1"/>
    <xf numFmtId="164" fontId="55" fillId="0" borderId="1" xfId="0" applyNumberFormat="1" applyFont="1" applyBorder="1" applyAlignment="1">
      <alignment horizontal="center"/>
    </xf>
    <xf numFmtId="167" fontId="45" fillId="0" borderId="5" xfId="0" applyNumberFormat="1" applyFont="1" applyBorder="1" applyAlignment="1">
      <alignment horizontal="center"/>
    </xf>
    <xf numFmtId="6" fontId="45" fillId="0" borderId="3" xfId="0" applyNumberFormat="1" applyFont="1" applyBorder="1" applyAlignment="1">
      <alignment horizontal="center"/>
    </xf>
    <xf numFmtId="168" fontId="45" fillId="0" borderId="0" xfId="0" applyNumberFormat="1" applyFont="1"/>
    <xf numFmtId="6" fontId="45" fillId="0" borderId="1" xfId="0" applyNumberFormat="1" applyFont="1" applyBorder="1" applyAlignment="1">
      <alignment horizontal="center"/>
    </xf>
    <xf numFmtId="8" fontId="55" fillId="0" borderId="1" xfId="0" applyNumberFormat="1" applyFont="1" applyBorder="1" applyAlignment="1">
      <alignment horizontal="center"/>
    </xf>
    <xf numFmtId="6" fontId="55" fillId="0" borderId="1" xfId="0" applyNumberFormat="1" applyFont="1" applyBorder="1" applyAlignment="1">
      <alignment horizontal="center"/>
    </xf>
    <xf numFmtId="0" fontId="45" fillId="0" borderId="13" xfId="0" applyFont="1" applyBorder="1"/>
    <xf numFmtId="167" fontId="45" fillId="0" borderId="3" xfId="0" applyNumberFormat="1" applyFont="1" applyBorder="1"/>
    <xf numFmtId="8" fontId="45" fillId="0" borderId="57" xfId="0" applyNumberFormat="1" applyFont="1" applyBorder="1"/>
    <xf numFmtId="164" fontId="45" fillId="0" borderId="57" xfId="0" applyNumberFormat="1" applyFont="1" applyBorder="1" applyAlignment="1">
      <alignment horizontal="center"/>
    </xf>
    <xf numFmtId="167" fontId="45" fillId="0" borderId="57" xfId="0" applyNumberFormat="1" applyFont="1" applyBorder="1" applyAlignment="1">
      <alignment horizontal="center"/>
    </xf>
    <xf numFmtId="6" fontId="45" fillId="0" borderId="57" xfId="0" applyNumberFormat="1" applyFont="1" applyBorder="1" applyAlignment="1">
      <alignment horizontal="center"/>
    </xf>
    <xf numFmtId="42" fontId="45" fillId="0" borderId="13" xfId="0" applyNumberFormat="1" applyFont="1" applyBorder="1" applyAlignment="1">
      <alignment horizontal="center"/>
    </xf>
    <xf numFmtId="167" fontId="45" fillId="0" borderId="1" xfId="0" applyNumberFormat="1" applyFont="1" applyBorder="1" applyAlignment="1">
      <alignment horizontal="center"/>
    </xf>
    <xf numFmtId="167" fontId="45" fillId="0" borderId="1" xfId="0" applyNumberFormat="1" applyFont="1" applyBorder="1"/>
    <xf numFmtId="164" fontId="45" fillId="0" borderId="1" xfId="0" applyNumberFormat="1" applyFont="1" applyBorder="1" applyAlignment="1">
      <alignment horizontal="center"/>
    </xf>
    <xf numFmtId="43" fontId="45" fillId="0" borderId="0" xfId="0" applyNumberFormat="1" applyFont="1"/>
    <xf numFmtId="8" fontId="45" fillId="0" borderId="1" xfId="0" applyNumberFormat="1" applyFont="1" applyBorder="1"/>
    <xf numFmtId="8" fontId="45" fillId="0" borderId="1" xfId="0" applyNumberFormat="1" applyFont="1" applyBorder="1" applyAlignment="1">
      <alignment horizontal="center"/>
    </xf>
    <xf numFmtId="8" fontId="45" fillId="0" borderId="8" xfId="0" applyNumberFormat="1" applyFont="1" applyBorder="1"/>
    <xf numFmtId="167" fontId="45" fillId="0" borderId="8" xfId="0" applyNumberFormat="1" applyFont="1" applyBorder="1" applyAlignment="1">
      <alignment horizontal="center"/>
    </xf>
    <xf numFmtId="6" fontId="45" fillId="0" borderId="8" xfId="0" applyNumberFormat="1" applyFont="1" applyBorder="1" applyAlignment="1">
      <alignment horizontal="center"/>
    </xf>
    <xf numFmtId="0" fontId="45" fillId="0" borderId="33" xfId="0" applyFont="1" applyBorder="1"/>
    <xf numFmtId="8" fontId="45" fillId="0" borderId="33" xfId="0" applyNumberFormat="1" applyFont="1" applyBorder="1"/>
    <xf numFmtId="8" fontId="45" fillId="0" borderId="33" xfId="0" applyNumberFormat="1" applyFont="1" applyBorder="1" applyAlignment="1">
      <alignment horizontal="center"/>
    </xf>
    <xf numFmtId="42" fontId="45" fillId="0" borderId="33" xfId="0" applyNumberFormat="1" applyFont="1" applyBorder="1" applyAlignment="1">
      <alignment horizontal="center"/>
    </xf>
    <xf numFmtId="0" fontId="45" fillId="0" borderId="60" xfId="0" applyFont="1" applyBorder="1"/>
    <xf numFmtId="8" fontId="45" fillId="0" borderId="0" xfId="0" applyNumberFormat="1" applyFont="1"/>
    <xf numFmtId="164" fontId="45" fillId="0" borderId="0" xfId="0" applyNumberFormat="1" applyFont="1" applyAlignment="1">
      <alignment horizontal="center"/>
    </xf>
    <xf numFmtId="167" fontId="45" fillId="0" borderId="61" xfId="0" applyNumberFormat="1" applyFont="1" applyBorder="1" applyAlignment="1">
      <alignment horizontal="center"/>
    </xf>
    <xf numFmtId="8" fontId="46" fillId="0" borderId="0" xfId="0" applyNumberFormat="1" applyFont="1" applyAlignment="1">
      <alignment horizontal="center"/>
    </xf>
    <xf numFmtId="8" fontId="45" fillId="0" borderId="0" xfId="0" applyNumberFormat="1" applyFont="1" applyAlignment="1">
      <alignment horizontal="center"/>
    </xf>
    <xf numFmtId="6" fontId="46" fillId="0" borderId="0" xfId="0" applyNumberFormat="1" applyFont="1" applyAlignment="1">
      <alignment horizontal="center"/>
    </xf>
    <xf numFmtId="6" fontId="45" fillId="0" borderId="0" xfId="0" applyNumberFormat="1" applyFont="1"/>
    <xf numFmtId="14" fontId="45" fillId="0" borderId="0" xfId="0" applyNumberFormat="1" applyFont="1" applyAlignment="1">
      <alignment horizontal="center"/>
    </xf>
    <xf numFmtId="44" fontId="42" fillId="0" borderId="0" xfId="31" applyFont="1"/>
    <xf numFmtId="44" fontId="43" fillId="0" borderId="1" xfId="0" applyNumberFormat="1" applyFont="1" applyBorder="1" applyAlignment="1">
      <alignment horizontal="center"/>
    </xf>
    <xf numFmtId="44" fontId="44" fillId="0" borderId="1" xfId="0" applyNumberFormat="1" applyFont="1" applyBorder="1" applyAlignment="1">
      <alignment horizontal="left"/>
    </xf>
    <xf numFmtId="0" fontId="42" fillId="0" borderId="0" xfId="0" applyFont="1" applyAlignment="1">
      <alignment horizontal="left"/>
    </xf>
    <xf numFmtId="1" fontId="44" fillId="0" borderId="8" xfId="0" applyNumberFormat="1" applyFont="1" applyBorder="1" applyAlignment="1">
      <alignment horizontal="center"/>
    </xf>
    <xf numFmtId="44" fontId="43" fillId="0" borderId="8" xfId="0" applyNumberFormat="1" applyFont="1" applyBorder="1" applyAlignment="1">
      <alignment horizontal="center"/>
    </xf>
    <xf numFmtId="44" fontId="44" fillId="0" borderId="8" xfId="0" applyNumberFormat="1" applyFont="1" applyBorder="1" applyAlignment="1">
      <alignment horizontal="center"/>
    </xf>
    <xf numFmtId="1" fontId="44" fillId="0" borderId="33" xfId="0" applyNumberFormat="1" applyFont="1" applyBorder="1"/>
    <xf numFmtId="44" fontId="44" fillId="0" borderId="33" xfId="0" applyNumberFormat="1" applyFont="1" applyBorder="1" applyAlignment="1">
      <alignment horizontal="center"/>
    </xf>
    <xf numFmtId="0" fontId="50" fillId="0" borderId="0" xfId="0" applyFont="1"/>
    <xf numFmtId="0" fontId="53" fillId="0" borderId="58" xfId="0" applyFont="1" applyBorder="1" applyAlignment="1">
      <alignment horizontal="right"/>
    </xf>
    <xf numFmtId="8" fontId="51" fillId="0" borderId="58" xfId="0" applyNumberFormat="1" applyFont="1" applyBorder="1"/>
    <xf numFmtId="1" fontId="53" fillId="0" borderId="58" xfId="0" applyNumberFormat="1" applyFont="1" applyBorder="1" applyAlignment="1">
      <alignment horizontal="center"/>
    </xf>
    <xf numFmtId="44" fontId="46" fillId="0" borderId="1" xfId="31" applyFont="1" applyFill="1" applyBorder="1" applyAlignment="1">
      <alignment horizontal="center"/>
    </xf>
    <xf numFmtId="0" fontId="47" fillId="0" borderId="62" xfId="0" applyFont="1" applyBorder="1"/>
    <xf numFmtId="0" fontId="47" fillId="0" borderId="0" xfId="0" applyFont="1" applyAlignment="1">
      <alignment horizontal="center" vertical="center"/>
    </xf>
    <xf numFmtId="0" fontId="47" fillId="0" borderId="0" xfId="0" applyFont="1" applyAlignment="1">
      <alignment vertical="center"/>
    </xf>
    <xf numFmtId="0" fontId="56" fillId="0" borderId="2" xfId="0" applyFont="1" applyBorder="1" applyAlignment="1">
      <alignment horizontal="center" vertical="center"/>
    </xf>
    <xf numFmtId="0" fontId="56" fillId="0" borderId="2" xfId="0" applyFont="1" applyBorder="1" applyAlignment="1">
      <alignment horizontal="center" vertical="center" wrapText="1"/>
    </xf>
    <xf numFmtId="0" fontId="53" fillId="0" borderId="2" xfId="0" applyFont="1" applyBorder="1" applyAlignment="1">
      <alignment horizontal="center" vertical="center"/>
    </xf>
    <xf numFmtId="0" fontId="53" fillId="0" borderId="2" xfId="0" applyFont="1" applyBorder="1" applyAlignment="1">
      <alignment horizontal="center" vertical="center" wrapText="1"/>
    </xf>
    <xf numFmtId="0" fontId="53" fillId="0" borderId="2" xfId="47" applyFont="1" applyBorder="1" applyAlignment="1">
      <alignment horizontal="center" vertical="center" wrapText="1"/>
    </xf>
    <xf numFmtId="43" fontId="42" fillId="0" borderId="0" xfId="28" applyFont="1"/>
    <xf numFmtId="0" fontId="57" fillId="0" borderId="2" xfId="0" applyFont="1" applyBorder="1" applyAlignment="1">
      <alignment horizontal="center" vertical="center"/>
    </xf>
    <xf numFmtId="0" fontId="42" fillId="0" borderId="57" xfId="0" applyFont="1" applyBorder="1"/>
    <xf numFmtId="0" fontId="58" fillId="0" borderId="0" xfId="0" applyFont="1"/>
    <xf numFmtId="0" fontId="53" fillId="0" borderId="0" xfId="0" applyFont="1"/>
    <xf numFmtId="0" fontId="56" fillId="0" borderId="0" xfId="0" applyFont="1"/>
    <xf numFmtId="0" fontId="43" fillId="0" borderId="58" xfId="0" applyFont="1" applyBorder="1" applyAlignment="1">
      <alignment horizontal="center" vertical="center"/>
    </xf>
    <xf numFmtId="0" fontId="43" fillId="0" borderId="58" xfId="0" applyFont="1" applyBorder="1" applyAlignment="1">
      <alignment horizontal="center" vertical="center" wrapText="1"/>
    </xf>
    <xf numFmtId="0" fontId="44" fillId="0" borderId="1" xfId="0" applyFont="1" applyBorder="1" applyAlignment="1">
      <alignment vertical="center"/>
    </xf>
    <xf numFmtId="0" fontId="59" fillId="0" borderId="1" xfId="0" applyFont="1" applyBorder="1" applyAlignment="1">
      <alignment horizontal="center" vertical="center" wrapText="1"/>
    </xf>
    <xf numFmtId="44" fontId="43" fillId="0" borderId="1" xfId="31" applyFont="1" applyFill="1" applyBorder="1" applyAlignment="1">
      <alignment horizontal="right" vertical="center"/>
    </xf>
    <xf numFmtId="172" fontId="44" fillId="0" borderId="1" xfId="0" applyNumberFormat="1" applyFont="1" applyBorder="1" applyAlignment="1">
      <alignment horizontal="center" vertical="center"/>
    </xf>
    <xf numFmtId="44" fontId="44" fillId="0" borderId="1" xfId="31" applyFont="1" applyBorder="1" applyAlignment="1">
      <alignment horizontal="right" vertical="center"/>
    </xf>
    <xf numFmtId="0" fontId="60" fillId="0" borderId="73" xfId="0" applyFont="1" applyBorder="1" applyAlignment="1">
      <alignment horizontal="left" vertical="center"/>
    </xf>
    <xf numFmtId="0" fontId="60" fillId="0" borderId="68" xfId="0" applyFont="1" applyBorder="1" applyAlignment="1">
      <alignment horizontal="left" vertical="center"/>
    </xf>
    <xf numFmtId="44" fontId="61" fillId="0" borderId="68" xfId="0" applyNumberFormat="1" applyFont="1" applyBorder="1" applyAlignment="1">
      <alignment horizontal="center" vertical="center"/>
    </xf>
    <xf numFmtId="0" fontId="61" fillId="0" borderId="68" xfId="0" applyFont="1" applyBorder="1" applyAlignment="1">
      <alignment vertical="center"/>
    </xf>
    <xf numFmtId="0" fontId="61" fillId="0" borderId="0" xfId="0" applyFont="1"/>
    <xf numFmtId="0" fontId="44" fillId="0" borderId="8" xfId="0" applyFont="1" applyBorder="1" applyAlignment="1">
      <alignment horizontal="center"/>
    </xf>
    <xf numFmtId="170" fontId="44" fillId="0" borderId="61" xfId="0" applyNumberFormat="1" applyFont="1" applyBorder="1"/>
    <xf numFmtId="0" fontId="44" fillId="0" borderId="48" xfId="0" applyFont="1" applyBorder="1" applyAlignment="1">
      <alignment horizontal="center"/>
    </xf>
    <xf numFmtId="0" fontId="44" fillId="0" borderId="4" xfId="0" applyFont="1" applyBorder="1"/>
    <xf numFmtId="0" fontId="44" fillId="0" borderId="3" xfId="0" applyFont="1" applyBorder="1" applyAlignment="1">
      <alignment horizontal="center"/>
    </xf>
    <xf numFmtId="0" fontId="53" fillId="0" borderId="0" xfId="0" applyFont="1" applyAlignment="1">
      <alignment horizontal="center"/>
    </xf>
    <xf numFmtId="170" fontId="43" fillId="0" borderId="0" xfId="0" applyNumberFormat="1" applyFont="1"/>
    <xf numFmtId="0" fontId="53" fillId="0" borderId="5" xfId="0" applyFont="1" applyBorder="1" applyAlignment="1">
      <alignment horizontal="center" vertical="center"/>
    </xf>
    <xf numFmtId="0" fontId="53" fillId="0" borderId="1" xfId="0" applyFont="1" applyBorder="1" applyAlignment="1">
      <alignment horizontal="center" vertical="center"/>
    </xf>
    <xf numFmtId="0" fontId="53" fillId="0" borderId="1" xfId="0" applyFont="1" applyBorder="1" applyAlignment="1">
      <alignment horizontal="center" vertical="center" wrapText="1"/>
    </xf>
    <xf numFmtId="0" fontId="42" fillId="0" borderId="0" xfId="0" applyFont="1" applyAlignment="1">
      <alignment horizontal="center" vertical="center"/>
    </xf>
    <xf numFmtId="0" fontId="43" fillId="0" borderId="74" xfId="0" applyFont="1" applyBorder="1" applyAlignment="1">
      <alignment horizontal="center" vertical="center"/>
    </xf>
    <xf numFmtId="171" fontId="42" fillId="0" borderId="1" xfId="0" applyNumberFormat="1" applyFont="1" applyBorder="1" applyAlignment="1">
      <alignment horizontal="right"/>
    </xf>
    <xf numFmtId="171" fontId="62" fillId="0" borderId="1" xfId="0" applyNumberFormat="1" applyFont="1" applyBorder="1" applyAlignment="1">
      <alignment horizontal="right"/>
    </xf>
    <xf numFmtId="0" fontId="57" fillId="0" borderId="2" xfId="0" applyFont="1" applyBorder="1" applyAlignment="1">
      <alignment horizontal="left"/>
    </xf>
    <xf numFmtId="42" fontId="50" fillId="0" borderId="0" xfId="0" applyNumberFormat="1" applyFont="1" applyAlignment="1">
      <alignment horizontal="center"/>
    </xf>
    <xf numFmtId="42" fontId="43" fillId="0" borderId="0" xfId="0" applyNumberFormat="1" applyFont="1" applyAlignment="1">
      <alignment horizontal="center"/>
    </xf>
    <xf numFmtId="171" fontId="57" fillId="0" borderId="2" xfId="0" applyNumberFormat="1" applyFont="1" applyBorder="1" applyAlignment="1">
      <alignment horizontal="right"/>
    </xf>
    <xf numFmtId="0" fontId="57" fillId="0" borderId="2" xfId="0" applyFont="1" applyBorder="1" applyAlignment="1">
      <alignment horizontal="center" vertical="center" wrapText="1"/>
    </xf>
    <xf numFmtId="42" fontId="57" fillId="0" borderId="2" xfId="0" applyNumberFormat="1" applyFont="1" applyBorder="1" applyAlignment="1">
      <alignment horizontal="center" vertical="center" wrapText="1"/>
    </xf>
    <xf numFmtId="0" fontId="49" fillId="0" borderId="0" xfId="0" applyFont="1" applyAlignment="1">
      <alignment vertical="center"/>
    </xf>
    <xf numFmtId="42" fontId="42" fillId="0" borderId="68" xfId="0" applyNumberFormat="1" applyFont="1" applyBorder="1" applyAlignment="1">
      <alignment horizontal="left" vertical="center"/>
    </xf>
    <xf numFmtId="42" fontId="42" fillId="0" borderId="62" xfId="0" applyNumberFormat="1" applyFont="1" applyBorder="1" applyAlignment="1">
      <alignment horizontal="center" vertical="center"/>
    </xf>
    <xf numFmtId="170" fontId="50" fillId="0" borderId="41" xfId="0" applyNumberFormat="1" applyFont="1" applyBorder="1" applyAlignment="1">
      <alignment horizontal="center" vertical="center"/>
    </xf>
    <xf numFmtId="0" fontId="42" fillId="0" borderId="0" xfId="0" applyFont="1" applyAlignment="1">
      <alignment vertical="center"/>
    </xf>
    <xf numFmtId="0" fontId="42" fillId="0" borderId="1" xfId="0" applyFont="1" applyBorder="1" applyAlignment="1">
      <alignment horizontal="center"/>
    </xf>
    <xf numFmtId="44" fontId="42" fillId="0" borderId="1" xfId="0" applyNumberFormat="1" applyFont="1" applyBorder="1"/>
    <xf numFmtId="0" fontId="57" fillId="0" borderId="0" xfId="0" applyFont="1"/>
    <xf numFmtId="42" fontId="44" fillId="0" borderId="1" xfId="0" applyNumberFormat="1" applyFont="1" applyBorder="1"/>
    <xf numFmtId="44" fontId="44" fillId="0" borderId="1" xfId="0" applyNumberFormat="1" applyFont="1" applyBorder="1"/>
    <xf numFmtId="49" fontId="44" fillId="0" borderId="1" xfId="0" applyNumberFormat="1" applyFont="1" applyBorder="1" applyAlignment="1">
      <alignment horizontal="center"/>
    </xf>
    <xf numFmtId="0" fontId="53" fillId="0" borderId="2" xfId="0" applyFont="1" applyBorder="1" applyAlignment="1">
      <alignment horizontal="center"/>
    </xf>
    <xf numFmtId="42" fontId="53" fillId="0" borderId="2" xfId="0" applyNumberFormat="1" applyFont="1" applyBorder="1" applyAlignment="1">
      <alignment horizontal="center"/>
    </xf>
    <xf numFmtId="44" fontId="53" fillId="0" borderId="2" xfId="0" applyNumberFormat="1" applyFont="1" applyBorder="1"/>
    <xf numFmtId="44" fontId="53" fillId="0" borderId="0" xfId="0" applyNumberFormat="1" applyFont="1"/>
    <xf numFmtId="42" fontId="44" fillId="0" borderId="0" xfId="0" applyNumberFormat="1" applyFont="1"/>
    <xf numFmtId="8" fontId="44" fillId="0" borderId="0" xfId="0" applyNumberFormat="1" applyFont="1" applyAlignment="1">
      <alignment horizontal="center"/>
    </xf>
    <xf numFmtId="44" fontId="53" fillId="0" borderId="2" xfId="31" applyFont="1" applyBorder="1" applyAlignment="1">
      <alignment horizontal="center" vertical="center" wrapText="1"/>
    </xf>
    <xf numFmtId="44" fontId="43" fillId="0" borderId="1" xfId="31" applyFont="1" applyBorder="1" applyAlignment="1">
      <alignment horizontal="center"/>
    </xf>
    <xf numFmtId="44" fontId="53" fillId="0" borderId="2" xfId="31" applyFont="1" applyBorder="1" applyAlignment="1">
      <alignment horizontal="center"/>
    </xf>
    <xf numFmtId="44" fontId="53" fillId="0" borderId="2" xfId="0" applyNumberFormat="1" applyFont="1" applyBorder="1" applyAlignment="1">
      <alignment horizontal="center"/>
    </xf>
    <xf numFmtId="0" fontId="50" fillId="0" borderId="75" xfId="0" applyFont="1" applyBorder="1"/>
    <xf numFmtId="0" fontId="50" fillId="0" borderId="57" xfId="0" applyFont="1" applyBorder="1"/>
    <xf numFmtId="0" fontId="50" fillId="0" borderId="57" xfId="0" applyFont="1" applyBorder="1" applyAlignment="1">
      <alignment horizontal="center"/>
    </xf>
    <xf numFmtId="0" fontId="50" fillId="0" borderId="13" xfId="0" applyFont="1" applyBorder="1" applyAlignment="1">
      <alignment horizontal="center"/>
    </xf>
    <xf numFmtId="0" fontId="50" fillId="0" borderId="1" xfId="0" applyFont="1" applyBorder="1" applyAlignment="1">
      <alignment horizontal="center"/>
    </xf>
    <xf numFmtId="0" fontId="50" fillId="0" borderId="1" xfId="0" applyFont="1" applyBorder="1" applyAlignment="1">
      <alignment horizontal="center" wrapText="1"/>
    </xf>
    <xf numFmtId="0" fontId="50" fillId="0" borderId="76" xfId="0" applyFont="1" applyBorder="1" applyAlignment="1">
      <alignment horizontal="center" wrapText="1"/>
    </xf>
    <xf numFmtId="10" fontId="50" fillId="0" borderId="1" xfId="0" applyNumberFormat="1" applyFont="1" applyBorder="1" applyAlignment="1">
      <alignment horizontal="center" wrapText="1"/>
    </xf>
    <xf numFmtId="172" fontId="42" fillId="0" borderId="1" xfId="0" applyNumberFormat="1" applyFont="1" applyBorder="1" applyAlignment="1">
      <alignment horizontal="center"/>
    </xf>
    <xf numFmtId="44" fontId="42" fillId="0" borderId="3" xfId="31" applyFont="1" applyFill="1" applyBorder="1" applyAlignment="1">
      <alignment horizontal="center"/>
    </xf>
    <xf numFmtId="0" fontId="42" fillId="0" borderId="52" xfId="0" applyFont="1" applyBorder="1"/>
    <xf numFmtId="0" fontId="42" fillId="0" borderId="75" xfId="0" applyFont="1" applyBorder="1"/>
    <xf numFmtId="0" fontId="50" fillId="0" borderId="57" xfId="0" applyFont="1" applyBorder="1" applyAlignment="1">
      <alignment horizontal="left"/>
    </xf>
    <xf numFmtId="167" fontId="42" fillId="0" borderId="1" xfId="0" applyNumberFormat="1" applyFont="1" applyBorder="1" applyAlignment="1">
      <alignment horizontal="center"/>
    </xf>
    <xf numFmtId="167" fontId="42" fillId="0" borderId="76" xfId="0" applyNumberFormat="1" applyFont="1" applyBorder="1" applyAlignment="1">
      <alignment horizontal="center"/>
    </xf>
    <xf numFmtId="0" fontId="50" fillId="0" borderId="13" xfId="0" applyFont="1" applyBorder="1"/>
    <xf numFmtId="40" fontId="42" fillId="0" borderId="1" xfId="0" applyNumberFormat="1" applyFont="1" applyBorder="1" applyAlignment="1">
      <alignment horizontal="right"/>
    </xf>
    <xf numFmtId="10" fontId="42" fillId="0" borderId="1" xfId="0" applyNumberFormat="1" applyFont="1" applyBorder="1" applyAlignment="1">
      <alignment horizontal="center"/>
    </xf>
    <xf numFmtId="44" fontId="42" fillId="0" borderId="1" xfId="31" applyFont="1" applyFill="1" applyBorder="1" applyAlignment="1">
      <alignment horizontal="center"/>
    </xf>
    <xf numFmtId="40" fontId="62" fillId="0" borderId="1" xfId="0" applyNumberFormat="1" applyFont="1" applyBorder="1" applyAlignment="1">
      <alignment horizontal="right"/>
    </xf>
    <xf numFmtId="0" fontId="42" fillId="0" borderId="1" xfId="0" applyFont="1" applyBorder="1" applyAlignment="1">
      <alignment horizontal="center" wrapText="1"/>
    </xf>
    <xf numFmtId="42" fontId="42" fillId="0" borderId="76" xfId="0" applyNumberFormat="1" applyFont="1" applyBorder="1" applyAlignment="1">
      <alignment horizontal="center"/>
    </xf>
    <xf numFmtId="43" fontId="42" fillId="0" borderId="1" xfId="28" applyFont="1" applyFill="1" applyBorder="1"/>
    <xf numFmtId="0" fontId="42" fillId="0" borderId="1" xfId="0" quotePrefix="1" applyFont="1" applyBorder="1" applyAlignment="1">
      <alignment horizontal="center"/>
    </xf>
    <xf numFmtId="167" fontId="50" fillId="0" borderId="1" xfId="0" applyNumberFormat="1" applyFont="1" applyBorder="1" applyAlignment="1">
      <alignment horizontal="center"/>
    </xf>
    <xf numFmtId="42" fontId="50" fillId="0" borderId="33" xfId="0" applyNumberFormat="1" applyFont="1" applyBorder="1" applyAlignment="1">
      <alignment horizontal="center"/>
    </xf>
    <xf numFmtId="42" fontId="42" fillId="0" borderId="78" xfId="0" applyNumberFormat="1" applyFont="1" applyBorder="1" applyAlignment="1">
      <alignment horizontal="center"/>
    </xf>
    <xf numFmtId="0" fontId="50" fillId="0" borderId="50" xfId="0" applyFont="1" applyBorder="1" applyAlignment="1">
      <alignment horizontal="center"/>
    </xf>
    <xf numFmtId="167" fontId="50" fillId="0" borderId="50" xfId="0" applyNumberFormat="1" applyFont="1" applyBorder="1" applyAlignment="1">
      <alignment horizontal="center"/>
    </xf>
    <xf numFmtId="42" fontId="50" fillId="0" borderId="50" xfId="0" applyNumberFormat="1" applyFont="1" applyBorder="1" applyAlignment="1">
      <alignment horizontal="center"/>
    </xf>
    <xf numFmtId="42" fontId="42" fillId="0" borderId="50" xfId="0" applyNumberFormat="1" applyFont="1" applyBorder="1" applyAlignment="1">
      <alignment horizontal="center"/>
    </xf>
    <xf numFmtId="43" fontId="63" fillId="0" borderId="0" xfId="28" applyFont="1" applyBorder="1" applyAlignment="1">
      <alignment horizontal="center"/>
    </xf>
    <xf numFmtId="167" fontId="63" fillId="0" borderId="0" xfId="0" applyNumberFormat="1" applyFont="1" applyAlignment="1">
      <alignment horizontal="center"/>
    </xf>
    <xf numFmtId="167" fontId="42" fillId="0" borderId="0" xfId="0" applyNumberFormat="1" applyFont="1"/>
    <xf numFmtId="0" fontId="50" fillId="0" borderId="54" xfId="0" applyFont="1" applyBorder="1"/>
    <xf numFmtId="0" fontId="50" fillId="0" borderId="54" xfId="0" applyFont="1" applyBorder="1" applyAlignment="1">
      <alignment horizontal="center"/>
    </xf>
    <xf numFmtId="0" fontId="50" fillId="0" borderId="12" xfId="0" applyFont="1" applyBorder="1" applyAlignment="1">
      <alignment horizontal="center"/>
    </xf>
    <xf numFmtId="0" fontId="50" fillId="0" borderId="3" xfId="0" applyFont="1" applyBorder="1" applyAlignment="1">
      <alignment horizontal="center"/>
    </xf>
    <xf numFmtId="0" fontId="50" fillId="0" borderId="3" xfId="0" applyFont="1" applyBorder="1" applyAlignment="1">
      <alignment horizontal="center" wrapText="1"/>
    </xf>
    <xf numFmtId="0" fontId="57" fillId="0" borderId="14" xfId="0" applyFont="1" applyBorder="1" applyAlignment="1">
      <alignment horizontal="center" vertical="center"/>
    </xf>
    <xf numFmtId="0" fontId="64" fillId="0" borderId="6" xfId="0" applyFont="1" applyBorder="1" applyAlignment="1">
      <alignment horizontal="center" vertical="center"/>
    </xf>
    <xf numFmtId="0" fontId="64" fillId="0" borderId="6" xfId="0" applyFont="1" applyBorder="1" applyAlignment="1">
      <alignment horizontal="center" vertical="center" wrapText="1"/>
    </xf>
    <xf numFmtId="0" fontId="64" fillId="0" borderId="36" xfId="0" applyFont="1" applyBorder="1" applyAlignment="1">
      <alignment horizontal="center" vertical="center" wrapText="1"/>
    </xf>
    <xf numFmtId="10" fontId="50" fillId="0" borderId="4" xfId="0" applyNumberFormat="1" applyFont="1" applyBorder="1" applyAlignment="1">
      <alignment horizontal="center" wrapText="1"/>
    </xf>
    <xf numFmtId="0" fontId="50" fillId="0" borderId="80" xfId="0" applyFont="1" applyBorder="1" applyAlignment="1">
      <alignment horizontal="center" wrapText="1"/>
    </xf>
    <xf numFmtId="0" fontId="57" fillId="0" borderId="70" xfId="0" applyFont="1" applyBorder="1" applyAlignment="1">
      <alignment horizontal="center"/>
    </xf>
    <xf numFmtId="0" fontId="57" fillId="0" borderId="15" xfId="0" applyFont="1" applyBorder="1" applyAlignment="1">
      <alignment horizontal="center"/>
    </xf>
    <xf numFmtId="0" fontId="57" fillId="0" borderId="33" xfId="0" applyFont="1" applyBorder="1" applyAlignment="1">
      <alignment horizontal="center"/>
    </xf>
    <xf numFmtId="0" fontId="57" fillId="0" borderId="70" xfId="0" applyFont="1" applyBorder="1"/>
    <xf numFmtId="0" fontId="57" fillId="0" borderId="62" xfId="0" applyFont="1" applyBorder="1" applyAlignment="1">
      <alignment horizontal="left"/>
    </xf>
    <xf numFmtId="0" fontId="57" fillId="0" borderId="41" xfId="0" applyFont="1" applyBorder="1" applyAlignment="1">
      <alignment horizontal="center"/>
    </xf>
    <xf numFmtId="167" fontId="57" fillId="0" borderId="41" xfId="0" applyNumberFormat="1" applyFont="1" applyBorder="1" applyAlignment="1">
      <alignment horizontal="center"/>
    </xf>
    <xf numFmtId="10" fontId="57" fillId="0" borderId="41" xfId="0" applyNumberFormat="1" applyFont="1" applyBorder="1" applyAlignment="1">
      <alignment horizontal="center"/>
    </xf>
    <xf numFmtId="43" fontId="57" fillId="0" borderId="41" xfId="28" applyFont="1" applyFill="1" applyBorder="1" applyAlignment="1">
      <alignment horizontal="center"/>
    </xf>
    <xf numFmtId="167" fontId="49" fillId="0" borderId="0" xfId="0" applyNumberFormat="1" applyFont="1"/>
    <xf numFmtId="0" fontId="58" fillId="0" borderId="6" xfId="0" applyFont="1" applyBorder="1" applyAlignment="1">
      <alignment horizontal="center" vertical="center" wrapText="1"/>
    </xf>
    <xf numFmtId="0" fontId="43" fillId="0" borderId="0" xfId="0" applyFont="1" applyAlignment="1">
      <alignment vertical="center"/>
    </xf>
    <xf numFmtId="44" fontId="42" fillId="0" borderId="1" xfId="31" applyFont="1" applyBorder="1"/>
    <xf numFmtId="173" fontId="42" fillId="0" borderId="76" xfId="31" applyNumberFormat="1" applyFont="1" applyBorder="1"/>
    <xf numFmtId="0" fontId="65" fillId="0" borderId="13" xfId="0" applyFont="1" applyBorder="1"/>
    <xf numFmtId="44" fontId="50" fillId="0" borderId="1" xfId="31" applyFont="1" applyBorder="1"/>
    <xf numFmtId="44" fontId="42" fillId="0" borderId="76" xfId="31" applyFont="1" applyBorder="1"/>
    <xf numFmtId="44" fontId="42" fillId="0" borderId="8" xfId="31" applyFont="1" applyBorder="1"/>
    <xf numFmtId="44" fontId="50" fillId="0" borderId="48" xfId="31" applyFont="1" applyBorder="1"/>
    <xf numFmtId="3" fontId="42" fillId="0" borderId="47" xfId="0" applyNumberFormat="1" applyFont="1" applyBorder="1" applyAlignment="1">
      <alignment horizontal="right"/>
    </xf>
    <xf numFmtId="44" fontId="42" fillId="0" borderId="13" xfId="0" applyNumberFormat="1" applyFont="1" applyBorder="1"/>
    <xf numFmtId="44" fontId="42" fillId="0" borderId="1" xfId="31" applyFont="1" applyBorder="1" applyAlignment="1">
      <alignment horizontal="right"/>
    </xf>
    <xf numFmtId="44" fontId="42" fillId="0" borderId="1" xfId="0" applyNumberFormat="1" applyFont="1" applyBorder="1" applyAlignment="1">
      <alignment horizontal="right"/>
    </xf>
    <xf numFmtId="3" fontId="42" fillId="0" borderId="1" xfId="0" applyNumberFormat="1" applyFont="1" applyBorder="1" applyAlignment="1">
      <alignment horizontal="right"/>
    </xf>
    <xf numFmtId="3" fontId="42" fillId="0" borderId="1" xfId="0" applyNumberFormat="1" applyFont="1" applyBorder="1"/>
    <xf numFmtId="44" fontId="42" fillId="0" borderId="3" xfId="31" applyFont="1" applyBorder="1" applyAlignment="1">
      <alignment horizontal="right"/>
    </xf>
    <xf numFmtId="3" fontId="42" fillId="0" borderId="8" xfId="0" applyNumberFormat="1" applyFont="1" applyBorder="1"/>
    <xf numFmtId="44" fontId="42" fillId="0" borderId="8" xfId="0" applyNumberFormat="1" applyFont="1" applyBorder="1"/>
    <xf numFmtId="0" fontId="59" fillId="0" borderId="0" xfId="0" applyFont="1"/>
    <xf numFmtId="0" fontId="50" fillId="0" borderId="6" xfId="0" applyFont="1" applyBorder="1" applyAlignment="1">
      <alignment horizontal="center" vertical="center" wrapText="1"/>
    </xf>
    <xf numFmtId="0" fontId="50" fillId="0" borderId="36" xfId="0" applyFont="1" applyBorder="1" applyAlignment="1">
      <alignment horizontal="center" vertical="center" wrapText="1"/>
    </xf>
    <xf numFmtId="0" fontId="42" fillId="0" borderId="0" xfId="0" applyFont="1" applyAlignment="1">
      <alignment horizontal="center" vertical="center" wrapText="1"/>
    </xf>
    <xf numFmtId="0" fontId="43" fillId="0" borderId="7" xfId="0" applyFont="1" applyBorder="1"/>
    <xf numFmtId="0" fontId="44" fillId="0" borderId="21" xfId="0" applyFont="1" applyBorder="1" applyAlignment="1">
      <alignment horizontal="left"/>
    </xf>
    <xf numFmtId="3" fontId="44" fillId="0" borderId="29" xfId="0" applyNumberFormat="1" applyFont="1" applyBorder="1" applyAlignment="1">
      <alignment horizontal="center"/>
    </xf>
    <xf numFmtId="3" fontId="43" fillId="0" borderId="29" xfId="0" applyNumberFormat="1" applyFont="1" applyBorder="1" applyAlignment="1">
      <alignment horizontal="center"/>
    </xf>
    <xf numFmtId="17" fontId="44" fillId="0" borderId="22" xfId="0" applyNumberFormat="1" applyFont="1" applyBorder="1" applyAlignment="1">
      <alignment horizontal="left"/>
    </xf>
    <xf numFmtId="17" fontId="44" fillId="0" borderId="23" xfId="0" applyNumberFormat="1" applyFont="1" applyBorder="1" applyAlignment="1">
      <alignment horizontal="left"/>
    </xf>
    <xf numFmtId="17" fontId="45" fillId="0" borderId="23" xfId="0" applyNumberFormat="1" applyFont="1" applyBorder="1" applyAlignment="1">
      <alignment horizontal="left"/>
    </xf>
    <xf numFmtId="3" fontId="44" fillId="0" borderId="3" xfId="0" applyNumberFormat="1" applyFont="1" applyBorder="1" applyAlignment="1">
      <alignment horizontal="center"/>
    </xf>
    <xf numFmtId="3" fontId="43" fillId="0" borderId="30" xfId="0" applyNumberFormat="1" applyFont="1" applyBorder="1" applyAlignment="1">
      <alignment horizontal="center"/>
    </xf>
    <xf numFmtId="0" fontId="43" fillId="0" borderId="18" xfId="0" applyFont="1" applyBorder="1" applyAlignment="1">
      <alignment horizontal="center" vertical="center"/>
    </xf>
    <xf numFmtId="0" fontId="46" fillId="0" borderId="7" xfId="0" applyFont="1" applyBorder="1" applyAlignment="1">
      <alignment horizontal="center" wrapText="1"/>
    </xf>
    <xf numFmtId="0" fontId="45" fillId="0" borderId="39" xfId="0" applyFont="1" applyBorder="1"/>
    <xf numFmtId="17" fontId="46" fillId="0" borderId="20" xfId="0" applyNumberFormat="1" applyFont="1" applyBorder="1" applyAlignment="1">
      <alignment horizontal="center"/>
    </xf>
    <xf numFmtId="17" fontId="46" fillId="0" borderId="6" xfId="0" applyNumberFormat="1" applyFont="1" applyBorder="1" applyAlignment="1">
      <alignment horizontal="center"/>
    </xf>
    <xf numFmtId="17" fontId="46" fillId="0" borderId="36" xfId="0" applyNumberFormat="1" applyFont="1" applyBorder="1" applyAlignment="1">
      <alignment horizontal="center"/>
    </xf>
    <xf numFmtId="3" fontId="45" fillId="0" borderId="29" xfId="0" applyNumberFormat="1" applyFont="1" applyBorder="1" applyAlignment="1">
      <alignment horizontal="center"/>
    </xf>
    <xf numFmtId="3" fontId="46" fillId="0" borderId="30" xfId="0" applyNumberFormat="1" applyFont="1" applyBorder="1" applyAlignment="1">
      <alignment horizontal="center"/>
    </xf>
    <xf numFmtId="17" fontId="45" fillId="0" borderId="0" xfId="0" applyNumberFormat="1" applyFont="1" applyAlignment="1">
      <alignment horizontal="left"/>
    </xf>
    <xf numFmtId="3" fontId="45" fillId="0" borderId="0" xfId="0" applyNumberFormat="1" applyFont="1" applyAlignment="1">
      <alignment horizontal="center"/>
    </xf>
    <xf numFmtId="3" fontId="46" fillId="0" borderId="0" xfId="0" applyNumberFormat="1" applyFont="1" applyAlignment="1">
      <alignment horizontal="center"/>
    </xf>
    <xf numFmtId="3" fontId="45" fillId="0" borderId="3" xfId="0" applyNumberFormat="1" applyFont="1" applyBorder="1" applyAlignment="1">
      <alignment horizontal="center"/>
    </xf>
    <xf numFmtId="3" fontId="45" fillId="0" borderId="4" xfId="0" applyNumberFormat="1" applyFont="1" applyBorder="1" applyAlignment="1">
      <alignment horizontal="center"/>
    </xf>
    <xf numFmtId="3" fontId="45" fillId="0" borderId="30" xfId="0" applyNumberFormat="1" applyFont="1" applyBorder="1" applyAlignment="1">
      <alignment horizontal="center"/>
    </xf>
    <xf numFmtId="38" fontId="5" fillId="0" borderId="0" xfId="0" applyNumberFormat="1" applyFont="1"/>
    <xf numFmtId="49" fontId="8" fillId="0" borderId="13" xfId="0" applyNumberFormat="1" applyFont="1" applyBorder="1" applyAlignment="1">
      <alignment horizontal="center"/>
    </xf>
    <xf numFmtId="0" fontId="7" fillId="7" borderId="11" xfId="0" applyFont="1" applyFill="1" applyBorder="1"/>
    <xf numFmtId="3" fontId="45" fillId="0" borderId="70" xfId="0" applyNumberFormat="1" applyFont="1" applyBorder="1" applyAlignment="1">
      <alignment horizontal="center"/>
    </xf>
    <xf numFmtId="3" fontId="46" fillId="0" borderId="70" xfId="0" applyNumberFormat="1" applyFont="1" applyBorder="1" applyAlignment="1">
      <alignment horizontal="center"/>
    </xf>
    <xf numFmtId="17" fontId="10" fillId="7" borderId="22" xfId="0" applyNumberFormat="1" applyFont="1" applyFill="1" applyBorder="1" applyAlignment="1">
      <alignment horizontal="left"/>
    </xf>
    <xf numFmtId="49" fontId="8" fillId="7" borderId="12" xfId="0" applyNumberFormat="1" applyFont="1" applyFill="1" applyBorder="1" applyAlignment="1">
      <alignment horizontal="center"/>
    </xf>
    <xf numFmtId="3" fontId="8" fillId="7" borderId="3" xfId="0" applyNumberFormat="1" applyFont="1" applyFill="1" applyBorder="1" applyAlignment="1">
      <alignment horizontal="center"/>
    </xf>
    <xf numFmtId="3" fontId="16" fillId="7" borderId="29" xfId="0" applyNumberFormat="1" applyFont="1" applyFill="1" applyBorder="1" applyAlignment="1">
      <alignment horizontal="center"/>
    </xf>
    <xf numFmtId="3" fontId="15" fillId="7" borderId="37" xfId="0" applyNumberFormat="1" applyFont="1" applyFill="1" applyBorder="1" applyAlignment="1">
      <alignment horizontal="center"/>
    </xf>
    <xf numFmtId="3" fontId="10" fillId="7" borderId="3" xfId="0" applyNumberFormat="1" applyFont="1" applyFill="1" applyBorder="1" applyAlignment="1">
      <alignment horizontal="center"/>
    </xf>
    <xf numFmtId="3" fontId="10" fillId="7" borderId="4" xfId="0" applyNumberFormat="1" applyFont="1" applyFill="1" applyBorder="1" applyAlignment="1">
      <alignment horizontal="center"/>
    </xf>
    <xf numFmtId="3" fontId="15" fillId="7" borderId="29" xfId="0" applyNumberFormat="1" applyFont="1" applyFill="1" applyBorder="1" applyAlignment="1">
      <alignment horizontal="center"/>
    </xf>
    <xf numFmtId="3" fontId="10" fillId="7" borderId="29" xfId="0" applyNumberFormat="1" applyFont="1" applyFill="1" applyBorder="1" applyAlignment="1">
      <alignment horizontal="center"/>
    </xf>
    <xf numFmtId="3" fontId="11" fillId="7" borderId="29" xfId="0" applyNumberFormat="1" applyFont="1" applyFill="1" applyBorder="1" applyAlignment="1">
      <alignment horizontal="center"/>
    </xf>
    <xf numFmtId="0" fontId="45" fillId="0" borderId="0" xfId="0" applyFont="1" applyAlignment="1">
      <alignment horizontal="left"/>
    </xf>
    <xf numFmtId="0" fontId="65" fillId="0" borderId="0" xfId="0" applyFont="1" applyAlignment="1">
      <alignment horizontal="center"/>
    </xf>
    <xf numFmtId="41" fontId="44" fillId="0" borderId="0" xfId="0" applyNumberFormat="1" applyFont="1" applyAlignment="1">
      <alignment horizontal="center"/>
    </xf>
    <xf numFmtId="1" fontId="44" fillId="0" borderId="0" xfId="0" applyNumberFormat="1" applyFont="1" applyAlignment="1">
      <alignment horizontal="center"/>
    </xf>
    <xf numFmtId="17" fontId="65" fillId="0" borderId="0" xfId="0" applyNumberFormat="1" applyFont="1" applyAlignment="1">
      <alignment horizontal="center"/>
    </xf>
    <xf numFmtId="17" fontId="46" fillId="0" borderId="0" xfId="0" applyNumberFormat="1" applyFont="1" applyAlignment="1">
      <alignment horizontal="left"/>
    </xf>
    <xf numFmtId="17" fontId="65" fillId="0" borderId="0" xfId="0" applyNumberFormat="1" applyFont="1" applyAlignment="1">
      <alignment horizontal="left"/>
    </xf>
    <xf numFmtId="17" fontId="44" fillId="0" borderId="0" xfId="0" applyNumberFormat="1" applyFont="1" applyAlignment="1">
      <alignment horizontal="left"/>
    </xf>
    <xf numFmtId="165" fontId="44" fillId="0" borderId="0" xfId="0" applyNumberFormat="1" applyFont="1" applyAlignment="1">
      <alignment horizontal="center"/>
    </xf>
    <xf numFmtId="44" fontId="66" fillId="0" borderId="1" xfId="31" applyFont="1" applyBorder="1"/>
    <xf numFmtId="0" fontId="39" fillId="0" borderId="0" xfId="0" applyFont="1"/>
    <xf numFmtId="0" fontId="0" fillId="7" borderId="0" xfId="0" applyFill="1"/>
    <xf numFmtId="1" fontId="0" fillId="7" borderId="0" xfId="0" applyNumberFormat="1" applyFill="1"/>
    <xf numFmtId="10" fontId="0" fillId="7" borderId="0" xfId="0" applyNumberFormat="1" applyFill="1"/>
    <xf numFmtId="0" fontId="30" fillId="0" borderId="0" xfId="0" applyFont="1" applyAlignment="1">
      <alignment wrapText="1"/>
    </xf>
    <xf numFmtId="0" fontId="6" fillId="7" borderId="0" xfId="0" applyFont="1" applyFill="1"/>
    <xf numFmtId="0" fontId="25" fillId="7" borderId="0" xfId="0" applyFont="1" applyFill="1"/>
    <xf numFmtId="1" fontId="25" fillId="7" borderId="0" xfId="0" applyNumberFormat="1" applyFont="1" applyFill="1"/>
    <xf numFmtId="0" fontId="5" fillId="7" borderId="0" xfId="0" applyFont="1" applyFill="1" applyAlignment="1">
      <alignment wrapText="1"/>
    </xf>
    <xf numFmtId="0" fontId="5" fillId="5" borderId="0" xfId="0" applyFont="1" applyFill="1"/>
    <xf numFmtId="0" fontId="5" fillId="0" borderId="0" xfId="0" applyFont="1" applyAlignment="1">
      <alignment wrapText="1"/>
    </xf>
    <xf numFmtId="0" fontId="0" fillId="2" borderId="0" xfId="0" applyFill="1" applyAlignment="1">
      <alignment vertical="top" wrapText="1"/>
    </xf>
    <xf numFmtId="0" fontId="25" fillId="0" borderId="0" xfId="44" applyFont="1"/>
    <xf numFmtId="0" fontId="53" fillId="0" borderId="0" xfId="0" applyFont="1" applyAlignment="1">
      <alignment vertical="center"/>
    </xf>
    <xf numFmtId="0" fontId="4" fillId="0" borderId="73" xfId="0" applyFont="1" applyBorder="1" applyAlignment="1">
      <alignment horizontal="center" vertical="center"/>
    </xf>
    <xf numFmtId="170" fontId="0" fillId="2" borderId="81" xfId="0" applyNumberFormat="1" applyFill="1" applyBorder="1"/>
    <xf numFmtId="44" fontId="0" fillId="0" borderId="1" xfId="0" applyNumberFormat="1" applyBorder="1"/>
    <xf numFmtId="0" fontId="39" fillId="2" borderId="46"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42" fillId="0" borderId="61" xfId="0" applyFont="1" applyBorder="1"/>
    <xf numFmtId="0" fontId="37" fillId="0" borderId="13" xfId="0" applyFont="1" applyBorder="1"/>
    <xf numFmtId="44" fontId="37" fillId="0" borderId="1" xfId="31" applyFont="1" applyBorder="1"/>
    <xf numFmtId="44" fontId="37" fillId="0" borderId="76" xfId="31" applyFont="1" applyBorder="1"/>
    <xf numFmtId="0" fontId="37" fillId="0" borderId="75" xfId="0" applyFont="1" applyBorder="1"/>
    <xf numFmtId="0" fontId="37" fillId="0" borderId="71" xfId="0" applyFont="1" applyBorder="1"/>
    <xf numFmtId="44" fontId="37" fillId="0" borderId="71" xfId="31" applyFont="1" applyBorder="1"/>
    <xf numFmtId="44" fontId="42" fillId="0" borderId="48" xfId="31" applyFont="1" applyBorder="1"/>
    <xf numFmtId="44" fontId="42" fillId="0" borderId="82" xfId="31" applyFont="1" applyBorder="1"/>
    <xf numFmtId="0" fontId="43" fillId="0" borderId="14" xfId="0" applyFont="1" applyBorder="1"/>
    <xf numFmtId="44" fontId="43" fillId="0" borderId="32" xfId="0" applyNumberFormat="1" applyFont="1" applyBorder="1"/>
    <xf numFmtId="44" fontId="43" fillId="0" borderId="14" xfId="0" applyNumberFormat="1" applyFont="1" applyBorder="1"/>
    <xf numFmtId="40" fontId="43" fillId="0" borderId="14" xfId="0" applyNumberFormat="1" applyFont="1" applyBorder="1"/>
    <xf numFmtId="44" fontId="43" fillId="0" borderId="6" xfId="0" applyNumberFormat="1" applyFont="1" applyBorder="1"/>
    <xf numFmtId="0" fontId="42" fillId="0" borderId="5" xfId="0" applyFont="1" applyBorder="1"/>
    <xf numFmtId="0" fontId="42" fillId="0" borderId="9" xfId="0" applyFont="1" applyBorder="1"/>
    <xf numFmtId="40" fontId="42" fillId="0" borderId="0" xfId="0" applyNumberFormat="1" applyFont="1"/>
    <xf numFmtId="43" fontId="49" fillId="0" borderId="0" xfId="0" applyNumberFormat="1" applyFont="1"/>
    <xf numFmtId="43" fontId="42" fillId="0" borderId="0" xfId="0" applyNumberFormat="1" applyFont="1"/>
    <xf numFmtId="0" fontId="65" fillId="0" borderId="0" xfId="0" applyFont="1"/>
    <xf numFmtId="0" fontId="65" fillId="0" borderId="0" xfId="0" applyFont="1" applyAlignment="1">
      <alignment horizontal="center" vertical="center" wrapText="1"/>
    </xf>
    <xf numFmtId="44" fontId="65" fillId="0" borderId="0" xfId="31" applyFont="1"/>
    <xf numFmtId="44" fontId="65" fillId="0" borderId="0" xfId="31" applyFont="1" applyBorder="1"/>
    <xf numFmtId="0" fontId="57" fillId="0" borderId="83" xfId="0" applyFont="1" applyBorder="1"/>
    <xf numFmtId="0" fontId="57" fillId="0" borderId="58" xfId="0" applyFont="1" applyBorder="1"/>
    <xf numFmtId="3" fontId="42" fillId="0" borderId="0" xfId="0" applyNumberFormat="1" applyFont="1"/>
    <xf numFmtId="44" fontId="65" fillId="0" borderId="0" xfId="0" applyNumberFormat="1" applyFont="1"/>
    <xf numFmtId="9" fontId="10" fillId="0" borderId="38" xfId="0" applyNumberFormat="1" applyFont="1" applyBorder="1" applyAlignment="1">
      <alignment horizontal="center" wrapText="1"/>
    </xf>
    <xf numFmtId="44" fontId="37" fillId="0" borderId="1" xfId="31" applyFont="1" applyFill="1" applyBorder="1"/>
    <xf numFmtId="44" fontId="42" fillId="0" borderId="1" xfId="31" applyFont="1" applyFill="1" applyBorder="1"/>
    <xf numFmtId="44" fontId="50" fillId="0" borderId="1" xfId="31" applyFont="1" applyFill="1" applyBorder="1"/>
    <xf numFmtId="0" fontId="69" fillId="0" borderId="25" xfId="0" applyFont="1" applyBorder="1" applyAlignment="1">
      <alignment horizontal="center"/>
    </xf>
    <xf numFmtId="0" fontId="43" fillId="0" borderId="32" xfId="0" applyFont="1" applyBorder="1"/>
    <xf numFmtId="0" fontId="37" fillId="0" borderId="5" xfId="0" applyFont="1" applyBorder="1"/>
    <xf numFmtId="170" fontId="0" fillId="0" borderId="47" xfId="0" applyNumberFormat="1" applyBorder="1"/>
    <xf numFmtId="3" fontId="42" fillId="0" borderId="3" xfId="0" applyNumberFormat="1" applyFont="1" applyBorder="1" applyAlignment="1">
      <alignment horizontal="right"/>
    </xf>
    <xf numFmtId="0" fontId="11" fillId="0" borderId="31" xfId="0" applyFont="1" applyBorder="1"/>
    <xf numFmtId="0" fontId="77" fillId="0" borderId="0" xfId="0" applyFont="1"/>
    <xf numFmtId="0" fontId="78" fillId="0" borderId="0" xfId="0" applyFont="1"/>
    <xf numFmtId="3" fontId="77" fillId="0" borderId="0" xfId="0" applyNumberFormat="1" applyFont="1" applyAlignment="1">
      <alignment horizontal="center"/>
    </xf>
    <xf numFmtId="8" fontId="41" fillId="0" borderId="1" xfId="0" applyNumberFormat="1" applyFont="1" applyBorder="1" applyAlignment="1">
      <alignment horizontal="center"/>
    </xf>
    <xf numFmtId="0" fontId="64" fillId="0" borderId="0" xfId="0" applyFont="1"/>
    <xf numFmtId="0" fontId="37" fillId="0" borderId="57" xfId="0" applyFont="1" applyBorder="1"/>
    <xf numFmtId="0" fontId="39" fillId="0" borderId="1" xfId="0" applyFont="1" applyBorder="1" applyAlignment="1">
      <alignment horizontal="center"/>
    </xf>
    <xf numFmtId="0" fontId="25" fillId="0" borderId="0" xfId="0" applyFont="1"/>
    <xf numFmtId="0" fontId="25" fillId="0" borderId="0" xfId="47" applyFont="1"/>
    <xf numFmtId="0" fontId="70" fillId="0" borderId="0" xfId="47" applyFont="1"/>
    <xf numFmtId="0" fontId="76" fillId="0" borderId="0" xfId="0" applyFont="1"/>
    <xf numFmtId="0" fontId="5" fillId="8" borderId="1" xfId="0" applyFont="1" applyFill="1" applyBorder="1" applyAlignment="1">
      <alignment horizontal="center"/>
    </xf>
    <xf numFmtId="0" fontId="39" fillId="3"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71" fillId="0" borderId="0" xfId="0" applyFont="1" applyAlignment="1">
      <alignment horizontal="center"/>
    </xf>
    <xf numFmtId="0" fontId="0" fillId="0" borderId="0" xfId="0" applyAlignment="1">
      <alignment horizontal="center"/>
    </xf>
    <xf numFmtId="0" fontId="39" fillId="0" borderId="0" xfId="0" applyFont="1" applyAlignment="1">
      <alignment horizontal="center"/>
    </xf>
    <xf numFmtId="0" fontId="72" fillId="5" borderId="0" xfId="0" applyFont="1" applyFill="1"/>
    <xf numFmtId="0" fontId="73" fillId="0" borderId="0" xfId="0" applyFont="1"/>
    <xf numFmtId="0" fontId="73" fillId="0" borderId="0" xfId="0" applyFont="1" applyAlignment="1">
      <alignment horizontal="right"/>
    </xf>
    <xf numFmtId="0" fontId="72" fillId="0" borderId="0" xfId="0" applyFont="1" applyAlignment="1">
      <alignment wrapText="1"/>
    </xf>
    <xf numFmtId="0" fontId="0" fillId="2" borderId="0" xfId="0" applyFill="1" applyAlignment="1">
      <alignment vertical="top"/>
    </xf>
    <xf numFmtId="0" fontId="39" fillId="6" borderId="0" xfId="0" applyFont="1" applyFill="1"/>
    <xf numFmtId="1" fontId="39" fillId="6" borderId="0" xfId="0" applyNumberFormat="1" applyFont="1" applyFill="1"/>
    <xf numFmtId="10" fontId="39" fillId="6" borderId="0" xfId="0" applyNumberFormat="1" applyFont="1" applyFill="1"/>
    <xf numFmtId="0" fontId="72" fillId="6" borderId="0" xfId="0" applyFont="1" applyFill="1" applyAlignment="1">
      <alignment wrapText="1"/>
    </xf>
    <xf numFmtId="0" fontId="0" fillId="6" borderId="0" xfId="0" applyFill="1"/>
    <xf numFmtId="1" fontId="0" fillId="6" borderId="0" xfId="0" applyNumberFormat="1" applyFill="1"/>
    <xf numFmtId="10" fontId="0" fillId="6" borderId="0" xfId="0" applyNumberFormat="1" applyFill="1"/>
    <xf numFmtId="1" fontId="39" fillId="6" borderId="1" xfId="0" applyNumberFormat="1" applyFont="1" applyFill="1" applyBorder="1"/>
    <xf numFmtId="0" fontId="74" fillId="0" borderId="0" xfId="0" applyFont="1"/>
    <xf numFmtId="0" fontId="37" fillId="0" borderId="84" xfId="0" applyFont="1" applyBorder="1" applyAlignment="1">
      <alignment horizontal="center" vertical="center" wrapText="1"/>
    </xf>
    <xf numFmtId="4" fontId="5" fillId="0" borderId="13" xfId="0" applyNumberFormat="1" applyFont="1" applyBorder="1"/>
    <xf numFmtId="0" fontId="0" fillId="40" borderId="0" xfId="0" applyFill="1" applyAlignment="1">
      <alignment wrapText="1"/>
    </xf>
    <xf numFmtId="0" fontId="7" fillId="41" borderId="11" xfId="0" applyFont="1" applyFill="1" applyBorder="1"/>
    <xf numFmtId="17" fontId="10" fillId="41" borderId="22" xfId="0" applyNumberFormat="1" applyFont="1" applyFill="1" applyBorder="1" applyAlignment="1">
      <alignment horizontal="left"/>
    </xf>
    <xf numFmtId="49" fontId="8" fillId="41" borderId="12" xfId="0" applyNumberFormat="1" applyFont="1" applyFill="1" applyBorder="1" applyAlignment="1">
      <alignment horizontal="center"/>
    </xf>
    <xf numFmtId="3" fontId="8" fillId="41" borderId="3" xfId="0" applyNumberFormat="1" applyFont="1" applyFill="1" applyBorder="1" applyAlignment="1">
      <alignment horizontal="center"/>
    </xf>
    <xf numFmtId="3" fontId="16" fillId="41" borderId="29" xfId="0" applyNumberFormat="1" applyFont="1" applyFill="1" applyBorder="1" applyAlignment="1">
      <alignment horizontal="center"/>
    </xf>
    <xf numFmtId="3" fontId="15" fillId="41" borderId="37" xfId="0" applyNumberFormat="1" applyFont="1" applyFill="1" applyBorder="1" applyAlignment="1">
      <alignment horizontal="center"/>
    </xf>
    <xf numFmtId="3" fontId="10" fillId="41" borderId="3" xfId="0" applyNumberFormat="1" applyFont="1" applyFill="1" applyBorder="1" applyAlignment="1">
      <alignment horizontal="center"/>
    </xf>
    <xf numFmtId="3" fontId="10" fillId="41" borderId="4" xfId="0" applyNumberFormat="1" applyFont="1" applyFill="1" applyBorder="1" applyAlignment="1">
      <alignment horizontal="center"/>
    </xf>
    <xf numFmtId="3" fontId="15" fillId="41" borderId="29" xfId="0" applyNumberFormat="1" applyFont="1" applyFill="1" applyBorder="1" applyAlignment="1">
      <alignment horizontal="center"/>
    </xf>
    <xf numFmtId="3" fontId="10" fillId="41" borderId="29" xfId="0" applyNumberFormat="1" applyFont="1" applyFill="1" applyBorder="1" applyAlignment="1">
      <alignment horizontal="center"/>
    </xf>
    <xf numFmtId="3" fontId="11" fillId="41" borderId="29" xfId="0" applyNumberFormat="1" applyFont="1" applyFill="1" applyBorder="1" applyAlignment="1">
      <alignment horizontal="center"/>
    </xf>
    <xf numFmtId="0" fontId="6" fillId="0" borderId="0" xfId="0" applyFont="1"/>
    <xf numFmtId="0" fontId="81" fillId="0" borderId="0" xfId="0" applyFont="1"/>
    <xf numFmtId="0" fontId="82" fillId="0" borderId="0" xfId="0" applyFont="1"/>
    <xf numFmtId="3" fontId="81" fillId="0" borderId="0" xfId="0" applyNumberFormat="1" applyFont="1" applyAlignment="1">
      <alignment horizontal="center"/>
    </xf>
    <xf numFmtId="3" fontId="83" fillId="0" borderId="0" xfId="0" applyNumberFormat="1" applyFont="1" applyAlignment="1">
      <alignment horizontal="center"/>
    </xf>
    <xf numFmtId="3" fontId="84" fillId="0" borderId="0" xfId="0" applyNumberFormat="1" applyFont="1" applyAlignment="1">
      <alignment horizontal="center"/>
    </xf>
    <xf numFmtId="3" fontId="85" fillId="0" borderId="0" xfId="0" applyNumberFormat="1" applyFont="1" applyAlignment="1">
      <alignment horizontal="center"/>
    </xf>
    <xf numFmtId="0" fontId="80" fillId="42" borderId="11" xfId="0" applyFont="1" applyFill="1" applyBorder="1"/>
    <xf numFmtId="17" fontId="10" fillId="42" borderId="22" xfId="0" applyNumberFormat="1" applyFont="1" applyFill="1" applyBorder="1" applyAlignment="1">
      <alignment horizontal="left"/>
    </xf>
    <xf numFmtId="49" fontId="8" fillId="42" borderId="12" xfId="0" applyNumberFormat="1" applyFont="1" applyFill="1" applyBorder="1" applyAlignment="1">
      <alignment horizontal="center"/>
    </xf>
    <xf numFmtId="3" fontId="8" fillId="42" borderId="3" xfId="0" applyNumberFormat="1" applyFont="1" applyFill="1" applyBorder="1" applyAlignment="1">
      <alignment horizontal="center"/>
    </xf>
    <xf numFmtId="3" fontId="16" fillId="42" borderId="29" xfId="0" applyNumberFormat="1" applyFont="1" applyFill="1" applyBorder="1" applyAlignment="1">
      <alignment horizontal="center"/>
    </xf>
    <xf numFmtId="3" fontId="15" fillId="42" borderId="37" xfId="0" applyNumberFormat="1" applyFont="1" applyFill="1" applyBorder="1" applyAlignment="1">
      <alignment horizontal="center"/>
    </xf>
    <xf numFmtId="3" fontId="10" fillId="42" borderId="3" xfId="0" applyNumberFormat="1" applyFont="1" applyFill="1" applyBorder="1" applyAlignment="1">
      <alignment horizontal="center"/>
    </xf>
    <xf numFmtId="3" fontId="10" fillId="42" borderId="4" xfId="0" applyNumberFormat="1" applyFont="1" applyFill="1" applyBorder="1" applyAlignment="1">
      <alignment horizontal="center"/>
    </xf>
    <xf numFmtId="3" fontId="15" fillId="42" borderId="29" xfId="0" applyNumberFormat="1" applyFont="1" applyFill="1" applyBorder="1" applyAlignment="1">
      <alignment horizontal="center"/>
    </xf>
    <xf numFmtId="3" fontId="10" fillId="42" borderId="29" xfId="0" applyNumberFormat="1" applyFont="1" applyFill="1" applyBorder="1" applyAlignment="1">
      <alignment horizontal="center"/>
    </xf>
    <xf numFmtId="3" fontId="11" fillId="42" borderId="29" xfId="0" applyNumberFormat="1" applyFont="1" applyFill="1" applyBorder="1" applyAlignment="1">
      <alignment horizontal="center"/>
    </xf>
    <xf numFmtId="17" fontId="45" fillId="0" borderId="52" xfId="0" applyNumberFormat="1" applyFont="1" applyBorder="1" applyAlignment="1">
      <alignment horizontal="left"/>
    </xf>
    <xf numFmtId="3" fontId="11" fillId="43" borderId="11" xfId="0" applyNumberFormat="1" applyFont="1" applyFill="1" applyBorder="1" applyAlignment="1">
      <alignment horizontal="center"/>
    </xf>
    <xf numFmtId="17" fontId="43" fillId="44" borderId="20" xfId="0" applyNumberFormat="1" applyFont="1" applyFill="1" applyBorder="1" applyAlignment="1">
      <alignment horizontal="center"/>
    </xf>
    <xf numFmtId="3" fontId="43" fillId="44" borderId="11" xfId="0" applyNumberFormat="1" applyFont="1" applyFill="1" applyBorder="1" applyAlignment="1">
      <alignment horizontal="center"/>
    </xf>
    <xf numFmtId="0" fontId="43" fillId="44" borderId="20" xfId="0" applyFont="1" applyFill="1" applyBorder="1" applyAlignment="1">
      <alignment horizontal="center"/>
    </xf>
    <xf numFmtId="3" fontId="43" fillId="44" borderId="6" xfId="0" applyNumberFormat="1" applyFont="1" applyFill="1" applyBorder="1" applyAlignment="1">
      <alignment horizontal="center"/>
    </xf>
    <xf numFmtId="1" fontId="44" fillId="0" borderId="13" xfId="0" applyNumberFormat="1" applyFont="1" applyBorder="1" applyAlignment="1">
      <alignment horizontal="center"/>
    </xf>
    <xf numFmtId="0" fontId="86" fillId="5" borderId="0" xfId="0" applyFont="1" applyFill="1"/>
    <xf numFmtId="0" fontId="87" fillId="0" borderId="0" xfId="0" applyFont="1"/>
    <xf numFmtId="0" fontId="87" fillId="0" borderId="0" xfId="0" applyFont="1" applyAlignment="1">
      <alignment horizontal="right"/>
    </xf>
    <xf numFmtId="0" fontId="86" fillId="0" borderId="0" xfId="0" applyFont="1" applyAlignment="1">
      <alignment wrapText="1"/>
    </xf>
    <xf numFmtId="0" fontId="88" fillId="0" borderId="0" xfId="0" applyFont="1"/>
    <xf numFmtId="0" fontId="0" fillId="44" borderId="0" xfId="0" applyFill="1" applyAlignment="1">
      <alignment wrapText="1"/>
    </xf>
    <xf numFmtId="1" fontId="39" fillId="0" borderId="0" xfId="0" applyNumberFormat="1" applyFont="1"/>
    <xf numFmtId="10" fontId="39" fillId="0" borderId="0" xfId="0" applyNumberFormat="1" applyFont="1"/>
    <xf numFmtId="0" fontId="86" fillId="44" borderId="0" xfId="0" applyFont="1" applyFill="1" applyAlignment="1">
      <alignment wrapText="1"/>
    </xf>
    <xf numFmtId="0" fontId="0" fillId="44" borderId="0" xfId="0" applyFill="1"/>
    <xf numFmtId="1" fontId="0" fillId="44" borderId="0" xfId="0" applyNumberFormat="1" applyFill="1"/>
    <xf numFmtId="10" fontId="0" fillId="44" borderId="0" xfId="0" applyNumberFormat="1" applyFill="1"/>
    <xf numFmtId="1" fontId="39" fillId="44" borderId="0" xfId="0" applyNumberFormat="1" applyFont="1" applyFill="1"/>
    <xf numFmtId="10" fontId="39" fillId="44" borderId="0" xfId="0" applyNumberFormat="1" applyFont="1" applyFill="1"/>
    <xf numFmtId="0" fontId="39" fillId="44" borderId="0" xfId="0" applyFont="1" applyFill="1"/>
    <xf numFmtId="0" fontId="39" fillId="44" borderId="1" xfId="0" applyFont="1" applyFill="1" applyBorder="1"/>
    <xf numFmtId="0" fontId="47" fillId="0" borderId="0" xfId="0" applyFont="1" applyAlignment="1">
      <alignment horizontal="center" wrapText="1"/>
    </xf>
    <xf numFmtId="0" fontId="75" fillId="0" borderId="1" xfId="50" applyFont="1" applyBorder="1" applyAlignment="1">
      <alignment horizontal="center" vertical="top" wrapText="1"/>
    </xf>
    <xf numFmtId="42" fontId="65" fillId="0" borderId="0" xfId="0" applyNumberFormat="1" applyFont="1" applyAlignment="1">
      <alignment horizontal="center"/>
    </xf>
    <xf numFmtId="44" fontId="59" fillId="0" borderId="0" xfId="0" applyNumberFormat="1" applyFont="1"/>
    <xf numFmtId="0" fontId="106" fillId="0" borderId="102" xfId="0" applyFont="1" applyBorder="1" applyAlignment="1">
      <alignment horizontal="center" vertical="top" wrapText="1"/>
    </xf>
    <xf numFmtId="1" fontId="106" fillId="0" borderId="103" xfId="0" applyNumberFormat="1" applyFont="1" applyBorder="1" applyAlignment="1">
      <alignment horizontal="center" vertical="top" wrapText="1"/>
    </xf>
    <xf numFmtId="1" fontId="106" fillId="0" borderId="104" xfId="0" applyNumberFormat="1" applyFont="1" applyBorder="1" applyAlignment="1">
      <alignment horizontal="center" vertical="top" wrapText="1"/>
    </xf>
    <xf numFmtId="0" fontId="0" fillId="44" borderId="105" xfId="0" applyFill="1" applyBorder="1" applyAlignment="1">
      <alignment vertical="top" wrapText="1"/>
    </xf>
    <xf numFmtId="1" fontId="0" fillId="44" borderId="106" xfId="0" applyNumberFormat="1" applyFill="1" applyBorder="1" applyAlignment="1">
      <alignment vertical="top" wrapText="1"/>
    </xf>
    <xf numFmtId="1" fontId="0" fillId="44" borderId="107" xfId="0" applyNumberFormat="1" applyFill="1" applyBorder="1" applyAlignment="1">
      <alignment vertical="top" wrapText="1"/>
    </xf>
    <xf numFmtId="0" fontId="108" fillId="0" borderId="0" xfId="0" applyFont="1"/>
    <xf numFmtId="1" fontId="108" fillId="0" borderId="0" xfId="0" applyNumberFormat="1" applyFont="1"/>
    <xf numFmtId="0" fontId="0" fillId="0" borderId="105" xfId="0" applyBorder="1" applyAlignment="1">
      <alignment vertical="top" wrapText="1"/>
    </xf>
    <xf numFmtId="1" fontId="0" fillId="0" borderId="106" xfId="0" applyNumberFormat="1" applyBorder="1" applyAlignment="1">
      <alignment vertical="top" wrapText="1"/>
    </xf>
    <xf numFmtId="1" fontId="0" fillId="0" borderId="107" xfId="0" applyNumberFormat="1" applyBorder="1" applyAlignment="1">
      <alignment vertical="top" wrapText="1"/>
    </xf>
    <xf numFmtId="0" fontId="0" fillId="0" borderId="108" xfId="0" applyBorder="1" applyAlignment="1">
      <alignment vertical="top" wrapText="1"/>
    </xf>
    <xf numFmtId="1" fontId="0" fillId="0" borderId="109" xfId="0" applyNumberFormat="1" applyBorder="1" applyAlignment="1">
      <alignment vertical="top" wrapText="1"/>
    </xf>
    <xf numFmtId="0" fontId="109" fillId="0" borderId="0" xfId="0" applyFont="1" applyAlignment="1">
      <alignment horizontal="center"/>
    </xf>
    <xf numFmtId="0" fontId="109" fillId="0" borderId="0" xfId="0" applyFont="1" applyAlignment="1">
      <alignment horizontal="left"/>
    </xf>
    <xf numFmtId="0" fontId="5" fillId="0" borderId="105" xfId="0" applyFont="1" applyBorder="1" applyAlignment="1">
      <alignment vertical="top" wrapText="1"/>
    </xf>
    <xf numFmtId="167" fontId="57" fillId="43" borderId="85" xfId="0" applyNumberFormat="1" applyFont="1" applyFill="1" applyBorder="1" applyAlignment="1">
      <alignment horizontal="center"/>
    </xf>
    <xf numFmtId="167" fontId="57" fillId="43" borderId="33" xfId="0" applyNumberFormat="1" applyFont="1" applyFill="1" applyBorder="1" applyAlignment="1">
      <alignment horizontal="center"/>
    </xf>
    <xf numFmtId="0" fontId="38" fillId="0" borderId="2" xfId="0" applyFont="1" applyBorder="1" applyAlignment="1">
      <alignment horizontal="center" vertical="center" wrapText="1"/>
    </xf>
    <xf numFmtId="44" fontId="4" fillId="43" borderId="2" xfId="0" applyNumberFormat="1" applyFont="1" applyFill="1" applyBorder="1" applyAlignment="1">
      <alignment horizontal="center" vertical="center"/>
    </xf>
    <xf numFmtId="1" fontId="106" fillId="41" borderId="1" xfId="0" applyNumberFormat="1" applyFont="1" applyFill="1" applyBorder="1" applyAlignment="1">
      <alignment horizontal="center"/>
    </xf>
    <xf numFmtId="0" fontId="108" fillId="41" borderId="105" xfId="0" applyFont="1" applyFill="1" applyBorder="1" applyAlignment="1">
      <alignment vertical="top" wrapText="1"/>
    </xf>
    <xf numFmtId="1" fontId="108" fillId="41" borderId="106" xfId="0" applyNumberFormat="1" applyFont="1" applyFill="1" applyBorder="1" applyAlignment="1">
      <alignment vertical="top" wrapText="1"/>
    </xf>
    <xf numFmtId="166" fontId="108" fillId="41" borderId="106" xfId="28" applyNumberFormat="1" applyFont="1" applyFill="1" applyBorder="1" applyAlignment="1">
      <alignment vertical="top" wrapText="1"/>
    </xf>
    <xf numFmtId="166" fontId="108" fillId="41" borderId="107" xfId="28" applyNumberFormat="1" applyFont="1" applyFill="1" applyBorder="1" applyAlignment="1">
      <alignment vertical="top" wrapText="1"/>
    </xf>
    <xf numFmtId="44" fontId="44" fillId="0" borderId="80" xfId="31" applyFont="1" applyBorder="1"/>
    <xf numFmtId="44" fontId="44" fillId="0" borderId="55" xfId="31" applyFont="1" applyBorder="1"/>
    <xf numFmtId="0" fontId="43" fillId="0" borderId="52" xfId="0" applyFont="1" applyBorder="1"/>
    <xf numFmtId="44" fontId="50" fillId="43" borderId="7" xfId="0" applyNumberFormat="1" applyFont="1" applyFill="1" applyBorder="1" applyAlignment="1">
      <alignment horizontal="center" wrapText="1"/>
    </xf>
    <xf numFmtId="17" fontId="11" fillId="45" borderId="20" xfId="0" applyNumberFormat="1" applyFont="1" applyFill="1" applyBorder="1" applyAlignment="1">
      <alignment horizontal="center"/>
    </xf>
    <xf numFmtId="17" fontId="7" fillId="45" borderId="14" xfId="0" applyNumberFormat="1" applyFont="1" applyFill="1" applyBorder="1" applyAlignment="1">
      <alignment horizontal="center"/>
    </xf>
    <xf numFmtId="3" fontId="11" fillId="45" borderId="6" xfId="0" applyNumberFormat="1" applyFont="1" applyFill="1" applyBorder="1" applyAlignment="1">
      <alignment horizontal="center"/>
    </xf>
    <xf numFmtId="3" fontId="15" fillId="45" borderId="11" xfId="0" applyNumberFormat="1" applyFont="1" applyFill="1" applyBorder="1" applyAlignment="1">
      <alignment horizontal="center"/>
    </xf>
    <xf numFmtId="3" fontId="15" fillId="45" borderId="37" xfId="0" applyNumberFormat="1" applyFont="1" applyFill="1" applyBorder="1" applyAlignment="1">
      <alignment horizontal="center"/>
    </xf>
    <xf numFmtId="3" fontId="11" fillId="45" borderId="14" xfId="0" applyNumberFormat="1" applyFont="1" applyFill="1" applyBorder="1" applyAlignment="1">
      <alignment horizontal="center"/>
    </xf>
    <xf numFmtId="3" fontId="20" fillId="45" borderId="37" xfId="0" applyNumberFormat="1" applyFont="1" applyFill="1" applyBorder="1" applyAlignment="1">
      <alignment horizontal="center"/>
    </xf>
    <xf numFmtId="3" fontId="7" fillId="45" borderId="6" xfId="0" applyNumberFormat="1" applyFont="1" applyFill="1" applyBorder="1" applyAlignment="1">
      <alignment horizontal="center"/>
    </xf>
    <xf numFmtId="3" fontId="11" fillId="45" borderId="32" xfId="0" applyNumberFormat="1" applyFont="1" applyFill="1" applyBorder="1" applyAlignment="1">
      <alignment horizontal="center"/>
    </xf>
    <xf numFmtId="3" fontId="20" fillId="45" borderId="11" xfId="0" applyNumberFormat="1" applyFont="1" applyFill="1" applyBorder="1" applyAlignment="1">
      <alignment horizontal="center"/>
    </xf>
    <xf numFmtId="3" fontId="11" fillId="45" borderId="11" xfId="0" applyNumberFormat="1" applyFont="1" applyFill="1" applyBorder="1" applyAlignment="1">
      <alignment horizontal="center"/>
    </xf>
    <xf numFmtId="17" fontId="10" fillId="46" borderId="22" xfId="0" applyNumberFormat="1" applyFont="1" applyFill="1" applyBorder="1" applyAlignment="1">
      <alignment horizontal="left"/>
    </xf>
    <xf numFmtId="49" fontId="8" fillId="46" borderId="12" xfId="0" applyNumberFormat="1" applyFont="1" applyFill="1" applyBorder="1" applyAlignment="1">
      <alignment horizontal="center"/>
    </xf>
    <xf numFmtId="3" fontId="8" fillId="46" borderId="3" xfId="0" applyNumberFormat="1" applyFont="1" applyFill="1" applyBorder="1" applyAlignment="1">
      <alignment horizontal="center"/>
    </xf>
    <xf numFmtId="3" fontId="16" fillId="46" borderId="29" xfId="0" applyNumberFormat="1" applyFont="1" applyFill="1" applyBorder="1" applyAlignment="1">
      <alignment horizontal="center"/>
    </xf>
    <xf numFmtId="3" fontId="15" fillId="46" borderId="37" xfId="0" applyNumberFormat="1" applyFont="1" applyFill="1" applyBorder="1" applyAlignment="1">
      <alignment horizontal="center"/>
    </xf>
    <xf numFmtId="3" fontId="10" fillId="46" borderId="3" xfId="0" applyNumberFormat="1" applyFont="1" applyFill="1" applyBorder="1" applyAlignment="1">
      <alignment horizontal="center"/>
    </xf>
    <xf numFmtId="3" fontId="10" fillId="46" borderId="4" xfId="0" applyNumberFormat="1" applyFont="1" applyFill="1" applyBorder="1" applyAlignment="1">
      <alignment horizontal="center"/>
    </xf>
    <xf numFmtId="3" fontId="15" fillId="46" borderId="29" xfId="0" applyNumberFormat="1" applyFont="1" applyFill="1" applyBorder="1" applyAlignment="1">
      <alignment horizontal="center"/>
    </xf>
    <xf numFmtId="3" fontId="10" fillId="46" borderId="29" xfId="0" applyNumberFormat="1" applyFont="1" applyFill="1" applyBorder="1" applyAlignment="1">
      <alignment horizontal="center"/>
    </xf>
    <xf numFmtId="3" fontId="11" fillId="46" borderId="29" xfId="0" applyNumberFormat="1" applyFont="1" applyFill="1" applyBorder="1" applyAlignment="1">
      <alignment horizontal="center"/>
    </xf>
    <xf numFmtId="3" fontId="11" fillId="46" borderId="11" xfId="0" applyNumberFormat="1" applyFont="1" applyFill="1" applyBorder="1" applyAlignment="1">
      <alignment horizontal="center"/>
    </xf>
    <xf numFmtId="0" fontId="80" fillId="46" borderId="11" xfId="0" applyFont="1" applyFill="1" applyBorder="1"/>
    <xf numFmtId="0" fontId="106" fillId="0" borderId="103" xfId="0" applyFont="1" applyBorder="1" applyAlignment="1">
      <alignment horizontal="center" vertical="top" wrapText="1"/>
    </xf>
    <xf numFmtId="3" fontId="106" fillId="0" borderId="103" xfId="0" applyNumberFormat="1" applyFont="1" applyBorder="1" applyAlignment="1">
      <alignment horizontal="center" vertical="top" wrapText="1"/>
    </xf>
    <xf numFmtId="3" fontId="106" fillId="0" borderId="104" xfId="0" applyNumberFormat="1" applyFont="1" applyBorder="1" applyAlignment="1">
      <alignment horizontal="center" vertical="top" wrapText="1"/>
    </xf>
    <xf numFmtId="0" fontId="0" fillId="47" borderId="105" xfId="0" applyFill="1" applyBorder="1" applyAlignment="1">
      <alignment vertical="top" wrapText="1"/>
    </xf>
    <xf numFmtId="0" fontId="0" fillId="47" borderId="106" xfId="0" applyFill="1" applyBorder="1" applyAlignment="1">
      <alignment vertical="top" wrapText="1"/>
    </xf>
    <xf numFmtId="3" fontId="0" fillId="47" borderId="106" xfId="0" applyNumberFormat="1" applyFill="1" applyBorder="1" applyAlignment="1">
      <alignment vertical="top" wrapText="1"/>
    </xf>
    <xf numFmtId="3" fontId="0" fillId="47" borderId="107" xfId="0" applyNumberFormat="1" applyFill="1" applyBorder="1" applyAlignment="1">
      <alignment vertical="top" wrapText="1"/>
    </xf>
    <xf numFmtId="0" fontId="106" fillId="0" borderId="0" xfId="0" applyFont="1"/>
    <xf numFmtId="0" fontId="106" fillId="41" borderId="105" xfId="0" applyFont="1" applyFill="1" applyBorder="1" applyAlignment="1">
      <alignment vertical="top" wrapText="1"/>
    </xf>
    <xf numFmtId="3" fontId="0" fillId="41" borderId="106" xfId="0" applyNumberFormat="1" applyFill="1" applyBorder="1" applyAlignment="1">
      <alignment vertical="top" wrapText="1"/>
    </xf>
    <xf numFmtId="3" fontId="106" fillId="41" borderId="106" xfId="0" applyNumberFormat="1" applyFont="1" applyFill="1" applyBorder="1" applyAlignment="1">
      <alignment vertical="top" wrapText="1"/>
    </xf>
    <xf numFmtId="3" fontId="106" fillId="41" borderId="107" xfId="0" applyNumberFormat="1" applyFont="1" applyFill="1" applyBorder="1" applyAlignment="1">
      <alignment vertical="top" wrapText="1"/>
    </xf>
    <xf numFmtId="3" fontId="106" fillId="41" borderId="1" xfId="0" applyNumberFormat="1" applyFont="1" applyFill="1" applyBorder="1" applyAlignment="1">
      <alignment horizontal="center"/>
    </xf>
    <xf numFmtId="0" fontId="0" fillId="0" borderId="106" xfId="0" applyBorder="1" applyAlignment="1">
      <alignment vertical="top" wrapText="1"/>
    </xf>
    <xf numFmtId="3" fontId="0" fillId="0" borderId="106" xfId="0" applyNumberFormat="1" applyBorder="1" applyAlignment="1">
      <alignment vertical="top" wrapText="1"/>
    </xf>
    <xf numFmtId="3" fontId="0" fillId="0" borderId="107" xfId="0" applyNumberFormat="1" applyBorder="1" applyAlignment="1">
      <alignment vertical="top" wrapText="1"/>
    </xf>
    <xf numFmtId="0" fontId="0" fillId="48" borderId="105" xfId="0" applyFill="1" applyBorder="1" applyAlignment="1">
      <alignment vertical="top" wrapText="1"/>
    </xf>
    <xf numFmtId="0" fontId="0" fillId="48" borderId="106" xfId="0" applyFill="1" applyBorder="1" applyAlignment="1">
      <alignment vertical="top" wrapText="1"/>
    </xf>
    <xf numFmtId="3" fontId="0" fillId="48" borderId="106" xfId="0" applyNumberFormat="1" applyFill="1" applyBorder="1" applyAlignment="1">
      <alignment vertical="top" wrapText="1"/>
    </xf>
    <xf numFmtId="3" fontId="0" fillId="48" borderId="107" xfId="0" applyNumberFormat="1" applyFill="1" applyBorder="1" applyAlignment="1">
      <alignment vertical="top" wrapText="1"/>
    </xf>
    <xf numFmtId="0" fontId="0" fillId="48" borderId="108" xfId="0" applyFill="1" applyBorder="1" applyAlignment="1">
      <alignment vertical="top" wrapText="1"/>
    </xf>
    <xf numFmtId="0" fontId="0" fillId="48" borderId="109" xfId="0" applyFill="1" applyBorder="1" applyAlignment="1">
      <alignment vertical="top" wrapText="1"/>
    </xf>
    <xf numFmtId="3" fontId="0" fillId="48" borderId="109" xfId="0" applyNumberFormat="1" applyFill="1" applyBorder="1" applyAlignment="1">
      <alignment vertical="top" wrapText="1"/>
    </xf>
    <xf numFmtId="3" fontId="0" fillId="48" borderId="110" xfId="0" applyNumberFormat="1" applyFill="1" applyBorder="1" applyAlignment="1">
      <alignment vertical="top" wrapText="1"/>
    </xf>
    <xf numFmtId="0" fontId="0" fillId="0" borderId="48" xfId="0" applyBorder="1" applyAlignment="1">
      <alignment horizontal="center"/>
    </xf>
    <xf numFmtId="0" fontId="5" fillId="0" borderId="0" xfId="0" applyFont="1" applyAlignment="1">
      <alignment horizontal="right"/>
    </xf>
    <xf numFmtId="0" fontId="0" fillId="0" borderId="0" xfId="0" applyAlignment="1">
      <alignment horizontal="right"/>
    </xf>
    <xf numFmtId="2" fontId="0" fillId="0" borderId="1" xfId="0" applyNumberFormat="1" applyBorder="1" applyAlignment="1">
      <alignment horizontal="center"/>
    </xf>
    <xf numFmtId="4" fontId="39" fillId="3" borderId="0" xfId="0" applyNumberFormat="1" applyFont="1" applyFill="1"/>
    <xf numFmtId="0" fontId="0" fillId="0" borderId="54" xfId="0" applyBorder="1"/>
    <xf numFmtId="17" fontId="43" fillId="0" borderId="86" xfId="0" applyNumberFormat="1" applyFont="1" applyBorder="1" applyAlignment="1">
      <alignment horizontal="center" vertical="center"/>
    </xf>
    <xf numFmtId="4" fontId="44" fillId="0" borderId="72" xfId="0" applyNumberFormat="1" applyFont="1" applyBorder="1"/>
    <xf numFmtId="1" fontId="44" fillId="0" borderId="72" xfId="0" applyNumberFormat="1" applyFont="1" applyBorder="1" applyAlignment="1">
      <alignment horizontal="center"/>
    </xf>
    <xf numFmtId="3" fontId="44" fillId="0" borderId="72" xfId="0" applyNumberFormat="1" applyFont="1" applyBorder="1" applyAlignment="1">
      <alignment horizontal="center" wrapText="1"/>
    </xf>
    <xf numFmtId="3" fontId="43" fillId="0" borderId="38" xfId="0" applyNumberFormat="1" applyFont="1" applyBorder="1" applyAlignment="1">
      <alignment horizontal="center"/>
    </xf>
    <xf numFmtId="0" fontId="43" fillId="46" borderId="20" xfId="0" applyFont="1" applyFill="1" applyBorder="1"/>
    <xf numFmtId="3" fontId="43" fillId="46" borderId="6" xfId="0" applyNumberFormat="1" applyFont="1" applyFill="1" applyBorder="1" applyAlignment="1">
      <alignment horizontal="center"/>
    </xf>
    <xf numFmtId="3" fontId="43" fillId="46" borderId="11" xfId="0" applyNumberFormat="1" applyFont="1" applyFill="1" applyBorder="1" applyAlignment="1">
      <alignment horizontal="center"/>
    </xf>
    <xf numFmtId="3" fontId="43" fillId="46" borderId="36" xfId="0" applyNumberFormat="1" applyFont="1" applyFill="1" applyBorder="1" applyAlignment="1">
      <alignment horizontal="center"/>
    </xf>
    <xf numFmtId="0" fontId="90" fillId="5" borderId="0" xfId="0" applyFont="1" applyFill="1"/>
    <xf numFmtId="0" fontId="90" fillId="0" borderId="0" xfId="0" applyFont="1" applyAlignment="1">
      <alignment wrapText="1"/>
    </xf>
    <xf numFmtId="0" fontId="29" fillId="49" borderId="0" xfId="0" applyFont="1" applyFill="1"/>
    <xf numFmtId="0" fontId="29" fillId="49" borderId="0" xfId="0" applyFont="1" applyFill="1" applyAlignment="1">
      <alignment horizontal="right"/>
    </xf>
    <xf numFmtId="0" fontId="30" fillId="49" borderId="0" xfId="0" applyFont="1" applyFill="1"/>
    <xf numFmtId="0" fontId="0" fillId="49" borderId="0" xfId="0" applyFill="1"/>
    <xf numFmtId="0" fontId="0" fillId="46" borderId="0" xfId="0" applyFill="1" applyAlignment="1">
      <alignment wrapText="1"/>
    </xf>
    <xf numFmtId="0" fontId="90" fillId="46" borderId="0" xfId="0" applyFont="1" applyFill="1" applyAlignment="1">
      <alignment wrapText="1"/>
    </xf>
    <xf numFmtId="0" fontId="0" fillId="46" borderId="0" xfId="0" applyFill="1"/>
    <xf numFmtId="1" fontId="0" fillId="46" borderId="0" xfId="0" applyNumberFormat="1" applyFill="1"/>
    <xf numFmtId="10" fontId="0" fillId="46" borderId="0" xfId="0" applyNumberFormat="1" applyFill="1"/>
    <xf numFmtId="0" fontId="39" fillId="46" borderId="0" xfId="0" applyFont="1" applyFill="1"/>
    <xf numFmtId="1" fontId="39" fillId="46" borderId="0" xfId="0" applyNumberFormat="1" applyFont="1" applyFill="1"/>
    <xf numFmtId="10" fontId="39" fillId="46" borderId="0" xfId="0" applyNumberFormat="1" applyFont="1" applyFill="1"/>
    <xf numFmtId="1" fontId="39" fillId="46" borderId="1" xfId="0" applyNumberFormat="1" applyFont="1" applyFill="1" applyBorder="1"/>
    <xf numFmtId="0" fontId="44" fillId="0" borderId="47" xfId="0" applyFont="1" applyBorder="1"/>
    <xf numFmtId="37" fontId="44" fillId="0" borderId="1" xfId="0" applyNumberFormat="1" applyFont="1" applyBorder="1" applyAlignment="1">
      <alignment horizontal="right"/>
    </xf>
    <xf numFmtId="166" fontId="44" fillId="0" borderId="1" xfId="0" applyNumberFormat="1" applyFont="1" applyBorder="1" applyAlignment="1">
      <alignment horizontal="center"/>
    </xf>
    <xf numFmtId="0" fontId="39" fillId="50" borderId="1" xfId="0" applyFont="1" applyFill="1" applyBorder="1" applyAlignment="1">
      <alignment horizontal="center"/>
    </xf>
    <xf numFmtId="3" fontId="39" fillId="46" borderId="1" xfId="0" applyNumberFormat="1" applyFont="1" applyFill="1" applyBorder="1" applyAlignment="1">
      <alignment horizontal="center"/>
    </xf>
    <xf numFmtId="41" fontId="43" fillId="44" borderId="12" xfId="0" applyNumberFormat="1" applyFont="1" applyFill="1" applyBorder="1" applyAlignment="1">
      <alignment horizontal="center"/>
    </xf>
    <xf numFmtId="1" fontId="44" fillId="0" borderId="55" xfId="0" applyNumberFormat="1" applyFont="1" applyBorder="1" applyAlignment="1">
      <alignment horizontal="center"/>
    </xf>
    <xf numFmtId="0" fontId="10" fillId="0" borderId="29" xfId="0" applyFont="1" applyBorder="1" applyAlignment="1">
      <alignment horizontal="center"/>
    </xf>
    <xf numFmtId="0" fontId="4" fillId="0" borderId="0" xfId="0" applyFont="1"/>
    <xf numFmtId="0" fontId="4" fillId="0" borderId="0" xfId="0" applyFont="1" applyAlignment="1">
      <alignment horizontal="center"/>
    </xf>
    <xf numFmtId="0" fontId="4" fillId="51" borderId="1" xfId="0" applyFont="1" applyFill="1" applyBorder="1" applyAlignment="1">
      <alignment horizontal="center"/>
    </xf>
    <xf numFmtId="0" fontId="4" fillId="51" borderId="0" xfId="0" applyFont="1" applyFill="1" applyAlignment="1">
      <alignment horizontal="center"/>
    </xf>
    <xf numFmtId="0" fontId="0" fillId="50" borderId="1" xfId="0" applyFill="1" applyBorder="1" applyAlignment="1">
      <alignment horizontal="center"/>
    </xf>
    <xf numFmtId="0" fontId="5" fillId="50"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3" fontId="4" fillId="51" borderId="0" xfId="0" applyNumberFormat="1" applyFont="1" applyFill="1" applyAlignment="1">
      <alignment horizontal="center"/>
    </xf>
    <xf numFmtId="0" fontId="4" fillId="3" borderId="1" xfId="0" applyFont="1" applyFill="1" applyBorder="1" applyAlignment="1">
      <alignment horizontal="center"/>
    </xf>
    <xf numFmtId="0" fontId="0" fillId="0" borderId="1" xfId="0" applyBorder="1" applyAlignment="1">
      <alignment horizontal="center" vertical="center"/>
    </xf>
    <xf numFmtId="4" fontId="4" fillId="3" borderId="0" xfId="0" applyNumberFormat="1" applyFont="1" applyFill="1" applyAlignment="1">
      <alignment horizontal="center"/>
    </xf>
    <xf numFmtId="164" fontId="27" fillId="0" borderId="1" xfId="0" applyNumberFormat="1" applyFont="1" applyBorder="1" applyAlignment="1">
      <alignment horizontal="center"/>
    </xf>
    <xf numFmtId="164" fontId="41" fillId="0" borderId="1" xfId="0" applyNumberFormat="1" applyFont="1" applyBorder="1" applyAlignment="1">
      <alignment horizontal="center"/>
    </xf>
    <xf numFmtId="44" fontId="46" fillId="44" borderId="1" xfId="31" applyFont="1" applyFill="1" applyBorder="1" applyAlignment="1">
      <alignment horizontal="center"/>
    </xf>
    <xf numFmtId="44" fontId="47" fillId="0" borderId="0" xfId="0" applyNumberFormat="1" applyFont="1"/>
    <xf numFmtId="44" fontId="56" fillId="44" borderId="41" xfId="31" applyFont="1" applyFill="1" applyBorder="1" applyAlignment="1">
      <alignment horizontal="right"/>
    </xf>
    <xf numFmtId="0" fontId="5" fillId="0" borderId="0" xfId="0" applyFont="1"/>
    <xf numFmtId="0" fontId="5" fillId="0" borderId="2" xfId="0" applyFont="1" applyBorder="1" applyAlignment="1">
      <alignment horizontal="center" vertical="center"/>
    </xf>
    <xf numFmtId="44" fontId="5" fillId="0" borderId="2" xfId="31"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63" xfId="0" applyNumberFormat="1" applyFont="1" applyBorder="1"/>
    <xf numFmtId="8" fontId="5" fillId="0" borderId="19" xfId="0" applyNumberFormat="1" applyFont="1" applyBorder="1"/>
    <xf numFmtId="44" fontId="5" fillId="0" borderId="64" xfId="31" applyFont="1" applyBorder="1" applyAlignment="1">
      <alignment horizontal="right"/>
    </xf>
    <xf numFmtId="44" fontId="5" fillId="0" borderId="3" xfId="31" applyFont="1" applyBorder="1" applyAlignment="1">
      <alignment horizontal="right"/>
    </xf>
    <xf numFmtId="44" fontId="5" fillId="0" borderId="3" xfId="31" applyFont="1" applyFill="1" applyBorder="1" applyAlignment="1">
      <alignment horizontal="right"/>
    </xf>
    <xf numFmtId="8" fontId="5" fillId="0" borderId="13" xfId="0" applyNumberFormat="1" applyFont="1" applyBorder="1"/>
    <xf numFmtId="44" fontId="5" fillId="0" borderId="1" xfId="31" applyFont="1" applyBorder="1" applyAlignment="1">
      <alignment horizontal="right"/>
    </xf>
    <xf numFmtId="44" fontId="5" fillId="0" borderId="1" xfId="31" applyFont="1" applyFill="1" applyBorder="1" applyAlignment="1">
      <alignment horizontal="right"/>
    </xf>
    <xf numFmtId="0" fontId="5" fillId="0" borderId="5" xfId="0" applyFont="1" applyBorder="1"/>
    <xf numFmtId="44" fontId="5" fillId="0" borderId="0" xfId="0" applyNumberFormat="1" applyFont="1"/>
    <xf numFmtId="8" fontId="5" fillId="0" borderId="57" xfId="0" applyNumberFormat="1" applyFont="1" applyBorder="1"/>
    <xf numFmtId="0" fontId="5" fillId="0" borderId="57" xfId="0" applyFont="1" applyBorder="1"/>
    <xf numFmtId="0" fontId="5" fillId="0" borderId="8" xfId="0" applyFont="1" applyBorder="1"/>
    <xf numFmtId="0" fontId="5" fillId="0" borderId="9" xfId="0" applyFont="1" applyBorder="1"/>
    <xf numFmtId="0" fontId="5" fillId="0" borderId="65" xfId="0" applyFont="1" applyBorder="1"/>
    <xf numFmtId="44" fontId="5" fillId="0" borderId="8" xfId="31" applyFont="1" applyBorder="1" applyAlignment="1">
      <alignment horizontal="right"/>
    </xf>
    <xf numFmtId="44" fontId="5" fillId="0" borderId="8" xfId="31" applyFont="1" applyFill="1" applyBorder="1" applyAlignment="1">
      <alignment horizontal="right"/>
    </xf>
    <xf numFmtId="0" fontId="5" fillId="0" borderId="33" xfId="0" applyFont="1" applyBorder="1"/>
    <xf numFmtId="8" fontId="5" fillId="0" borderId="34" xfId="0" applyNumberFormat="1" applyFont="1" applyBorder="1"/>
    <xf numFmtId="8" fontId="5" fillId="0" borderId="15" xfId="0" applyNumberFormat="1" applyFont="1" applyBorder="1"/>
    <xf numFmtId="44" fontId="5" fillId="0" borderId="16" xfId="31" applyFont="1" applyBorder="1" applyAlignment="1">
      <alignment horizontal="right"/>
    </xf>
    <xf numFmtId="44" fontId="5" fillId="0" borderId="33" xfId="31" applyFont="1" applyBorder="1" applyAlignment="1">
      <alignment horizontal="right"/>
    </xf>
    <xf numFmtId="44" fontId="5" fillId="0" borderId="1" xfId="0" applyNumberFormat="1" applyFont="1" applyBorder="1"/>
    <xf numFmtId="0" fontId="5" fillId="0" borderId="1" xfId="0" applyFont="1" applyBorder="1" applyAlignment="1">
      <alignment horizontal="right"/>
    </xf>
    <xf numFmtId="44" fontId="5" fillId="0" borderId="15" xfId="31" applyFont="1" applyBorder="1" applyAlignment="1">
      <alignment horizontal="right"/>
    </xf>
    <xf numFmtId="0" fontId="5" fillId="0" borderId="48" xfId="0" applyFont="1" applyBorder="1"/>
    <xf numFmtId="44" fontId="5" fillId="0" borderId="13" xfId="31" applyFont="1" applyBorder="1" applyAlignment="1">
      <alignment horizontal="right"/>
    </xf>
    <xf numFmtId="43" fontId="5" fillId="0" borderId="0" xfId="28" applyFont="1"/>
    <xf numFmtId="44" fontId="5" fillId="0" borderId="13" xfId="31" applyFont="1" applyFill="1" applyBorder="1" applyAlignment="1">
      <alignment horizontal="right"/>
    </xf>
    <xf numFmtId="44" fontId="5" fillId="0" borderId="16" xfId="31" applyFont="1" applyFill="1" applyBorder="1" applyAlignment="1">
      <alignment horizontal="right"/>
    </xf>
    <xf numFmtId="44" fontId="5" fillId="0" borderId="33" xfId="31" applyFont="1" applyFill="1" applyBorder="1" applyAlignment="1">
      <alignment horizontal="right"/>
    </xf>
    <xf numFmtId="43" fontId="5" fillId="0" borderId="1" xfId="28" applyFont="1" applyBorder="1"/>
    <xf numFmtId="44" fontId="5" fillId="0" borderId="19" xfId="31" applyFont="1" applyBorder="1" applyAlignment="1">
      <alignment horizontal="right"/>
    </xf>
    <xf numFmtId="44" fontId="5" fillId="0" borderId="61" xfId="31" applyFont="1" applyBorder="1" applyAlignment="1">
      <alignment horizontal="right"/>
    </xf>
    <xf numFmtId="44" fontId="5" fillId="0" borderId="70" xfId="31" applyFont="1" applyBorder="1" applyAlignment="1">
      <alignment horizontal="right"/>
    </xf>
    <xf numFmtId="0" fontId="5" fillId="0" borderId="58"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44" fontId="5" fillId="0" borderId="68" xfId="31" applyFont="1" applyBorder="1" applyAlignment="1">
      <alignment horizontal="right"/>
    </xf>
    <xf numFmtId="44" fontId="5" fillId="0" borderId="62" xfId="31" applyFont="1" applyBorder="1" applyAlignment="1">
      <alignment horizontal="right"/>
    </xf>
    <xf numFmtId="44" fontId="5" fillId="0" borderId="41" xfId="31" applyFont="1" applyFill="1" applyBorder="1" applyAlignment="1">
      <alignment horizontal="center"/>
    </xf>
    <xf numFmtId="43" fontId="5" fillId="0" borderId="0" xfId="28" applyFont="1" applyBorder="1"/>
    <xf numFmtId="8" fontId="5" fillId="0" borderId="0" xfId="0" applyNumberFormat="1" applyFont="1"/>
    <xf numFmtId="44" fontId="5" fillId="0" borderId="0" xfId="31" applyFont="1" applyBorder="1" applyAlignment="1">
      <alignment horizontal="right"/>
    </xf>
    <xf numFmtId="44" fontId="5" fillId="0" borderId="0" xfId="31" applyFont="1" applyFill="1" applyBorder="1" applyAlignment="1">
      <alignment horizontal="right"/>
    </xf>
    <xf numFmtId="0" fontId="112" fillId="0" borderId="0" xfId="0" applyFont="1"/>
    <xf numFmtId="44" fontId="5" fillId="0" borderId="0" xfId="31" applyFont="1" applyFill="1" applyBorder="1" applyAlignment="1">
      <alignment horizontal="center"/>
    </xf>
    <xf numFmtId="44" fontId="5" fillId="0" borderId="0" xfId="31" applyFont="1" applyAlignment="1">
      <alignment horizontal="right"/>
    </xf>
    <xf numFmtId="44" fontId="5" fillId="0" borderId="0" xfId="31" applyFont="1" applyFill="1" applyAlignment="1">
      <alignment horizontal="right"/>
    </xf>
    <xf numFmtId="0" fontId="113" fillId="0" borderId="111" xfId="64" applyFont="1" applyBorder="1"/>
    <xf numFmtId="8" fontId="4" fillId="0" borderId="13" xfId="0" applyNumberFormat="1" applyFont="1" applyBorder="1"/>
    <xf numFmtId="0" fontId="110" fillId="0" borderId="111" xfId="63" applyBorder="1"/>
    <xf numFmtId="0" fontId="110" fillId="0" borderId="60" xfId="63" applyBorder="1" applyAlignment="1">
      <alignment horizontal="right"/>
    </xf>
    <xf numFmtId="44" fontId="4" fillId="0" borderId="1" xfId="31" applyFont="1" applyBorder="1" applyAlignment="1">
      <alignment horizontal="right"/>
    </xf>
    <xf numFmtId="8" fontId="4" fillId="0" borderId="57" xfId="0" applyNumberFormat="1" applyFont="1" applyBorder="1"/>
    <xf numFmtId="0" fontId="4" fillId="0" borderId="5" xfId="0" applyFont="1" applyBorder="1"/>
    <xf numFmtId="44" fontId="4" fillId="0" borderId="8" xfId="31" applyFont="1" applyBorder="1" applyAlignment="1">
      <alignment horizontal="right"/>
    </xf>
    <xf numFmtId="0" fontId="4" fillId="0" borderId="65" xfId="0" applyFont="1" applyBorder="1"/>
    <xf numFmtId="0" fontId="5" fillId="0" borderId="13" xfId="0" applyFont="1" applyBorder="1"/>
    <xf numFmtId="44" fontId="5" fillId="44" borderId="1" xfId="31" applyFont="1" applyFill="1" applyBorder="1" applyAlignment="1">
      <alignment horizontal="center" vertical="center"/>
    </xf>
    <xf numFmtId="0" fontId="110" fillId="0" borderId="0" xfId="63" applyAlignment="1">
      <alignment horizontal="right"/>
    </xf>
    <xf numFmtId="0" fontId="115" fillId="0" borderId="111" xfId="63" applyFont="1" applyBorder="1"/>
    <xf numFmtId="44" fontId="6" fillId="0" borderId="1" xfId="31" applyFont="1" applyBorder="1" applyAlignment="1">
      <alignment horizontal="right"/>
    </xf>
    <xf numFmtId="44" fontId="4" fillId="0" borderId="1" xfId="31" applyFont="1" applyFill="1" applyBorder="1" applyAlignment="1">
      <alignment horizontal="right"/>
    </xf>
    <xf numFmtId="44" fontId="4" fillId="0" borderId="8" xfId="31" applyFont="1" applyFill="1" applyBorder="1" applyAlignment="1">
      <alignment horizontal="right"/>
    </xf>
    <xf numFmtId="44" fontId="6" fillId="0" borderId="0" xfId="0" applyNumberFormat="1" applyFont="1"/>
    <xf numFmtId="8" fontId="6" fillId="0" borderId="13" xfId="0" applyNumberFormat="1" applyFont="1" applyBorder="1"/>
    <xf numFmtId="0" fontId="25" fillId="0" borderId="2" xfId="0" applyFont="1" applyBorder="1" applyAlignment="1">
      <alignment horizontal="center" vertical="center"/>
    </xf>
    <xf numFmtId="44" fontId="25" fillId="0" borderId="2" xfId="31" applyFont="1" applyFill="1" applyBorder="1" applyAlignment="1">
      <alignment horizontal="center" vertical="center" wrapText="1"/>
    </xf>
    <xf numFmtId="0" fontId="4" fillId="0" borderId="47" xfId="0" applyFont="1" applyBorder="1" applyAlignment="1">
      <alignment wrapText="1"/>
    </xf>
    <xf numFmtId="44" fontId="5" fillId="0" borderId="69" xfId="31" applyFont="1" applyBorder="1" applyAlignment="1">
      <alignment horizontal="right"/>
    </xf>
    <xf numFmtId="44" fontId="5" fillId="0" borderId="47" xfId="31" applyFont="1" applyBorder="1" applyAlignment="1">
      <alignment horizontal="right"/>
    </xf>
    <xf numFmtId="44" fontId="4" fillId="0" borderId="47" xfId="31" applyFont="1" applyFill="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3" xfId="0" applyFont="1" applyBorder="1"/>
    <xf numFmtId="0" fontId="5" fillId="0" borderId="34" xfId="0" applyFont="1" applyBorder="1" applyAlignment="1">
      <alignment horizontal="left" vertical="center" wrapText="1"/>
    </xf>
    <xf numFmtId="0" fontId="5" fillId="0" borderId="15" xfId="0" applyFont="1" applyBorder="1" applyAlignment="1">
      <alignment horizontal="left" vertical="center" wrapText="1"/>
    </xf>
    <xf numFmtId="44" fontId="4" fillId="44" borderId="48" xfId="31" applyFont="1" applyFill="1" applyBorder="1" applyAlignment="1">
      <alignment horizontal="right"/>
    </xf>
    <xf numFmtId="0" fontId="4" fillId="0" borderId="47" xfId="0" applyFont="1" applyBorder="1"/>
    <xf numFmtId="44" fontId="5" fillId="0" borderId="34" xfId="31" applyFont="1" applyBorder="1" applyAlignment="1">
      <alignment horizontal="right"/>
    </xf>
    <xf numFmtId="0" fontId="4" fillId="0" borderId="3" xfId="0" applyFont="1" applyBorder="1" applyAlignment="1">
      <alignment wrapText="1"/>
    </xf>
    <xf numFmtId="44" fontId="5" fillId="0" borderId="12" xfId="31" applyFont="1" applyBorder="1" applyAlignment="1">
      <alignment horizontal="right"/>
    </xf>
    <xf numFmtId="44" fontId="4" fillId="0" borderId="71" xfId="31" applyFont="1" applyFill="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71" xfId="0" applyFont="1" applyBorder="1"/>
    <xf numFmtId="44" fontId="5" fillId="0" borderId="71" xfId="31" applyFont="1" applyBorder="1" applyAlignment="1">
      <alignment horizontal="right"/>
    </xf>
    <xf numFmtId="0" fontId="4" fillId="0" borderId="1" xfId="0" applyFont="1" applyBorder="1"/>
    <xf numFmtId="44" fontId="5" fillId="0" borderId="27" xfId="31" applyFont="1" applyBorder="1" applyAlignment="1">
      <alignment horizontal="right"/>
    </xf>
    <xf numFmtId="8" fontId="5" fillId="0" borderId="27" xfId="31" applyNumberFormat="1" applyFont="1" applyBorder="1" applyAlignment="1">
      <alignment horizontal="right"/>
    </xf>
    <xf numFmtId="0" fontId="4" fillId="0" borderId="71" xfId="0" applyFont="1" applyBorder="1" applyAlignment="1">
      <alignment horizontal="center" wrapText="1"/>
    </xf>
    <xf numFmtId="8" fontId="5" fillId="0" borderId="33" xfId="31" applyNumberFormat="1" applyFont="1" applyBorder="1" applyAlignment="1">
      <alignment horizontal="right"/>
    </xf>
    <xf numFmtId="0" fontId="4" fillId="0" borderId="71" xfId="0" applyFont="1" applyBorder="1" applyAlignment="1">
      <alignment wrapText="1"/>
    </xf>
    <xf numFmtId="44" fontId="5" fillId="0" borderId="71" xfId="31" applyFont="1" applyFill="1" applyBorder="1" applyAlignment="1">
      <alignment horizontal="right"/>
    </xf>
    <xf numFmtId="44" fontId="5" fillId="0" borderId="19" xfId="31" applyFont="1" applyFill="1" applyBorder="1" applyAlignment="1">
      <alignment horizontal="right"/>
    </xf>
    <xf numFmtId="0" fontId="4" fillId="0" borderId="27" xfId="0" applyFont="1" applyBorder="1"/>
    <xf numFmtId="0" fontId="5" fillId="0" borderId="32" xfId="0" applyFont="1" applyBorder="1"/>
    <xf numFmtId="0" fontId="25" fillId="0" borderId="58" xfId="0" applyFont="1" applyBorder="1" applyAlignment="1">
      <alignment horizontal="center"/>
    </xf>
    <xf numFmtId="0" fontId="25" fillId="0" borderId="67" xfId="0" applyFont="1" applyBorder="1" applyAlignment="1">
      <alignment horizontal="center"/>
    </xf>
    <xf numFmtId="0" fontId="25" fillId="0" borderId="68" xfId="0" applyFont="1" applyBorder="1" applyAlignment="1">
      <alignment horizontal="center"/>
    </xf>
    <xf numFmtId="44" fontId="25" fillId="0" borderId="68" xfId="31" applyFont="1" applyBorder="1" applyAlignment="1">
      <alignment horizontal="right"/>
    </xf>
    <xf numFmtId="44" fontId="25" fillId="0" borderId="62" xfId="31" applyFont="1" applyBorder="1" applyAlignment="1">
      <alignment horizontal="right"/>
    </xf>
    <xf numFmtId="44" fontId="25" fillId="0" borderId="41" xfId="31" applyFont="1" applyFill="1" applyBorder="1" applyAlignment="1">
      <alignment horizontal="center"/>
    </xf>
    <xf numFmtId="0" fontId="116" fillId="0" borderId="0" xfId="0" applyFont="1"/>
    <xf numFmtId="0" fontId="117" fillId="0" borderId="0" xfId="0" applyFont="1"/>
    <xf numFmtId="8" fontId="5" fillId="0" borderId="1" xfId="31" applyNumberFormat="1" applyFont="1" applyFill="1" applyBorder="1" applyAlignment="1">
      <alignment horizontal="right"/>
    </xf>
    <xf numFmtId="44" fontId="114" fillId="0" borderId="8" xfId="31" applyFont="1" applyFill="1" applyBorder="1" applyAlignment="1">
      <alignment horizontal="right"/>
    </xf>
    <xf numFmtId="44" fontId="114" fillId="0" borderId="8" xfId="31" applyFont="1" applyBorder="1" applyAlignment="1">
      <alignment horizontal="right"/>
    </xf>
    <xf numFmtId="8" fontId="5" fillId="0" borderId="65" xfId="0" applyNumberFormat="1" applyFont="1" applyBorder="1"/>
    <xf numFmtId="44" fontId="5" fillId="0" borderId="1" xfId="28" applyNumberFormat="1" applyFont="1" applyBorder="1"/>
    <xf numFmtId="8" fontId="4" fillId="0" borderId="65" xfId="0" applyNumberFormat="1" applyFont="1" applyBorder="1"/>
    <xf numFmtId="44" fontId="4" fillId="44" borderId="1" xfId="31" applyFont="1" applyFill="1" applyBorder="1" applyAlignment="1">
      <alignment horizontal="center" vertical="center"/>
    </xf>
    <xf numFmtId="44" fontId="4" fillId="44" borderId="33" xfId="31" applyFont="1" applyFill="1" applyBorder="1" applyAlignment="1">
      <alignment horizontal="right"/>
    </xf>
    <xf numFmtId="44" fontId="5" fillId="0" borderId="74" xfId="0" applyNumberFormat="1" applyFont="1" applyBorder="1"/>
    <xf numFmtId="44" fontId="5" fillId="0" borderId="0" xfId="31" applyFont="1"/>
    <xf numFmtId="8" fontId="118" fillId="0" borderId="0" xfId="0" applyNumberFormat="1" applyFont="1"/>
    <xf numFmtId="0" fontId="118" fillId="0" borderId="0" xfId="0" applyFont="1"/>
    <xf numFmtId="170" fontId="44" fillId="0" borderId="12" xfId="0" applyNumberFormat="1" applyFont="1" applyBorder="1"/>
    <xf numFmtId="170" fontId="53" fillId="44" borderId="0" xfId="0" applyNumberFormat="1" applyFont="1" applyFill="1"/>
    <xf numFmtId="171" fontId="57" fillId="44" borderId="2" xfId="0" applyNumberFormat="1" applyFont="1" applyFill="1" applyBorder="1" applyAlignment="1">
      <alignment horizontal="right"/>
    </xf>
    <xf numFmtId="170" fontId="57" fillId="44" borderId="2" xfId="0" applyNumberFormat="1" applyFont="1" applyFill="1" applyBorder="1" applyAlignment="1">
      <alignment horizontal="right"/>
    </xf>
    <xf numFmtId="0" fontId="49" fillId="0" borderId="0" xfId="0" applyFont="1" applyAlignment="1">
      <alignment horizontal="center"/>
    </xf>
    <xf numFmtId="44" fontId="42" fillId="0" borderId="0" xfId="0" applyNumberFormat="1" applyFont="1" applyAlignment="1">
      <alignment horizontal="center"/>
    </xf>
    <xf numFmtId="0" fontId="57" fillId="0" borderId="0" xfId="0" applyFont="1" applyAlignment="1">
      <alignment horizontal="center"/>
    </xf>
    <xf numFmtId="44" fontId="53" fillId="44" borderId="2" xfId="0" applyNumberFormat="1" applyFont="1" applyFill="1" applyBorder="1" applyAlignment="1">
      <alignment horizontal="center"/>
    </xf>
    <xf numFmtId="0" fontId="38" fillId="0" borderId="1" xfId="0" applyFont="1" applyBorder="1" applyAlignment="1">
      <alignment horizontal="center"/>
    </xf>
    <xf numFmtId="40" fontId="49" fillId="0" borderId="0" xfId="0" applyNumberFormat="1" applyFont="1"/>
    <xf numFmtId="0" fontId="49" fillId="0" borderId="52" xfId="0" applyFont="1" applyBorder="1"/>
    <xf numFmtId="0" fontId="60" fillId="0" borderId="0" xfId="0" applyFont="1" applyAlignment="1">
      <alignment horizontal="left" vertical="center"/>
    </xf>
    <xf numFmtId="44" fontId="61" fillId="0" borderId="0" xfId="0" applyNumberFormat="1" applyFont="1" applyAlignment="1">
      <alignment horizontal="center" vertical="center"/>
    </xf>
    <xf numFmtId="0" fontId="61" fillId="0" borderId="0" xfId="0" applyFont="1" applyAlignment="1">
      <alignment vertical="center"/>
    </xf>
    <xf numFmtId="0" fontId="49" fillId="0" borderId="0" xfId="0" applyFont="1" applyAlignment="1">
      <alignment horizontal="left" vertical="center"/>
    </xf>
    <xf numFmtId="44" fontId="60" fillId="0" borderId="0" xfId="31" applyFont="1" applyFill="1" applyBorder="1" applyAlignment="1">
      <alignment horizontal="right" vertical="center"/>
    </xf>
    <xf numFmtId="44" fontId="60" fillId="44" borderId="41" xfId="31" applyFont="1" applyFill="1" applyBorder="1" applyAlignment="1">
      <alignment horizontal="right" vertical="center"/>
    </xf>
    <xf numFmtId="0" fontId="49" fillId="0" borderId="57" xfId="0" applyFont="1" applyBorder="1"/>
    <xf numFmtId="0" fontId="49" fillId="0" borderId="13" xfId="0" applyFont="1" applyBorder="1"/>
    <xf numFmtId="0" fontId="38" fillId="0" borderId="77" xfId="0" applyFont="1" applyBorder="1"/>
    <xf numFmtId="0" fontId="6" fillId="0" borderId="79" xfId="0" applyFont="1" applyBorder="1"/>
    <xf numFmtId="167" fontId="38" fillId="6" borderId="50" xfId="0" applyNumberFormat="1" applyFont="1" applyFill="1" applyBorder="1" applyAlignment="1">
      <alignment horizontal="right"/>
    </xf>
    <xf numFmtId="0" fontId="49" fillId="6" borderId="0" xfId="0" applyFont="1" applyFill="1"/>
    <xf numFmtId="10" fontId="49" fillId="0" borderId="3" xfId="0" applyNumberFormat="1" applyFont="1" applyBorder="1" applyAlignment="1">
      <alignment horizontal="center" wrapText="1"/>
    </xf>
    <xf numFmtId="0" fontId="42" fillId="0" borderId="54" xfId="0" applyFont="1" applyBorder="1"/>
    <xf numFmtId="166" fontId="4" fillId="44" borderId="12" xfId="28" applyNumberFormat="1" applyFont="1" applyFill="1" applyBorder="1"/>
    <xf numFmtId="166" fontId="4" fillId="44" borderId="54" xfId="28" applyNumberFormat="1" applyFont="1" applyFill="1" applyBorder="1"/>
    <xf numFmtId="0" fontId="4" fillId="44" borderId="54" xfId="0" applyFont="1" applyFill="1" applyBorder="1"/>
    <xf numFmtId="0" fontId="4" fillId="44" borderId="4" xfId="0" applyFont="1" applyFill="1" applyBorder="1"/>
    <xf numFmtId="0" fontId="0" fillId="44" borderId="9" xfId="0" applyFill="1" applyBorder="1" applyAlignment="1">
      <alignment wrapText="1"/>
    </xf>
    <xf numFmtId="10" fontId="4" fillId="44" borderId="12" xfId="0" applyNumberFormat="1" applyFont="1" applyFill="1" applyBorder="1"/>
    <xf numFmtId="10" fontId="4" fillId="44" borderId="54" xfId="0" applyNumberFormat="1" applyFont="1" applyFill="1" applyBorder="1"/>
    <xf numFmtId="1" fontId="4" fillId="44" borderId="54" xfId="0" applyNumberFormat="1" applyFont="1" applyFill="1" applyBorder="1"/>
    <xf numFmtId="166" fontId="4" fillId="44" borderId="4" xfId="28" applyNumberFormat="1" applyFont="1" applyFill="1" applyBorder="1"/>
    <xf numFmtId="10" fontId="0" fillId="44" borderId="61" xfId="0" applyNumberFormat="1" applyFill="1" applyBorder="1"/>
    <xf numFmtId="0" fontId="0" fillId="44" borderId="61" xfId="0" applyFill="1" applyBorder="1"/>
    <xf numFmtId="166" fontId="0" fillId="44" borderId="60" xfId="28" applyNumberFormat="1" applyFont="1" applyFill="1" applyBorder="1"/>
    <xf numFmtId="0" fontId="5" fillId="44" borderId="13" xfId="0" applyFont="1" applyFill="1" applyBorder="1" applyAlignment="1">
      <alignment wrapText="1"/>
    </xf>
    <xf numFmtId="0" fontId="5" fillId="44" borderId="57" xfId="0" applyFont="1" applyFill="1" applyBorder="1" applyAlignment="1">
      <alignment wrapText="1"/>
    </xf>
    <xf numFmtId="0" fontId="0" fillId="44" borderId="5" xfId="0" applyFill="1" applyBorder="1" applyAlignment="1">
      <alignment wrapText="1"/>
    </xf>
    <xf numFmtId="0" fontId="29" fillId="49" borderId="65" xfId="0" applyFont="1" applyFill="1" applyBorder="1"/>
    <xf numFmtId="0" fontId="29" fillId="49" borderId="65" xfId="0" applyFont="1" applyFill="1" applyBorder="1" applyAlignment="1">
      <alignment horizontal="right"/>
    </xf>
    <xf numFmtId="0" fontId="29" fillId="49" borderId="66" xfId="0" applyFont="1" applyFill="1" applyBorder="1" applyAlignment="1">
      <alignment horizontal="right"/>
    </xf>
    <xf numFmtId="0" fontId="30" fillId="49" borderId="60" xfId="0" applyFont="1" applyFill="1" applyBorder="1"/>
    <xf numFmtId="166" fontId="0" fillId="49" borderId="0" xfId="28" applyNumberFormat="1" applyFont="1" applyFill="1" applyBorder="1"/>
    <xf numFmtId="166" fontId="0" fillId="49" borderId="61" xfId="28" applyNumberFormat="1" applyFont="1" applyFill="1" applyBorder="1"/>
    <xf numFmtId="0" fontId="0" fillId="49" borderId="60" xfId="0" applyFill="1" applyBorder="1"/>
    <xf numFmtId="166" fontId="25" fillId="0" borderId="0" xfId="28" applyNumberFormat="1" applyFont="1" applyFill="1"/>
    <xf numFmtId="0" fontId="106" fillId="52" borderId="72" xfId="0" applyFont="1" applyFill="1" applyBorder="1" applyAlignment="1">
      <alignment wrapText="1"/>
    </xf>
    <xf numFmtId="0" fontId="0" fillId="0" borderId="112" xfId="0" applyBorder="1" applyAlignment="1">
      <alignment horizontal="left" indent="1"/>
    </xf>
    <xf numFmtId="1" fontId="0" fillId="0" borderId="113" xfId="0" applyNumberFormat="1" applyBorder="1"/>
    <xf numFmtId="1" fontId="0" fillId="0" borderId="114" xfId="0" applyNumberFormat="1" applyBorder="1"/>
    <xf numFmtId="0" fontId="0" fillId="0" borderId="115" xfId="0" applyBorder="1" applyAlignment="1">
      <alignment horizontal="left" indent="1"/>
    </xf>
    <xf numFmtId="1" fontId="0" fillId="0" borderId="116" xfId="0" applyNumberFormat="1" applyBorder="1"/>
    <xf numFmtId="1" fontId="0" fillId="0" borderId="117" xfId="0" applyNumberFormat="1" applyBorder="1"/>
    <xf numFmtId="0" fontId="106" fillId="0" borderId="0" xfId="62" applyFont="1"/>
    <xf numFmtId="0" fontId="0" fillId="0" borderId="118" xfId="0" applyBorder="1" applyAlignment="1">
      <alignment horizontal="left" indent="1"/>
    </xf>
    <xf numFmtId="1" fontId="0" fillId="0" borderId="119" xfId="0" applyNumberFormat="1" applyBorder="1"/>
    <xf numFmtId="1" fontId="0" fillId="0" borderId="120" xfId="0" applyNumberFormat="1" applyBorder="1"/>
    <xf numFmtId="166" fontId="106" fillId="43" borderId="72" xfId="28" applyNumberFormat="1" applyFont="1" applyFill="1" applyBorder="1"/>
    <xf numFmtId="166" fontId="106" fillId="43" borderId="38" xfId="28" applyNumberFormat="1" applyFont="1" applyFill="1" applyBorder="1"/>
    <xf numFmtId="0" fontId="0" fillId="0" borderId="113" xfId="0" applyBorder="1"/>
    <xf numFmtId="0" fontId="0" fillId="0" borderId="114" xfId="0" applyBorder="1"/>
    <xf numFmtId="0" fontId="0" fillId="0" borderId="116" xfId="0" applyBorder="1"/>
    <xf numFmtId="0" fontId="0" fillId="0" borderId="117" xfId="0" applyBorder="1"/>
    <xf numFmtId="0" fontId="0" fillId="0" borderId="119" xfId="0" applyBorder="1"/>
    <xf numFmtId="0" fontId="0" fillId="0" borderId="120" xfId="0" applyBorder="1"/>
    <xf numFmtId="0" fontId="106" fillId="53" borderId="72" xfId="0" applyFont="1" applyFill="1" applyBorder="1"/>
    <xf numFmtId="0" fontId="106" fillId="53" borderId="38" xfId="0" applyFont="1" applyFill="1" applyBorder="1"/>
    <xf numFmtId="0" fontId="106" fillId="52" borderId="11" xfId="0" applyFont="1" applyFill="1" applyBorder="1"/>
    <xf numFmtId="0" fontId="106" fillId="52" borderId="11" xfId="0" applyFont="1" applyFill="1" applyBorder="1" applyAlignment="1">
      <alignment wrapText="1"/>
    </xf>
    <xf numFmtId="166" fontId="106" fillId="43" borderId="11" xfId="28" applyNumberFormat="1" applyFont="1" applyFill="1" applyBorder="1" applyAlignment="1">
      <alignment horizontal="left"/>
    </xf>
    <xf numFmtId="166" fontId="106" fillId="43" borderId="86" xfId="28" applyNumberFormat="1" applyFont="1" applyFill="1" applyBorder="1"/>
    <xf numFmtId="166" fontId="106" fillId="43" borderId="11" xfId="28" applyNumberFormat="1" applyFont="1" applyFill="1" applyBorder="1"/>
    <xf numFmtId="0" fontId="106" fillId="53" borderId="11" xfId="0" applyFont="1" applyFill="1" applyBorder="1" applyAlignment="1">
      <alignment horizontal="left"/>
    </xf>
    <xf numFmtId="0" fontId="106" fillId="53" borderId="11" xfId="0" applyFont="1" applyFill="1" applyBorder="1"/>
    <xf numFmtId="0" fontId="4" fillId="43" borderId="46" xfId="0" applyFont="1" applyFill="1" applyBorder="1" applyAlignment="1">
      <alignment horizontal="center" vertical="center"/>
    </xf>
    <xf numFmtId="0" fontId="120" fillId="0" borderId="0" xfId="0" applyFont="1" applyAlignment="1">
      <alignment horizontal="right"/>
    </xf>
    <xf numFmtId="8" fontId="65" fillId="0" borderId="0" xfId="0" applyNumberFormat="1" applyFont="1" applyAlignment="1">
      <alignment horizontal="center"/>
    </xf>
    <xf numFmtId="42" fontId="65" fillId="0" borderId="0" xfId="0" applyNumberFormat="1" applyFont="1"/>
    <xf numFmtId="42" fontId="53" fillId="48" borderId="2" xfId="0" applyNumberFormat="1" applyFont="1" applyFill="1" applyBorder="1" applyAlignment="1">
      <alignment horizontal="center"/>
    </xf>
    <xf numFmtId="42" fontId="53" fillId="48" borderId="2" xfId="0" applyNumberFormat="1" applyFont="1" applyFill="1" applyBorder="1"/>
    <xf numFmtId="17" fontId="10" fillId="48" borderId="22" xfId="0" applyNumberFormat="1" applyFont="1" applyFill="1" applyBorder="1" applyAlignment="1">
      <alignment horizontal="left"/>
    </xf>
    <xf numFmtId="49" fontId="8" fillId="48" borderId="12" xfId="0" applyNumberFormat="1" applyFont="1" applyFill="1" applyBorder="1" applyAlignment="1">
      <alignment horizontal="center"/>
    </xf>
    <xf numFmtId="3" fontId="8" fillId="48" borderId="3" xfId="0" applyNumberFormat="1" applyFont="1" applyFill="1" applyBorder="1" applyAlignment="1">
      <alignment horizontal="center"/>
    </xf>
    <xf numFmtId="3" fontId="16" fillId="48" borderId="29" xfId="0" applyNumberFormat="1" applyFont="1" applyFill="1" applyBorder="1" applyAlignment="1">
      <alignment horizontal="center"/>
    </xf>
    <xf numFmtId="3" fontId="15" fillId="48" borderId="37" xfId="0" applyNumberFormat="1" applyFont="1" applyFill="1" applyBorder="1" applyAlignment="1">
      <alignment horizontal="center"/>
    </xf>
    <xf numFmtId="3" fontId="10" fillId="48" borderId="3" xfId="0" applyNumberFormat="1" applyFont="1" applyFill="1" applyBorder="1" applyAlignment="1">
      <alignment horizontal="center"/>
    </xf>
    <xf numFmtId="3" fontId="10" fillId="48" borderId="4" xfId="0" applyNumberFormat="1" applyFont="1" applyFill="1" applyBorder="1" applyAlignment="1">
      <alignment horizontal="center"/>
    </xf>
    <xf numFmtId="3" fontId="15" fillId="48" borderId="29" xfId="0" applyNumberFormat="1" applyFont="1" applyFill="1" applyBorder="1" applyAlignment="1">
      <alignment horizontal="center"/>
    </xf>
    <xf numFmtId="3" fontId="10" fillId="48" borderId="29" xfId="0" applyNumberFormat="1" applyFont="1" applyFill="1" applyBorder="1" applyAlignment="1">
      <alignment horizontal="center"/>
    </xf>
    <xf numFmtId="3" fontId="11" fillId="48" borderId="29" xfId="0" applyNumberFormat="1" applyFont="1" applyFill="1" applyBorder="1" applyAlignment="1">
      <alignment horizontal="center"/>
    </xf>
    <xf numFmtId="0" fontId="80" fillId="48" borderId="11" xfId="0" applyFont="1" applyFill="1" applyBorder="1"/>
    <xf numFmtId="3" fontId="39" fillId="48" borderId="1" xfId="0" applyNumberFormat="1" applyFont="1" applyFill="1" applyBorder="1" applyAlignment="1">
      <alignment horizontal="center"/>
    </xf>
    <xf numFmtId="0" fontId="5" fillId="0" borderId="0" xfId="44"/>
    <xf numFmtId="0" fontId="4" fillId="0" borderId="0" xfId="44" applyFont="1"/>
    <xf numFmtId="0" fontId="71" fillId="0" borderId="0" xfId="44" applyFont="1" applyAlignment="1">
      <alignment horizontal="center"/>
    </xf>
    <xf numFmtId="0" fontId="5" fillId="0" borderId="0" xfId="44" applyAlignment="1">
      <alignment horizontal="center"/>
    </xf>
    <xf numFmtId="0" fontId="4" fillId="0" borderId="0" xfId="44" applyFont="1" applyAlignment="1">
      <alignment horizontal="center"/>
    </xf>
    <xf numFmtId="0" fontId="5" fillId="0" borderId="1" xfId="44" applyBorder="1" applyAlignment="1">
      <alignment horizontal="center"/>
    </xf>
    <xf numFmtId="0" fontId="4" fillId="0" borderId="1" xfId="44" applyFont="1" applyBorder="1" applyAlignment="1">
      <alignment horizontal="center"/>
    </xf>
    <xf numFmtId="0" fontId="4" fillId="51" borderId="1" xfId="44" applyFont="1" applyFill="1" applyBorder="1" applyAlignment="1">
      <alignment horizontal="center"/>
    </xf>
    <xf numFmtId="0" fontId="4" fillId="51" borderId="0" xfId="44" applyFont="1" applyFill="1" applyAlignment="1">
      <alignment horizontal="center"/>
    </xf>
    <xf numFmtId="0" fontId="4" fillId="3" borderId="1" xfId="44" applyFont="1" applyFill="1" applyBorder="1" applyAlignment="1">
      <alignment horizontal="center"/>
    </xf>
    <xf numFmtId="0" fontId="5" fillId="8" borderId="1" xfId="44" applyFill="1" applyBorder="1" applyAlignment="1">
      <alignment horizontal="center"/>
    </xf>
    <xf numFmtId="0" fontId="5" fillId="50" borderId="1" xfId="44" applyFill="1" applyBorder="1" applyAlignment="1">
      <alignment horizontal="center"/>
    </xf>
    <xf numFmtId="0" fontId="5" fillId="0" borderId="0" xfId="44" applyAlignment="1">
      <alignment horizontal="right"/>
    </xf>
    <xf numFmtId="2" fontId="5" fillId="0" borderId="1" xfId="44" applyNumberFormat="1" applyBorder="1" applyAlignment="1">
      <alignment horizontal="center"/>
    </xf>
    <xf numFmtId="0" fontId="5" fillId="0" borderId="1" xfId="44" applyBorder="1" applyAlignment="1">
      <alignment horizontal="center" vertical="center"/>
    </xf>
    <xf numFmtId="3" fontId="4" fillId="51" borderId="0" xfId="44" applyNumberFormat="1" applyFont="1" applyFill="1" applyAlignment="1">
      <alignment horizontal="center"/>
    </xf>
    <xf numFmtId="4" fontId="4" fillId="3" borderId="0" xfId="44" applyNumberFormat="1" applyFont="1" applyFill="1" applyAlignment="1">
      <alignment horizontal="center"/>
    </xf>
    <xf numFmtId="0" fontId="4" fillId="54" borderId="0" xfId="44" applyFont="1" applyFill="1" applyAlignment="1">
      <alignment horizontal="center"/>
    </xf>
    <xf numFmtId="0" fontId="5" fillId="50" borderId="0" xfId="44" applyFill="1"/>
    <xf numFmtId="17" fontId="43" fillId="0" borderId="121" xfId="0" applyNumberFormat="1" applyFont="1" applyBorder="1" applyAlignment="1">
      <alignment horizontal="center" vertical="center"/>
    </xf>
    <xf numFmtId="3" fontId="43" fillId="44" borderId="39" xfId="0" applyNumberFormat="1" applyFont="1" applyFill="1" applyBorder="1" applyAlignment="1">
      <alignment horizontal="center"/>
    </xf>
    <xf numFmtId="3" fontId="44" fillId="0" borderId="30" xfId="0" applyNumberFormat="1" applyFont="1" applyBorder="1" applyAlignment="1">
      <alignment horizontal="center"/>
    </xf>
    <xf numFmtId="41" fontId="44" fillId="0" borderId="33" xfId="0" applyNumberFormat="1" applyFont="1" applyBorder="1" applyAlignment="1">
      <alignment horizontal="center"/>
    </xf>
    <xf numFmtId="1" fontId="44" fillId="0" borderId="15" xfId="0" applyNumberFormat="1" applyFont="1" applyBorder="1" applyAlignment="1">
      <alignment horizontal="center"/>
    </xf>
    <xf numFmtId="1" fontId="44" fillId="0" borderId="122" xfId="0" applyNumberFormat="1" applyFont="1" applyBorder="1" applyAlignment="1">
      <alignment horizontal="center"/>
    </xf>
    <xf numFmtId="3" fontId="44" fillId="0" borderId="35" xfId="0" applyNumberFormat="1" applyFont="1" applyBorder="1" applyAlignment="1">
      <alignment horizontal="center"/>
    </xf>
    <xf numFmtId="3" fontId="60" fillId="48" borderId="0" xfId="0" applyNumberFormat="1" applyFont="1" applyFill="1" applyAlignment="1">
      <alignment horizontal="center" vertical="center"/>
    </xf>
    <xf numFmtId="166" fontId="43" fillId="0" borderId="58" xfId="28" applyNumberFormat="1" applyFont="1" applyBorder="1" applyAlignment="1">
      <alignment horizontal="center"/>
    </xf>
    <xf numFmtId="0" fontId="43" fillId="48" borderId="2" xfId="0" applyFont="1" applyFill="1" applyBorder="1" applyAlignment="1">
      <alignment horizontal="center" vertical="center" wrapText="1"/>
    </xf>
    <xf numFmtId="44" fontId="44" fillId="48" borderId="5" xfId="0" applyNumberFormat="1" applyFont="1" applyFill="1" applyBorder="1" applyAlignment="1">
      <alignment horizontal="center"/>
    </xf>
    <xf numFmtId="44" fontId="43" fillId="48" borderId="41" xfId="0" applyNumberFormat="1" applyFont="1" applyFill="1" applyBorder="1" applyAlignment="1">
      <alignment horizontal="center"/>
    </xf>
    <xf numFmtId="166" fontId="106" fillId="43" borderId="11" xfId="0" applyNumberFormat="1" applyFont="1" applyFill="1" applyBorder="1" applyAlignment="1">
      <alignment horizontal="center"/>
    </xf>
    <xf numFmtId="43" fontId="0" fillId="0" borderId="0" xfId="28" applyFont="1"/>
    <xf numFmtId="0" fontId="2" fillId="0" borderId="0" xfId="79"/>
    <xf numFmtId="0" fontId="106" fillId="0" borderId="124" xfId="79" applyFont="1" applyBorder="1" applyAlignment="1">
      <alignment horizontal="center" vertical="top" wrapText="1"/>
    </xf>
    <xf numFmtId="0" fontId="106" fillId="0" borderId="126" xfId="79" applyFont="1" applyBorder="1" applyAlignment="1">
      <alignment horizontal="center" vertical="top" wrapText="1"/>
    </xf>
    <xf numFmtId="0" fontId="2" fillId="0" borderId="127" xfId="79" applyBorder="1" applyAlignment="1">
      <alignment vertical="top" wrapText="1"/>
    </xf>
    <xf numFmtId="1" fontId="2" fillId="0" borderId="123" xfId="79" applyNumberFormat="1" applyBorder="1" applyAlignment="1">
      <alignment vertical="top" wrapText="1"/>
    </xf>
    <xf numFmtId="1" fontId="2" fillId="0" borderId="128" xfId="79" applyNumberFormat="1" applyBorder="1" applyAlignment="1">
      <alignment vertical="top" wrapText="1"/>
    </xf>
    <xf numFmtId="0" fontId="106" fillId="0" borderId="125" xfId="79" applyFont="1" applyBorder="1" applyAlignment="1">
      <alignment horizontal="left" vertical="top" wrapText="1"/>
    </xf>
    <xf numFmtId="0" fontId="2" fillId="0" borderId="129" xfId="79" applyBorder="1" applyAlignment="1">
      <alignment vertical="top" wrapText="1"/>
    </xf>
    <xf numFmtId="1" fontId="2" fillId="0" borderId="130" xfId="79" applyNumberFormat="1" applyBorder="1" applyAlignment="1">
      <alignment vertical="top" wrapText="1"/>
    </xf>
    <xf numFmtId="1" fontId="2" fillId="0" borderId="131" xfId="79" applyNumberFormat="1" applyBorder="1" applyAlignment="1">
      <alignment vertical="top" wrapText="1"/>
    </xf>
    <xf numFmtId="0" fontId="2" fillId="0" borderId="132" xfId="79" applyBorder="1" applyAlignment="1">
      <alignment vertical="top" wrapText="1"/>
    </xf>
    <xf numFmtId="1" fontId="2" fillId="0" borderId="133" xfId="79" applyNumberFormat="1" applyBorder="1" applyAlignment="1">
      <alignment vertical="top" wrapText="1"/>
    </xf>
    <xf numFmtId="1" fontId="2" fillId="0" borderId="134" xfId="79" applyNumberFormat="1" applyBorder="1" applyAlignment="1">
      <alignment vertical="top" wrapText="1"/>
    </xf>
    <xf numFmtId="166" fontId="106" fillId="48" borderId="135" xfId="94" applyNumberFormat="1" applyFont="1" applyFill="1" applyBorder="1" applyAlignment="1">
      <alignment vertical="top" wrapText="1"/>
    </xf>
    <xf numFmtId="166" fontId="106" fillId="48" borderId="136" xfId="94" applyNumberFormat="1" applyFont="1" applyFill="1" applyBorder="1" applyAlignment="1">
      <alignment vertical="top" wrapText="1"/>
    </xf>
    <xf numFmtId="166" fontId="106" fillId="48" borderId="137" xfId="94" applyNumberFormat="1" applyFont="1" applyFill="1" applyBorder="1" applyAlignment="1">
      <alignment vertical="top" wrapText="1"/>
    </xf>
    <xf numFmtId="166" fontId="106" fillId="48" borderId="1" xfId="94" applyNumberFormat="1" applyFont="1" applyFill="1" applyBorder="1" applyAlignment="1">
      <alignment vertical="top" wrapText="1"/>
    </xf>
    <xf numFmtId="44" fontId="53" fillId="44" borderId="58" xfId="0" applyNumberFormat="1" applyFont="1" applyFill="1" applyBorder="1" applyAlignment="1">
      <alignment horizontal="right"/>
    </xf>
    <xf numFmtId="44" fontId="4" fillId="0" borderId="3" xfId="31" applyFont="1" applyBorder="1" applyAlignment="1">
      <alignment horizontal="right"/>
    </xf>
    <xf numFmtId="0" fontId="6" fillId="0" borderId="1" xfId="0" applyFont="1" applyBorder="1"/>
    <xf numFmtId="43" fontId="4" fillId="0" borderId="0" xfId="28" applyFont="1"/>
    <xf numFmtId="44" fontId="43" fillId="48" borderId="36" xfId="31" applyFont="1" applyFill="1" applyBorder="1"/>
    <xf numFmtId="44" fontId="57" fillId="48" borderId="87" xfId="31" applyFont="1" applyFill="1" applyBorder="1" applyAlignment="1">
      <alignment horizontal="right"/>
    </xf>
    <xf numFmtId="44" fontId="57" fillId="48" borderId="2" xfId="0" applyNumberFormat="1" applyFont="1" applyFill="1" applyBorder="1"/>
    <xf numFmtId="38" fontId="57" fillId="48" borderId="2" xfId="0" applyNumberFormat="1" applyFont="1" applyFill="1" applyBorder="1"/>
    <xf numFmtId="44" fontId="57" fillId="48" borderId="2" xfId="31" applyFont="1" applyFill="1" applyBorder="1"/>
    <xf numFmtId="44" fontId="57" fillId="48" borderId="46" xfId="31" applyFont="1" applyFill="1" applyBorder="1" applyAlignment="1">
      <alignment horizontal="right"/>
    </xf>
    <xf numFmtId="44" fontId="57" fillId="48" borderId="2" xfId="31" applyFont="1" applyFill="1" applyBorder="1" applyAlignment="1">
      <alignment horizontal="right"/>
    </xf>
    <xf numFmtId="4" fontId="5" fillId="0" borderId="12" xfId="95" applyNumberFormat="1" applyBorder="1"/>
    <xf numFmtId="4" fontId="5" fillId="0" borderId="13" xfId="95" applyNumberFormat="1" applyBorder="1"/>
    <xf numFmtId="44" fontId="5" fillId="0" borderId="13" xfId="95" applyNumberFormat="1" applyBorder="1"/>
    <xf numFmtId="4" fontId="5" fillId="0" borderId="46" xfId="95" applyNumberFormat="1" applyBorder="1"/>
    <xf numFmtId="3" fontId="5" fillId="0" borderId="1" xfId="95" applyNumberFormat="1" applyBorder="1"/>
    <xf numFmtId="3" fontId="5" fillId="0" borderId="2" xfId="95" applyNumberFormat="1" applyBorder="1"/>
    <xf numFmtId="3" fontId="42" fillId="0" borderId="47" xfId="95" applyNumberFormat="1" applyFont="1" applyBorder="1" applyAlignment="1">
      <alignment horizontal="right"/>
    </xf>
    <xf numFmtId="3" fontId="42" fillId="0" borderId="3" xfId="95" applyNumberFormat="1" applyFont="1" applyBorder="1" applyAlignment="1">
      <alignment horizontal="right"/>
    </xf>
    <xf numFmtId="0" fontId="29" fillId="2" borderId="0" xfId="0" applyFont="1" applyFill="1"/>
    <xf numFmtId="0" fontId="29" fillId="2" borderId="0" xfId="0" applyFont="1" applyFill="1" applyAlignment="1">
      <alignment horizontal="right"/>
    </xf>
    <xf numFmtId="0" fontId="5" fillId="2" borderId="0" xfId="0" applyFont="1" applyFill="1" applyAlignment="1">
      <alignment wrapText="1"/>
    </xf>
    <xf numFmtId="0" fontId="30" fillId="2" borderId="0" xfId="0" applyFont="1" applyFill="1"/>
    <xf numFmtId="0" fontId="0" fillId="2" borderId="0" xfId="0" applyFill="1"/>
    <xf numFmtId="1" fontId="0" fillId="2" borderId="0" xfId="0" applyNumberFormat="1" applyFill="1"/>
    <xf numFmtId="10" fontId="0" fillId="2" borderId="0" xfId="0" applyNumberFormat="1" applyFill="1"/>
    <xf numFmtId="0" fontId="0" fillId="55" borderId="0" xfId="0" applyFill="1"/>
    <xf numFmtId="166" fontId="44" fillId="0" borderId="1" xfId="28" applyNumberFormat="1" applyFont="1" applyBorder="1" applyAlignment="1">
      <alignment horizontal="center"/>
    </xf>
    <xf numFmtId="44" fontId="43" fillId="0" borderId="138" xfId="31" applyFont="1" applyBorder="1"/>
    <xf numFmtId="41" fontId="44" fillId="0" borderId="0" xfId="0" applyNumberFormat="1" applyFont="1"/>
    <xf numFmtId="43" fontId="44" fillId="0" borderId="0" xfId="0" applyNumberFormat="1" applyFont="1"/>
    <xf numFmtId="3" fontId="10" fillId="54" borderId="29" xfId="0" applyNumberFormat="1" applyFont="1" applyFill="1" applyBorder="1" applyAlignment="1">
      <alignment horizontal="center"/>
    </xf>
    <xf numFmtId="3" fontId="11" fillId="54" borderId="29" xfId="0" applyNumberFormat="1" applyFont="1" applyFill="1" applyBorder="1" applyAlignment="1">
      <alignment horizontal="center"/>
    </xf>
    <xf numFmtId="1" fontId="8" fillId="45" borderId="1" xfId="0" applyNumberFormat="1" applyFont="1" applyFill="1" applyBorder="1" applyAlignment="1">
      <alignment horizontal="center"/>
    </xf>
    <xf numFmtId="1" fontId="10" fillId="45" borderId="1" xfId="0" applyNumberFormat="1" applyFont="1" applyFill="1" applyBorder="1" applyAlignment="1">
      <alignment horizontal="center"/>
    </xf>
    <xf numFmtId="3" fontId="16" fillId="45" borderId="29" xfId="0" applyNumberFormat="1" applyFont="1" applyFill="1" applyBorder="1" applyAlignment="1">
      <alignment horizontal="center"/>
    </xf>
    <xf numFmtId="1" fontId="10" fillId="45" borderId="5" xfId="0" applyNumberFormat="1" applyFont="1" applyFill="1" applyBorder="1" applyAlignment="1">
      <alignment horizontal="center"/>
    </xf>
    <xf numFmtId="3" fontId="15" fillId="45" borderId="29" xfId="0" applyNumberFormat="1" applyFont="1" applyFill="1" applyBorder="1" applyAlignment="1">
      <alignment horizontal="center"/>
    </xf>
    <xf numFmtId="38" fontId="42" fillId="0" borderId="0" xfId="0" applyNumberFormat="1" applyFont="1"/>
    <xf numFmtId="0" fontId="53" fillId="0" borderId="74" xfId="0" applyFont="1" applyBorder="1" applyAlignment="1">
      <alignment horizontal="center" vertical="center"/>
    </xf>
    <xf numFmtId="0" fontId="53" fillId="0" borderId="16" xfId="0" applyFont="1" applyBorder="1" applyAlignment="1">
      <alignment horizontal="center" vertical="top"/>
    </xf>
    <xf numFmtId="0" fontId="43" fillId="0" borderId="86" xfId="0" applyFont="1" applyBorder="1" applyAlignment="1">
      <alignment horizontal="center"/>
    </xf>
    <xf numFmtId="0" fontId="43" fillId="0" borderId="72" xfId="0" applyFont="1" applyBorder="1" applyAlignment="1">
      <alignment horizontal="center"/>
    </xf>
    <xf numFmtId="0" fontId="43" fillId="0" borderId="38" xfId="0" applyFont="1" applyBorder="1" applyAlignment="1">
      <alignment horizontal="center"/>
    </xf>
    <xf numFmtId="0" fontId="47" fillId="0" borderId="50" xfId="0" applyFont="1" applyBorder="1" applyAlignment="1">
      <alignment horizontal="left" wrapText="1"/>
    </xf>
    <xf numFmtId="0" fontId="43" fillId="0" borderId="86" xfId="0" applyFont="1" applyBorder="1" applyAlignment="1">
      <alignment horizontal="center" vertical="center"/>
    </xf>
    <xf numFmtId="0" fontId="43" fillId="0" borderId="72" xfId="0" applyFont="1" applyBorder="1" applyAlignment="1">
      <alignment horizontal="center" vertical="center"/>
    </xf>
    <xf numFmtId="0" fontId="43" fillId="0" borderId="38" xfId="0" applyFont="1" applyBorder="1" applyAlignment="1">
      <alignment horizontal="center" vertical="center"/>
    </xf>
    <xf numFmtId="0" fontId="53" fillId="0" borderId="0" xfId="0" applyFont="1" applyAlignment="1">
      <alignment horizontal="center"/>
    </xf>
    <xf numFmtId="0" fontId="53" fillId="0" borderId="74" xfId="0" applyFont="1" applyBorder="1" applyAlignment="1">
      <alignment horizontal="center" vertical="top"/>
    </xf>
    <xf numFmtId="0" fontId="56" fillId="0" borderId="74" xfId="0" applyFont="1" applyBorder="1" applyAlignment="1">
      <alignment horizontal="center" vertical="center"/>
    </xf>
    <xf numFmtId="8" fontId="56" fillId="0" borderId="73" xfId="0" applyNumberFormat="1" applyFont="1" applyBorder="1" applyAlignment="1">
      <alignment horizontal="center"/>
    </xf>
    <xf numFmtId="8" fontId="56" fillId="0" borderId="68" xfId="0" applyNumberFormat="1" applyFont="1" applyBorder="1" applyAlignment="1">
      <alignment horizontal="center"/>
    </xf>
    <xf numFmtId="0" fontId="5" fillId="0" borderId="40" xfId="0" applyFont="1" applyBorder="1" applyAlignment="1">
      <alignment horizontal="center" vertical="center" wrapText="1"/>
    </xf>
    <xf numFmtId="0" fontId="5" fillId="0" borderId="46" xfId="0" applyFont="1" applyBorder="1" applyAlignment="1">
      <alignment horizontal="center" vertical="center" wrapText="1"/>
    </xf>
    <xf numFmtId="44" fontId="5" fillId="0" borderId="40" xfId="31" applyFont="1" applyBorder="1" applyAlignment="1">
      <alignment horizontal="center" vertical="center" wrapText="1"/>
    </xf>
    <xf numFmtId="44" fontId="5" fillId="0" borderId="46" xfId="31" applyFont="1" applyBorder="1" applyAlignment="1">
      <alignment horizontal="center" vertical="center" wrapText="1"/>
    </xf>
    <xf numFmtId="0" fontId="5" fillId="0" borderId="74" xfId="0" applyFont="1" applyBorder="1" applyAlignment="1">
      <alignment horizontal="center" vertical="center"/>
    </xf>
    <xf numFmtId="0" fontId="4" fillId="0" borderId="74" xfId="0" applyFont="1" applyBorder="1" applyAlignment="1">
      <alignment horizontal="center" vertical="center"/>
    </xf>
    <xf numFmtId="44" fontId="25" fillId="0" borderId="40" xfId="31" applyFont="1" applyBorder="1" applyAlignment="1">
      <alignment horizontal="center" vertical="center" wrapText="1"/>
    </xf>
    <xf numFmtId="44" fontId="25" fillId="0" borderId="46" xfId="31" applyFont="1" applyBorder="1" applyAlignment="1">
      <alignment horizontal="center" vertical="center" wrapText="1"/>
    </xf>
    <xf numFmtId="0" fontId="5" fillId="0" borderId="90" xfId="0" applyFont="1" applyBorder="1" applyAlignment="1">
      <alignment horizontal="left"/>
    </xf>
    <xf numFmtId="0" fontId="5" fillId="0" borderId="91" xfId="0" applyFont="1" applyBorder="1" applyAlignment="1">
      <alignment horizontal="left"/>
    </xf>
    <xf numFmtId="0" fontId="5" fillId="0" borderId="88" xfId="0" applyFont="1" applyBorder="1" applyAlignment="1">
      <alignment horizontal="left" vertical="center" wrapText="1"/>
    </xf>
    <xf numFmtId="0" fontId="5" fillId="0" borderId="89" xfId="0" applyFont="1" applyBorder="1" applyAlignment="1">
      <alignment horizontal="left" vertical="center" wrapText="1"/>
    </xf>
    <xf numFmtId="0" fontId="5" fillId="0" borderId="63" xfId="0" applyFont="1" applyBorder="1" applyAlignment="1">
      <alignment horizontal="left" vertical="center" wrapText="1"/>
    </xf>
    <xf numFmtId="0" fontId="5" fillId="0" borderId="19"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6" xfId="0" applyFont="1" applyBorder="1" applyAlignment="1">
      <alignment horizontal="center" vertical="center" wrapText="1"/>
    </xf>
    <xf numFmtId="0" fontId="5" fillId="0" borderId="88" xfId="0" applyFont="1" applyBorder="1" applyAlignment="1">
      <alignment horizontal="left" wrapText="1"/>
    </xf>
    <xf numFmtId="0" fontId="5" fillId="0" borderId="89" xfId="0" applyFont="1" applyBorder="1" applyAlignment="1">
      <alignment horizontal="left" wrapText="1"/>
    </xf>
    <xf numFmtId="0" fontId="5" fillId="0" borderId="5" xfId="0" applyFont="1" applyBorder="1" applyAlignment="1">
      <alignment horizontal="left"/>
    </xf>
    <xf numFmtId="0" fontId="5" fillId="0" borderId="13" xfId="0" applyFont="1" applyBorder="1" applyAlignment="1">
      <alignment horizontal="left"/>
    </xf>
    <xf numFmtId="0" fontId="5" fillId="0" borderId="34" xfId="0" applyFont="1" applyBorder="1" applyAlignment="1">
      <alignment horizontal="left"/>
    </xf>
    <xf numFmtId="0" fontId="5" fillId="0" borderId="15"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60" fillId="0" borderId="16" xfId="0" applyFont="1" applyBorder="1" applyAlignment="1">
      <alignment horizontal="center" vertical="center"/>
    </xf>
    <xf numFmtId="0" fontId="43" fillId="0" borderId="0" xfId="0" applyFont="1" applyAlignment="1">
      <alignment horizontal="center"/>
    </xf>
    <xf numFmtId="42" fontId="43" fillId="0" borderId="0" xfId="0" applyNumberFormat="1" applyFont="1" applyAlignment="1">
      <alignment horizontal="center"/>
    </xf>
    <xf numFmtId="0" fontId="43" fillId="0" borderId="74" xfId="0" applyFont="1" applyBorder="1" applyAlignment="1">
      <alignment horizontal="center"/>
    </xf>
    <xf numFmtId="0" fontId="43" fillId="0" borderId="0" xfId="0" applyFont="1" applyAlignment="1">
      <alignment horizontal="center" vertical="center"/>
    </xf>
    <xf numFmtId="0" fontId="46" fillId="0" borderId="74" xfId="0" applyFont="1" applyBorder="1" applyAlignment="1">
      <alignment horizontal="center" vertical="center"/>
    </xf>
    <xf numFmtId="0" fontId="53" fillId="0" borderId="16" xfId="0" applyFont="1" applyBorder="1" applyAlignment="1">
      <alignment horizontal="center" vertical="center"/>
    </xf>
    <xf numFmtId="0" fontId="49" fillId="0" borderId="57" xfId="0" applyFont="1" applyBorder="1" applyAlignment="1">
      <alignment horizontal="left"/>
    </xf>
    <xf numFmtId="0" fontId="49" fillId="0" borderId="13" xfId="0" applyFont="1" applyBorder="1" applyAlignment="1">
      <alignment horizontal="left"/>
    </xf>
    <xf numFmtId="0" fontId="38" fillId="0" borderId="84" xfId="0" applyFont="1" applyBorder="1" applyAlignment="1">
      <alignment horizontal="left"/>
    </xf>
    <xf numFmtId="0" fontId="57" fillId="0" borderId="68" xfId="0" applyFont="1" applyBorder="1" applyAlignment="1">
      <alignment horizontal="left"/>
    </xf>
    <xf numFmtId="0" fontId="64" fillId="0" borderId="6" xfId="0" applyFont="1" applyBorder="1" applyAlignment="1">
      <alignment horizontal="center" vertical="center" wrapText="1"/>
    </xf>
    <xf numFmtId="0" fontId="57" fillId="0" borderId="86" xfId="0" applyFont="1" applyBorder="1" applyAlignment="1">
      <alignment horizontal="center" vertical="center"/>
    </xf>
    <xf numFmtId="0" fontId="57" fillId="0" borderId="72" xfId="0" applyFont="1" applyBorder="1" applyAlignment="1">
      <alignment horizontal="center" vertical="center"/>
    </xf>
    <xf numFmtId="0" fontId="53" fillId="0" borderId="0" xfId="0" applyFont="1" applyAlignment="1">
      <alignment horizontal="center" vertical="center"/>
    </xf>
    <xf numFmtId="0" fontId="42" fillId="0" borderId="5" xfId="0" applyFont="1" applyBorder="1"/>
    <xf numFmtId="0" fontId="42" fillId="0" borderId="13" xfId="0" applyFont="1" applyBorder="1"/>
    <xf numFmtId="0" fontId="50" fillId="0" borderId="20" xfId="0" applyFont="1" applyBorder="1" applyAlignment="1">
      <alignment horizontal="center" vertical="center"/>
    </xf>
    <xf numFmtId="0" fontId="50" fillId="0" borderId="6" xfId="0" applyFont="1" applyBorder="1" applyAlignment="1">
      <alignment horizontal="center" vertical="center"/>
    </xf>
    <xf numFmtId="3" fontId="50" fillId="0" borderId="6" xfId="0" applyNumberFormat="1" applyFont="1" applyBorder="1" applyAlignment="1">
      <alignment horizontal="center" vertical="center"/>
    </xf>
    <xf numFmtId="0" fontId="56" fillId="0" borderId="40" xfId="0" applyFont="1" applyBorder="1" applyAlignment="1">
      <alignment horizontal="center" vertical="center"/>
    </xf>
    <xf numFmtId="0" fontId="56" fillId="0" borderId="46" xfId="0" applyFont="1" applyBorder="1" applyAlignment="1">
      <alignment horizontal="center" vertical="center"/>
    </xf>
    <xf numFmtId="0" fontId="43" fillId="0" borderId="92" xfId="0" applyFont="1" applyBorder="1" applyAlignment="1">
      <alignment horizontal="center" vertical="center"/>
    </xf>
    <xf numFmtId="0" fontId="43" fillId="0" borderId="25" xfId="0" applyFont="1" applyBorder="1" applyAlignment="1">
      <alignment horizontal="center" vertical="center"/>
    </xf>
    <xf numFmtId="0" fontId="43" fillId="0" borderId="26" xfId="0" applyFont="1" applyBorder="1" applyAlignment="1">
      <alignment horizontal="center" vertical="center"/>
    </xf>
    <xf numFmtId="17" fontId="43" fillId="0" borderId="7" xfId="0" applyNumberFormat="1" applyFont="1" applyBorder="1" applyAlignment="1">
      <alignment horizontal="center" vertical="center" wrapText="1"/>
    </xf>
    <xf numFmtId="17" fontId="43" fillId="0" borderId="39" xfId="0" applyNumberFormat="1" applyFont="1" applyBorder="1" applyAlignment="1">
      <alignment horizontal="center" vertical="center" wrapText="1"/>
    </xf>
    <xf numFmtId="0" fontId="43" fillId="0" borderId="7" xfId="0" applyFont="1" applyBorder="1" applyAlignment="1">
      <alignment horizontal="center" vertical="center" wrapText="1"/>
    </xf>
    <xf numFmtId="0" fontId="43" fillId="0" borderId="39" xfId="0" applyFont="1" applyBorder="1" applyAlignment="1">
      <alignment horizontal="center" vertical="center" wrapText="1"/>
    </xf>
    <xf numFmtId="0" fontId="108" fillId="0" borderId="0" xfId="0" applyFont="1" applyAlignment="1">
      <alignment horizontal="center" vertical="top" wrapText="1"/>
    </xf>
    <xf numFmtId="0" fontId="108" fillId="0" borderId="0" xfId="59" applyFont="1" applyAlignment="1">
      <alignment horizontal="center" vertical="top" wrapText="1"/>
    </xf>
    <xf numFmtId="0" fontId="108" fillId="0" borderId="0" xfId="79" applyFont="1" applyAlignment="1">
      <alignment horizontal="center" vertical="top" wrapText="1"/>
    </xf>
    <xf numFmtId="17" fontId="19" fillId="0" borderId="7" xfId="0" applyNumberFormat="1" applyFont="1" applyBorder="1" applyAlignment="1">
      <alignment horizontal="center" wrapText="1"/>
    </xf>
    <xf numFmtId="17" fontId="19" fillId="0" borderId="39"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9" xfId="0" applyNumberFormat="1" applyFont="1" applyBorder="1" applyAlignment="1">
      <alignment horizontal="center" wrapText="1"/>
    </xf>
    <xf numFmtId="0" fontId="14" fillId="0" borderId="7" xfId="0" applyFont="1" applyBorder="1" applyAlignment="1">
      <alignment horizontal="center" wrapText="1"/>
    </xf>
    <xf numFmtId="0" fontId="14" fillId="0" borderId="39"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18" fillId="0" borderId="7" xfId="0" applyNumberFormat="1" applyFont="1" applyBorder="1" applyAlignment="1">
      <alignment horizontal="center" wrapText="1"/>
    </xf>
    <xf numFmtId="17" fontId="18" fillId="0" borderId="39" xfId="0" applyNumberFormat="1" applyFont="1" applyBorder="1" applyAlignment="1">
      <alignment horizontal="center" wrapText="1"/>
    </xf>
    <xf numFmtId="17" fontId="89" fillId="0" borderId="7" xfId="0" applyNumberFormat="1" applyFont="1" applyBorder="1" applyAlignment="1">
      <alignment horizontal="center" wrapText="1"/>
    </xf>
    <xf numFmtId="17" fontId="89" fillId="0" borderId="39" xfId="0" applyNumberFormat="1" applyFont="1" applyBorder="1" applyAlignment="1">
      <alignment horizontal="center" wrapText="1"/>
    </xf>
    <xf numFmtId="17" fontId="22" fillId="0" borderId="7" xfId="0" applyNumberFormat="1" applyFont="1" applyBorder="1" applyAlignment="1">
      <alignment horizontal="center" wrapText="1"/>
    </xf>
    <xf numFmtId="17" fontId="22" fillId="0" borderId="39" xfId="0" applyNumberFormat="1" applyFont="1" applyBorder="1" applyAlignment="1">
      <alignment horizontal="center" wrapText="1"/>
    </xf>
    <xf numFmtId="0" fontId="22" fillId="0" borderId="7" xfId="0" applyFont="1" applyBorder="1" applyAlignment="1">
      <alignment horizontal="center" wrapText="1"/>
    </xf>
    <xf numFmtId="0" fontId="22" fillId="0" borderId="39" xfId="0" applyFont="1" applyBorder="1" applyAlignment="1">
      <alignment horizontal="center" wrapText="1"/>
    </xf>
    <xf numFmtId="0" fontId="11" fillId="0" borderId="18" xfId="0" applyFont="1" applyBorder="1" applyAlignment="1">
      <alignment horizontal="center"/>
    </xf>
    <xf numFmtId="0" fontId="11" fillId="0" borderId="16" xfId="0" applyFont="1" applyBorder="1" applyAlignment="1">
      <alignment horizontal="center"/>
    </xf>
    <xf numFmtId="0" fontId="0" fillId="0" borderId="39" xfId="0" applyBorder="1" applyAlignment="1">
      <alignment horizontal="center" wrapText="1"/>
    </xf>
    <xf numFmtId="0" fontId="81" fillId="0" borderId="18" xfId="0" applyFont="1" applyBorder="1" applyAlignment="1">
      <alignment horizontal="center"/>
    </xf>
    <xf numFmtId="0" fontId="81" fillId="0" borderId="16" xfId="0" applyFont="1" applyBorder="1" applyAlignment="1">
      <alignment horizontal="center"/>
    </xf>
    <xf numFmtId="0" fontId="0" fillId="0" borderId="16" xfId="0" applyBorder="1"/>
    <xf numFmtId="0" fontId="46" fillId="44" borderId="86" xfId="0" applyFont="1" applyFill="1" applyBorder="1" applyAlignment="1">
      <alignment horizontal="center" wrapText="1"/>
    </xf>
    <xf numFmtId="0" fontId="45" fillId="44" borderId="72" xfId="0" applyFont="1" applyFill="1" applyBorder="1" applyAlignment="1">
      <alignment wrapText="1"/>
    </xf>
    <xf numFmtId="0" fontId="45" fillId="44" borderId="38" xfId="0" applyFont="1" applyFill="1" applyBorder="1" applyAlignment="1">
      <alignment wrapText="1"/>
    </xf>
    <xf numFmtId="17" fontId="46" fillId="0" borderId="7" xfId="0" applyNumberFormat="1" applyFont="1" applyBorder="1" applyAlignment="1">
      <alignment horizontal="center" wrapText="1"/>
    </xf>
    <xf numFmtId="0" fontId="45" fillId="0" borderId="39" xfId="0" applyFont="1" applyBorder="1" applyAlignment="1">
      <alignment horizontal="center" wrapText="1"/>
    </xf>
    <xf numFmtId="0" fontId="46" fillId="0" borderId="7" xfId="0" applyFont="1" applyBorder="1" applyAlignment="1">
      <alignment horizontal="center" wrapText="1"/>
    </xf>
    <xf numFmtId="0" fontId="46" fillId="0" borderId="39" xfId="0" applyFont="1" applyBorder="1" applyAlignment="1">
      <alignment horizontal="center" wrapText="1"/>
    </xf>
    <xf numFmtId="17" fontId="46" fillId="0" borderId="39" xfId="0" applyNumberFormat="1" applyFont="1" applyBorder="1" applyAlignment="1">
      <alignment horizontal="center" wrapText="1"/>
    </xf>
    <xf numFmtId="0" fontId="46" fillId="2" borderId="86" xfId="0" applyFont="1" applyFill="1" applyBorder="1" applyAlignment="1">
      <alignment horizontal="center" wrapText="1"/>
    </xf>
    <xf numFmtId="0" fontId="45" fillId="0" borderId="72" xfId="0" applyFont="1" applyBorder="1" applyAlignment="1">
      <alignment wrapText="1"/>
    </xf>
    <xf numFmtId="0" fontId="45" fillId="0" borderId="38" xfId="0" applyFont="1" applyBorder="1" applyAlignment="1">
      <alignment wrapText="1"/>
    </xf>
    <xf numFmtId="0" fontId="46" fillId="2" borderId="72" xfId="0" applyFont="1" applyFill="1" applyBorder="1" applyAlignment="1">
      <alignment horizontal="center" wrapText="1"/>
    </xf>
    <xf numFmtId="0" fontId="46" fillId="2" borderId="38" xfId="0" applyFont="1" applyFill="1" applyBorder="1" applyAlignment="1">
      <alignment horizontal="center" wrapText="1"/>
    </xf>
    <xf numFmtId="0" fontId="46" fillId="44" borderId="72" xfId="0" applyFont="1" applyFill="1" applyBorder="1" applyAlignment="1">
      <alignment horizontal="center" wrapText="1"/>
    </xf>
    <xf numFmtId="0" fontId="46" fillId="44" borderId="38" xfId="0" applyFont="1" applyFill="1" applyBorder="1" applyAlignment="1">
      <alignment horizontal="center" wrapText="1"/>
    </xf>
    <xf numFmtId="0" fontId="45" fillId="0" borderId="39" xfId="0" applyFont="1" applyBorder="1"/>
    <xf numFmtId="0" fontId="45" fillId="0" borderId="39" xfId="0" applyFont="1" applyBorder="1" applyAlignment="1">
      <alignment wrapText="1"/>
    </xf>
    <xf numFmtId="0" fontId="46" fillId="2" borderId="17" xfId="0" applyFont="1" applyFill="1" applyBorder="1" applyAlignment="1">
      <alignment horizontal="center" wrapText="1"/>
    </xf>
    <xf numFmtId="0" fontId="46" fillId="2" borderId="50" xfId="0" applyFont="1" applyFill="1" applyBorder="1" applyAlignment="1">
      <alignment horizontal="center" wrapText="1"/>
    </xf>
    <xf numFmtId="0" fontId="46" fillId="2" borderId="51" xfId="0" applyFont="1" applyFill="1" applyBorder="1" applyAlignment="1">
      <alignment horizontal="center"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190</xdr:row>
      <xdr:rowOff>0</xdr:rowOff>
    </xdr:from>
    <xdr:to>
      <xdr:col>0</xdr:col>
      <xdr:colOff>198120</xdr:colOff>
      <xdr:row>190</xdr:row>
      <xdr:rowOff>144780</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G47"/>
  <sheetViews>
    <sheetView showGridLines="0" tabSelected="1" workbookViewId="0">
      <selection sqref="A1:B1"/>
    </sheetView>
  </sheetViews>
  <sheetFormatPr defaultColWidth="9.140625" defaultRowHeight="15.75" x14ac:dyDescent="0.25"/>
  <cols>
    <col min="1" max="1" width="70.140625" style="195" customWidth="1"/>
    <col min="2" max="2" width="21.140625" style="195" customWidth="1"/>
    <col min="3" max="3" width="1.85546875" style="195" hidden="1" customWidth="1"/>
    <col min="4" max="4" width="18.140625" style="195" customWidth="1"/>
    <col min="5" max="5" width="9.42578125" style="195" bestFit="1" customWidth="1"/>
    <col min="6" max="16384" width="9.140625" style="195"/>
  </cols>
  <sheetData>
    <row r="1" spans="1:7" ht="27" customHeight="1" thickBot="1" x14ac:dyDescent="0.3">
      <c r="A1" s="1114" t="s">
        <v>227</v>
      </c>
      <c r="B1" s="1114"/>
    </row>
    <row r="2" spans="1:7" ht="16.5" thickTop="1" x14ac:dyDescent="0.25">
      <c r="A2" s="778" t="s">
        <v>228</v>
      </c>
      <c r="B2" s="181">
        <f>'BILLING RATE CALC'!F24</f>
        <v>260653061.07630476</v>
      </c>
      <c r="D2" s="391"/>
    </row>
    <row r="3" spans="1:7" x14ac:dyDescent="0.25">
      <c r="A3" s="183" t="s">
        <v>491</v>
      </c>
      <c r="B3" s="184">
        <f>B2/365</f>
        <v>714117.97555151989</v>
      </c>
    </row>
    <row r="4" spans="1:7" x14ac:dyDescent="0.25">
      <c r="A4" s="189" t="s">
        <v>914</v>
      </c>
      <c r="B4" s="186">
        <f>B5/365</f>
        <v>4394.9592009132421</v>
      </c>
    </row>
    <row r="5" spans="1:7" x14ac:dyDescent="0.25">
      <c r="A5" s="183" t="s">
        <v>915</v>
      </c>
      <c r="B5" s="186">
        <f>'Inmate Avg Daily Population'!O18</f>
        <v>1604160.1083333334</v>
      </c>
      <c r="D5" s="1104"/>
      <c r="E5" s="1105"/>
    </row>
    <row r="6" spans="1:7" s="238" customFormat="1" ht="16.5" thickBot="1" x14ac:dyDescent="0.3">
      <c r="A6" s="240" t="s">
        <v>229</v>
      </c>
      <c r="B6" s="241">
        <f>'BILLING RATE CALC'!G24</f>
        <v>162.48568937867071</v>
      </c>
      <c r="D6" s="195"/>
    </row>
    <row r="7" spans="1:7" x14ac:dyDescent="0.25">
      <c r="A7" s="187"/>
      <c r="B7" s="188"/>
    </row>
    <row r="8" spans="1:7" x14ac:dyDescent="0.25">
      <c r="A8" s="189" t="s">
        <v>0</v>
      </c>
      <c r="B8" s="190" t="s">
        <v>0</v>
      </c>
    </row>
    <row r="9" spans="1:7" x14ac:dyDescent="0.25">
      <c r="A9" s="183" t="s">
        <v>230</v>
      </c>
      <c r="B9" s="191">
        <f>'COST ALLOCATION'!J36</f>
        <v>20743453.985315278</v>
      </c>
    </row>
    <row r="10" spans="1:7" x14ac:dyDescent="0.25">
      <c r="A10" s="183" t="s">
        <v>491</v>
      </c>
      <c r="B10" s="192">
        <f>B9/365</f>
        <v>56831.380781685693</v>
      </c>
    </row>
    <row r="11" spans="1:7" x14ac:dyDescent="0.25">
      <c r="A11" s="189" t="s">
        <v>916</v>
      </c>
      <c r="B11" s="1102">
        <f>'Inmate Avg Daily Population'!N20+'Inmate Avg Daily Population'!N21</f>
        <v>443.80166666666673</v>
      </c>
    </row>
    <row r="12" spans="1:7" x14ac:dyDescent="0.25">
      <c r="A12" s="183" t="s">
        <v>915</v>
      </c>
      <c r="B12" s="186">
        <f>B11*365</f>
        <v>161987.60833333337</v>
      </c>
    </row>
    <row r="13" spans="1:7" s="238" customFormat="1" ht="16.5" thickBot="1" x14ac:dyDescent="0.3">
      <c r="A13" s="240" t="s">
        <v>582</v>
      </c>
      <c r="B13" s="241">
        <f>B10/B11</f>
        <v>128.05580747034679</v>
      </c>
      <c r="D13" s="195"/>
    </row>
    <row r="14" spans="1:7" x14ac:dyDescent="0.25">
      <c r="A14" s="193"/>
      <c r="B14" s="194"/>
    </row>
    <row r="15" spans="1:7" x14ac:dyDescent="0.25">
      <c r="A15" s="189" t="s">
        <v>0</v>
      </c>
      <c r="B15" s="190" t="s">
        <v>0</v>
      </c>
    </row>
    <row r="16" spans="1:7" x14ac:dyDescent="0.25">
      <c r="A16" s="183" t="s">
        <v>231</v>
      </c>
      <c r="B16" s="191">
        <f>'COST ALLOCATION'!J33+'COST ALLOCATION'!J32</f>
        <v>18125814.481987618</v>
      </c>
      <c r="G16" s="196"/>
    </row>
    <row r="17" spans="1:7" x14ac:dyDescent="0.25">
      <c r="A17" s="183" t="s">
        <v>491</v>
      </c>
      <c r="B17" s="197">
        <f>B16/365</f>
        <v>49659.765704075668</v>
      </c>
      <c r="G17" s="198"/>
    </row>
    <row r="18" spans="1:7" x14ac:dyDescent="0.25">
      <c r="A18" s="183" t="s">
        <v>917</v>
      </c>
      <c r="B18" s="779">
        <f>'Monthly PO Workload Stats'!O297</f>
        <v>5187.0833333333339</v>
      </c>
      <c r="C18" s="199" t="s">
        <v>167</v>
      </c>
      <c r="F18" s="199"/>
      <c r="G18" s="200"/>
    </row>
    <row r="19" spans="1:7" x14ac:dyDescent="0.25">
      <c r="A19" s="183" t="s">
        <v>915</v>
      </c>
      <c r="B19" s="186">
        <f>B18*365</f>
        <v>1893285.416666667</v>
      </c>
    </row>
    <row r="20" spans="1:7" s="238" customFormat="1" ht="16.5" thickBot="1" x14ac:dyDescent="0.3">
      <c r="A20" s="240" t="s">
        <v>257</v>
      </c>
      <c r="B20" s="241">
        <f>B17/B18</f>
        <v>9.5737358574810489</v>
      </c>
    </row>
    <row r="21" spans="1:7" x14ac:dyDescent="0.25">
      <c r="A21" s="201"/>
      <c r="B21" s="194"/>
    </row>
    <row r="22" spans="1:7" x14ac:dyDescent="0.25">
      <c r="A22" s="182"/>
      <c r="B22" s="202"/>
    </row>
    <row r="23" spans="1:7" x14ac:dyDescent="0.25">
      <c r="A23" s="183" t="s">
        <v>232</v>
      </c>
      <c r="B23" s="191">
        <f>'COST ALLOCATION'!J31</f>
        <v>7254130.0773790888</v>
      </c>
    </row>
    <row r="24" spans="1:7" x14ac:dyDescent="0.25">
      <c r="A24" s="183" t="s">
        <v>491</v>
      </c>
      <c r="B24" s="192">
        <f>B23/365</f>
        <v>19874.32897912079</v>
      </c>
    </row>
    <row r="25" spans="1:7" x14ac:dyDescent="0.25">
      <c r="A25" s="183" t="s">
        <v>918</v>
      </c>
      <c r="B25" s="780">
        <f>'Avg Daily Community Jails'!H105</f>
        <v>60.238904109589043</v>
      </c>
      <c r="C25" s="199" t="s">
        <v>167</v>
      </c>
    </row>
    <row r="26" spans="1:7" x14ac:dyDescent="0.25">
      <c r="A26" s="183" t="s">
        <v>915</v>
      </c>
      <c r="B26" s="186">
        <f>B25*365</f>
        <v>21987.200000000001</v>
      </c>
    </row>
    <row r="27" spans="1:7" s="238" customFormat="1" ht="16.5" thickBot="1" x14ac:dyDescent="0.3">
      <c r="A27" s="240" t="s">
        <v>84</v>
      </c>
      <c r="B27" s="241">
        <f>B24/B25</f>
        <v>329.92514178154056</v>
      </c>
    </row>
    <row r="28" spans="1:7" x14ac:dyDescent="0.25">
      <c r="A28" s="201"/>
      <c r="B28" s="194"/>
    </row>
    <row r="29" spans="1:7" x14ac:dyDescent="0.25">
      <c r="A29" s="182"/>
      <c r="B29" s="202"/>
    </row>
    <row r="30" spans="1:7" x14ac:dyDescent="0.25">
      <c r="A30" s="183" t="s">
        <v>350</v>
      </c>
      <c r="B30" s="191">
        <f>'COST ALLOCATION'!J35</f>
        <v>3011000.9865930765</v>
      </c>
    </row>
    <row r="31" spans="1:7" x14ac:dyDescent="0.25">
      <c r="A31" s="183" t="s">
        <v>491</v>
      </c>
      <c r="B31" s="191">
        <f>B30/365</f>
        <v>8249.3177714878802</v>
      </c>
    </row>
    <row r="32" spans="1:7" x14ac:dyDescent="0.25">
      <c r="A32" s="183" t="s">
        <v>919</v>
      </c>
      <c r="B32" s="780">
        <f>'Inmate Avg Daily Population'!N23</f>
        <v>286.83333333333331</v>
      </c>
      <c r="C32" s="199" t="s">
        <v>167</v>
      </c>
    </row>
    <row r="33" spans="1:2" x14ac:dyDescent="0.25">
      <c r="A33" s="183" t="s">
        <v>915</v>
      </c>
      <c r="B33" s="186">
        <f>B32*365</f>
        <v>104694.16666666666</v>
      </c>
    </row>
    <row r="34" spans="1:2" s="238" customFormat="1" ht="16.5" thickBot="1" x14ac:dyDescent="0.3">
      <c r="A34" s="240" t="s">
        <v>84</v>
      </c>
      <c r="B34" s="241">
        <f>B31/B32</f>
        <v>28.759968988336599</v>
      </c>
    </row>
    <row r="35" spans="1:2" x14ac:dyDescent="0.25">
      <c r="A35" s="201"/>
      <c r="B35" s="194"/>
    </row>
    <row r="36" spans="1:2" x14ac:dyDescent="0.25">
      <c r="A36" s="182"/>
      <c r="B36" s="202"/>
    </row>
    <row r="37" spans="1:2" x14ac:dyDescent="0.25">
      <c r="A37" s="183" t="s">
        <v>632</v>
      </c>
      <c r="B37" s="191">
        <f>'COST ALLOCATION'!J34</f>
        <v>248874.41380595099</v>
      </c>
    </row>
    <row r="38" spans="1:2" x14ac:dyDescent="0.25">
      <c r="A38" s="183" t="s">
        <v>491</v>
      </c>
      <c r="B38" s="192">
        <f>B37/365</f>
        <v>681.84770905739992</v>
      </c>
    </row>
    <row r="39" spans="1:2" x14ac:dyDescent="0.25">
      <c r="A39" s="183" t="s">
        <v>920</v>
      </c>
      <c r="B39" s="780">
        <f>'Inmate Avg Daily Population'!N24+'Inmate Avg Daily Population'!N25</f>
        <v>9</v>
      </c>
    </row>
    <row r="40" spans="1:2" x14ac:dyDescent="0.25">
      <c r="A40" s="183" t="s">
        <v>915</v>
      </c>
      <c r="B40" s="186">
        <f>B39*365</f>
        <v>3285</v>
      </c>
    </row>
    <row r="41" spans="1:2" s="238" customFormat="1" ht="16.5" thickBot="1" x14ac:dyDescent="0.3">
      <c r="A41" s="240" t="s">
        <v>86</v>
      </c>
      <c r="B41" s="241">
        <f>B38/B39</f>
        <v>75.760856561933323</v>
      </c>
    </row>
    <row r="42" spans="1:2" x14ac:dyDescent="0.25">
      <c r="A42" s="203" t="s">
        <v>0</v>
      </c>
      <c r="B42" s="204" t="s">
        <v>0</v>
      </c>
    </row>
    <row r="43" spans="1:2" x14ac:dyDescent="0.25">
      <c r="A43" s="343"/>
      <c r="B43" s="205" t="s">
        <v>85</v>
      </c>
    </row>
    <row r="44" spans="1:2" x14ac:dyDescent="0.25">
      <c r="A44" s="239" t="s">
        <v>987</v>
      </c>
      <c r="B44" s="200"/>
    </row>
    <row r="45" spans="1:2" x14ac:dyDescent="0.25">
      <c r="A45" s="238"/>
      <c r="B45" s="200"/>
    </row>
    <row r="46" spans="1:2" x14ac:dyDescent="0.25">
      <c r="A46" s="238"/>
      <c r="B46" s="200"/>
    </row>
    <row r="47" spans="1:2" x14ac:dyDescent="0.25">
      <c r="A47" s="238"/>
      <c r="B47" s="200"/>
    </row>
  </sheetData>
  <mergeCells count="1">
    <mergeCell ref="A1:B1"/>
  </mergeCells>
  <phoneticPr fontId="21" type="noConversion"/>
  <printOptions horizontalCentered="1" verticalCentered="1"/>
  <pageMargins left="0.25" right="0.25" top="0.75" bottom="0.75" header="0.3" footer="0.3"/>
  <pageSetup orientation="portrait" r:id="rId1"/>
  <headerFooter alignWithMargins="0">
    <oddHeader>&amp;C&amp;"Arial,Bold"&amp;12DEPARTMENT OF CORRECTIONS
FY2018/FY2019 Daily Cost of Care Rate</oddHeader>
    <oddFooter>&amp;L&amp;8&amp;F</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I42"/>
  <sheetViews>
    <sheetView showGridLines="0" topLeftCell="A4" workbookViewId="0">
      <selection activeCell="A31" sqref="A31"/>
    </sheetView>
  </sheetViews>
  <sheetFormatPr defaultColWidth="9.140625" defaultRowHeight="15.75" x14ac:dyDescent="0.25"/>
  <cols>
    <col min="1" max="1" width="17" style="195" customWidth="1"/>
    <col min="2" max="2" width="6.5703125" style="195" customWidth="1"/>
    <col min="3" max="3" width="5.85546875" style="195" bestFit="1" customWidth="1"/>
    <col min="4" max="4" width="16.7109375" style="195" customWidth="1"/>
    <col min="5" max="5" width="5.85546875" style="195" customWidth="1"/>
    <col min="6" max="6" width="14.140625" style="195" customWidth="1"/>
    <col min="7" max="7" width="9.140625" style="195"/>
    <col min="8" max="8" width="27.5703125" style="195" customWidth="1"/>
    <col min="9" max="9" width="18.140625" style="195" bestFit="1" customWidth="1"/>
    <col min="10" max="16384" width="9.140625" style="195"/>
  </cols>
  <sheetData>
    <row r="1" spans="1:9" ht="28.5" customHeight="1" thickBot="1" x14ac:dyDescent="0.3">
      <c r="A1" s="1115" t="s">
        <v>185</v>
      </c>
      <c r="B1" s="1115"/>
      <c r="C1" s="1115"/>
      <c r="D1" s="1115"/>
      <c r="E1" s="1115"/>
      <c r="F1" s="1115"/>
      <c r="G1" s="1115"/>
      <c r="H1" s="1115"/>
    </row>
    <row r="2" spans="1:9" s="247" customFormat="1" ht="38.25" customHeight="1" thickBot="1" x14ac:dyDescent="0.25">
      <c r="A2" s="1120" t="s">
        <v>169</v>
      </c>
      <c r="B2" s="1121"/>
      <c r="C2" s="1121"/>
      <c r="D2" s="1121"/>
      <c r="E2" s="1121"/>
      <c r="F2" s="1121"/>
      <c r="G2" s="1121"/>
      <c r="H2" s="1122"/>
    </row>
    <row r="3" spans="1:9" ht="27.75" customHeight="1" x14ac:dyDescent="0.25">
      <c r="A3" s="214" t="s">
        <v>170</v>
      </c>
      <c r="B3" s="215" t="s">
        <v>173</v>
      </c>
      <c r="C3" s="203"/>
      <c r="D3" s="203"/>
      <c r="E3" s="203" t="s">
        <v>172</v>
      </c>
      <c r="F3" s="203"/>
      <c r="H3" s="217" t="s">
        <v>174</v>
      </c>
    </row>
    <row r="4" spans="1:9" ht="27.75" customHeight="1" thickBot="1" x14ac:dyDescent="0.3">
      <c r="A4" s="218" t="s">
        <v>171</v>
      </c>
      <c r="B4" s="219" t="s">
        <v>357</v>
      </c>
      <c r="C4" s="220"/>
      <c r="D4" s="220"/>
      <c r="E4" s="220"/>
      <c r="F4" s="220"/>
      <c r="G4" s="220"/>
      <c r="H4" s="242"/>
    </row>
    <row r="5" spans="1:9" ht="42.6" customHeight="1" thickBot="1" x14ac:dyDescent="0.3">
      <c r="A5" s="1120" t="s">
        <v>175</v>
      </c>
      <c r="B5" s="1121"/>
      <c r="C5" s="1121"/>
      <c r="D5" s="1121"/>
      <c r="E5" s="1121"/>
      <c r="F5" s="1121"/>
      <c r="G5" s="1121"/>
      <c r="H5" s="1122"/>
    </row>
    <row r="6" spans="1:9" ht="24" customHeight="1" x14ac:dyDescent="0.25">
      <c r="A6" s="221" t="s">
        <v>176</v>
      </c>
      <c r="H6" s="222"/>
    </row>
    <row r="7" spans="1:9" ht="24" customHeight="1" x14ac:dyDescent="0.25">
      <c r="A7" s="223" t="s">
        <v>219</v>
      </c>
      <c r="C7" s="224" t="s">
        <v>177</v>
      </c>
      <c r="D7" s="225">
        <v>42552</v>
      </c>
      <c r="E7" s="224" t="s">
        <v>178</v>
      </c>
      <c r="F7" s="225">
        <v>42916</v>
      </c>
      <c r="H7" s="222"/>
    </row>
    <row r="8" spans="1:9" x14ac:dyDescent="0.25">
      <c r="A8" s="223"/>
      <c r="D8" s="243" t="s">
        <v>179</v>
      </c>
      <c r="F8" s="243" t="s">
        <v>179</v>
      </c>
      <c r="H8" s="226" t="s">
        <v>4</v>
      </c>
    </row>
    <row r="9" spans="1:9" ht="28.5" customHeight="1" x14ac:dyDescent="0.25">
      <c r="A9" s="223" t="s">
        <v>233</v>
      </c>
      <c r="H9" s="697">
        <f>'Sched-B1'!B17</f>
        <v>90461083.930000007</v>
      </c>
    </row>
    <row r="10" spans="1:9" ht="28.5" customHeight="1" x14ac:dyDescent="0.25">
      <c r="A10" s="223" t="s">
        <v>234</v>
      </c>
      <c r="H10" s="697">
        <f>'Sched-B1'!C17+'Sched-B1'!D17</f>
        <v>54585144.170000009</v>
      </c>
      <c r="I10" s="244"/>
    </row>
    <row r="11" spans="1:9" ht="28.5" customHeight="1" x14ac:dyDescent="0.25">
      <c r="A11" s="223" t="s">
        <v>180</v>
      </c>
      <c r="H11" s="697">
        <f>'Sched-C'!D24</f>
        <v>23049570.77</v>
      </c>
    </row>
    <row r="12" spans="1:9" ht="28.5" customHeight="1" x14ac:dyDescent="0.25">
      <c r="A12" s="223" t="s">
        <v>237</v>
      </c>
      <c r="H12" s="698">
        <f>'Sched-D1'!F659+'Sched-D2'!F123</f>
        <v>74540063.930000007</v>
      </c>
    </row>
    <row r="13" spans="1:9" ht="28.5" customHeight="1" x14ac:dyDescent="0.25">
      <c r="A13" s="223" t="s">
        <v>181</v>
      </c>
      <c r="H13" s="698">
        <f>'Sched-E'!E3</f>
        <v>10413321.554918986</v>
      </c>
    </row>
    <row r="14" spans="1:9" ht="24.75" customHeight="1" x14ac:dyDescent="0.25">
      <c r="A14" s="223" t="s">
        <v>182</v>
      </c>
      <c r="H14" s="697">
        <f>'Sched-F-G'!C18</f>
        <v>611345.00138579996</v>
      </c>
    </row>
    <row r="15" spans="1:9" ht="24" customHeight="1" x14ac:dyDescent="0.25">
      <c r="A15" s="223" t="s">
        <v>183</v>
      </c>
      <c r="H15" s="698">
        <f>'Sched-F-G'!D38</f>
        <v>7493031.7200000007</v>
      </c>
    </row>
    <row r="16" spans="1:9" ht="28.5" customHeight="1" x14ac:dyDescent="0.25">
      <c r="A16" s="223" t="s">
        <v>184</v>
      </c>
      <c r="H16" s="698">
        <f>SUM(H9:H15)</f>
        <v>261153561.07630482</v>
      </c>
    </row>
    <row r="17" spans="1:9" ht="28.5" customHeight="1" x14ac:dyDescent="0.25">
      <c r="A17" s="699" t="s">
        <v>581</v>
      </c>
      <c r="H17" s="1103"/>
      <c r="I17" s="244"/>
    </row>
    <row r="18" spans="1:9" ht="16.5" thickBot="1" x14ac:dyDescent="0.3">
      <c r="A18" s="218"/>
      <c r="B18" s="220"/>
      <c r="C18" s="220"/>
      <c r="D18" s="220"/>
      <c r="E18" s="220"/>
      <c r="F18" s="220"/>
      <c r="G18" s="220"/>
      <c r="H18" s="228"/>
    </row>
    <row r="19" spans="1:9" ht="25.5" customHeight="1" thickBot="1" x14ac:dyDescent="0.3">
      <c r="A19" s="199" t="s">
        <v>192</v>
      </c>
    </row>
    <row r="20" spans="1:9" s="247" customFormat="1" ht="30.75" customHeight="1" thickBot="1" x14ac:dyDescent="0.25">
      <c r="A20" s="1120" t="s">
        <v>186</v>
      </c>
      <c r="B20" s="1121"/>
      <c r="C20" s="1121"/>
      <c r="D20" s="1121"/>
      <c r="E20" s="1121"/>
      <c r="F20" s="1121"/>
      <c r="G20" s="1121"/>
      <c r="H20" s="1122"/>
    </row>
    <row r="21" spans="1:9" ht="27.75" customHeight="1" x14ac:dyDescent="0.25">
      <c r="A21" s="199" t="s">
        <v>187</v>
      </c>
      <c r="E21" s="224" t="s">
        <v>190</v>
      </c>
      <c r="F21" s="225">
        <v>42552</v>
      </c>
      <c r="G21" s="224" t="s">
        <v>191</v>
      </c>
      <c r="H21" s="225">
        <v>42916</v>
      </c>
    </row>
    <row r="22" spans="1:9" x14ac:dyDescent="0.25">
      <c r="A22" s="238" t="s">
        <v>188</v>
      </c>
      <c r="F22" s="243" t="s">
        <v>179</v>
      </c>
      <c r="H22" s="243" t="s">
        <v>179</v>
      </c>
    </row>
    <row r="23" spans="1:9" ht="24" customHeight="1" x14ac:dyDescent="0.25">
      <c r="A23" s="199" t="s">
        <v>189</v>
      </c>
      <c r="D23" s="232" t="s">
        <v>193</v>
      </c>
      <c r="E23" s="232"/>
      <c r="F23" s="232" t="s">
        <v>194</v>
      </c>
      <c r="G23" s="232"/>
      <c r="H23" s="232" t="s">
        <v>48</v>
      </c>
    </row>
    <row r="24" spans="1:9" ht="24.75" customHeight="1" x14ac:dyDescent="0.25">
      <c r="D24" s="248" t="s">
        <v>114</v>
      </c>
      <c r="E24" s="232"/>
      <c r="F24" s="248" t="s">
        <v>114</v>
      </c>
      <c r="G24" s="232"/>
      <c r="H24" s="249">
        <v>4838</v>
      </c>
    </row>
    <row r="25" spans="1:9" ht="30" customHeight="1" x14ac:dyDescent="0.25">
      <c r="A25" s="199" t="s">
        <v>195</v>
      </c>
      <c r="B25" s="231"/>
      <c r="C25" s="231"/>
      <c r="D25" s="232" t="s">
        <v>193</v>
      </c>
      <c r="E25" s="232"/>
      <c r="F25" s="232" t="s">
        <v>194</v>
      </c>
      <c r="G25" s="232"/>
      <c r="H25" s="232" t="s">
        <v>48</v>
      </c>
    </row>
    <row r="26" spans="1:9" ht="24.75" customHeight="1" x14ac:dyDescent="0.25">
      <c r="A26" s="231" t="s">
        <v>196</v>
      </c>
      <c r="C26" s="224" t="s">
        <v>197</v>
      </c>
      <c r="D26" s="248" t="s">
        <v>114</v>
      </c>
      <c r="E26" s="232"/>
      <c r="F26" s="248" t="s">
        <v>114</v>
      </c>
      <c r="G26" s="232"/>
      <c r="H26" s="248"/>
    </row>
    <row r="27" spans="1:9" ht="24.75" customHeight="1" x14ac:dyDescent="0.25">
      <c r="C27" s="224" t="s">
        <v>198</v>
      </c>
      <c r="D27" s="248" t="s">
        <v>114</v>
      </c>
      <c r="E27" s="232"/>
      <c r="F27" s="248" t="s">
        <v>114</v>
      </c>
      <c r="G27" s="232"/>
      <c r="H27" s="248"/>
    </row>
    <row r="28" spans="1:9" ht="24.75" customHeight="1" x14ac:dyDescent="0.25">
      <c r="C28" s="224" t="s">
        <v>199</v>
      </c>
      <c r="D28" s="248" t="s">
        <v>114</v>
      </c>
      <c r="E28" s="232"/>
      <c r="F28" s="248" t="s">
        <v>114</v>
      </c>
      <c r="G28" s="232"/>
      <c r="H28" s="248"/>
    </row>
    <row r="29" spans="1:9" ht="24.75" customHeight="1" thickBot="1" x14ac:dyDescent="0.3">
      <c r="A29" s="245"/>
      <c r="C29" s="224" t="s">
        <v>27</v>
      </c>
      <c r="D29" s="250">
        <f>H29-F29</f>
        <v>3957.6002666666673</v>
      </c>
      <c r="E29" s="232"/>
      <c r="F29" s="251">
        <f>'IADP-By Gender'!J21</f>
        <v>436.2414</v>
      </c>
      <c r="G29" s="232"/>
      <c r="H29" s="250">
        <f>'Inmate Avg Daily Population'!N18</f>
        <v>4393.8416666666672</v>
      </c>
    </row>
    <row r="30" spans="1:9" ht="31.5" customHeight="1" thickBot="1" x14ac:dyDescent="0.3">
      <c r="A30" s="1116" t="s">
        <v>200</v>
      </c>
      <c r="B30" s="1117"/>
      <c r="C30" s="1117"/>
      <c r="D30" s="1117"/>
      <c r="E30" s="1117"/>
      <c r="F30" s="1117"/>
      <c r="G30" s="1117"/>
      <c r="H30" s="1118"/>
    </row>
    <row r="31" spans="1:9" ht="24.75" customHeight="1" x14ac:dyDescent="0.25">
      <c r="A31" s="195" t="s">
        <v>201</v>
      </c>
      <c r="F31" s="233">
        <f>'BILLING RATE CALC'!G24</f>
        <v>162.48568937867071</v>
      </c>
    </row>
    <row r="32" spans="1:9" ht="24.75" customHeight="1" thickBot="1" x14ac:dyDescent="0.3">
      <c r="A32" s="195" t="s">
        <v>202</v>
      </c>
      <c r="F32" s="234">
        <f>'BILLING RATE CALC'!G24</f>
        <v>162.48568937867071</v>
      </c>
    </row>
    <row r="33" spans="1:8" ht="26.25" customHeight="1" thickBot="1" x14ac:dyDescent="0.3">
      <c r="A33" s="1116" t="s">
        <v>220</v>
      </c>
      <c r="B33" s="1117"/>
      <c r="C33" s="1117"/>
      <c r="D33" s="1117"/>
      <c r="E33" s="1117"/>
      <c r="F33" s="1117"/>
      <c r="G33" s="1117"/>
      <c r="H33" s="1118"/>
    </row>
    <row r="34" spans="1:8" x14ac:dyDescent="0.25">
      <c r="A34" s="12" t="s">
        <v>203</v>
      </c>
    </row>
    <row r="35" spans="1:8" x14ac:dyDescent="0.25">
      <c r="A35" s="195" t="s">
        <v>204</v>
      </c>
      <c r="B35" s="199" t="s">
        <v>904</v>
      </c>
      <c r="E35" s="195" t="s">
        <v>207</v>
      </c>
      <c r="G35" s="199" t="s">
        <v>211</v>
      </c>
    </row>
    <row r="36" spans="1:8" x14ac:dyDescent="0.25">
      <c r="A36" s="195" t="s">
        <v>218</v>
      </c>
      <c r="B36" s="199" t="s">
        <v>905</v>
      </c>
      <c r="E36" s="195" t="s">
        <v>208</v>
      </c>
      <c r="G36" s="199" t="s">
        <v>212</v>
      </c>
    </row>
    <row r="37" spans="1:8" x14ac:dyDescent="0.25">
      <c r="A37" s="195" t="s">
        <v>205</v>
      </c>
      <c r="B37" s="199" t="s">
        <v>584</v>
      </c>
      <c r="E37" s="195" t="s">
        <v>209</v>
      </c>
      <c r="F37" s="199" t="s">
        <v>213</v>
      </c>
      <c r="G37" s="195" t="s">
        <v>210</v>
      </c>
      <c r="H37" s="199" t="s">
        <v>214</v>
      </c>
    </row>
    <row r="38" spans="1:8" ht="16.5" thickBot="1" x14ac:dyDescent="0.3">
      <c r="A38" s="195" t="s">
        <v>206</v>
      </c>
      <c r="B38" s="199" t="s">
        <v>356</v>
      </c>
    </row>
    <row r="39" spans="1:8" ht="16.5" thickBot="1" x14ac:dyDescent="0.3">
      <c r="A39" s="1116" t="s">
        <v>215</v>
      </c>
      <c r="B39" s="1117"/>
      <c r="C39" s="1117"/>
      <c r="D39" s="1117"/>
      <c r="E39" s="1117"/>
      <c r="F39" s="1117"/>
      <c r="G39" s="1117"/>
      <c r="H39" s="1118"/>
    </row>
    <row r="40" spans="1:8" ht="72.75" customHeight="1" x14ac:dyDescent="0.25">
      <c r="A40" s="1119" t="s">
        <v>221</v>
      </c>
      <c r="B40" s="1119"/>
      <c r="C40" s="1119"/>
      <c r="D40" s="1119"/>
      <c r="E40" s="1119"/>
      <c r="F40" s="1119"/>
      <c r="G40" s="1119"/>
      <c r="H40" s="1119"/>
    </row>
    <row r="41" spans="1:8" ht="27" customHeight="1" x14ac:dyDescent="0.25">
      <c r="A41" s="224" t="s">
        <v>216</v>
      </c>
      <c r="B41" s="246"/>
      <c r="C41" s="246"/>
      <c r="D41" s="246"/>
      <c r="F41" s="224" t="s">
        <v>217</v>
      </c>
      <c r="G41" s="246"/>
      <c r="H41" s="246"/>
    </row>
    <row r="42" spans="1:8" ht="27" customHeight="1" x14ac:dyDescent="0.25">
      <c r="A42" s="224" t="s">
        <v>204</v>
      </c>
      <c r="B42" s="236" t="s">
        <v>904</v>
      </c>
      <c r="C42" s="235"/>
      <c r="D42" s="235"/>
      <c r="F42" s="224" t="s">
        <v>218</v>
      </c>
      <c r="G42" s="236" t="s">
        <v>903</v>
      </c>
      <c r="H42" s="236"/>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COST OF CARE Year 2018
(Based on Fiscal Year 2017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C17" sqref="C17"/>
    </sheetView>
  </sheetViews>
  <sheetFormatPr defaultColWidth="9.140625" defaultRowHeight="12.75" x14ac:dyDescent="0.2"/>
  <cols>
    <col min="1" max="1" width="21.28515625" style="180" bestFit="1" customWidth="1"/>
    <col min="2" max="3" width="18.85546875" style="180" bestFit="1" customWidth="1"/>
    <col min="4" max="4" width="17.5703125" style="180" bestFit="1" customWidth="1"/>
    <col min="5" max="5" width="19.5703125" style="180" customWidth="1"/>
    <col min="6" max="6" width="13.140625" style="180" customWidth="1"/>
    <col min="7" max="7" width="12.5703125" style="180" customWidth="1"/>
    <col min="8" max="16384" width="9.140625" style="180"/>
  </cols>
  <sheetData>
    <row r="1" spans="1:7" ht="15.75" x14ac:dyDescent="0.25">
      <c r="A1" s="1123" t="s">
        <v>116</v>
      </c>
      <c r="B1" s="1123"/>
      <c r="C1" s="1123"/>
      <c r="D1" s="1123"/>
      <c r="E1" s="1123"/>
      <c r="F1" s="1123"/>
      <c r="G1" s="1123"/>
    </row>
    <row r="2" spans="1:7" ht="35.25" customHeight="1" thickBot="1" x14ac:dyDescent="0.25">
      <c r="A2" s="1124" t="s">
        <v>115</v>
      </c>
      <c r="B2" s="1124"/>
      <c r="C2" s="1124"/>
      <c r="D2" s="1124"/>
      <c r="E2" s="1124"/>
      <c r="F2" s="1124"/>
      <c r="G2" s="1124"/>
    </row>
    <row r="3" spans="1:7" ht="33" thickTop="1" thickBot="1" x14ac:dyDescent="0.25">
      <c r="A3" s="253" t="s">
        <v>23</v>
      </c>
      <c r="B3" s="254" t="s">
        <v>117</v>
      </c>
      <c r="C3" s="253" t="s">
        <v>24</v>
      </c>
      <c r="D3" s="254" t="s">
        <v>118</v>
      </c>
      <c r="E3" s="1053" t="s">
        <v>119</v>
      </c>
      <c r="F3" s="254" t="s">
        <v>28</v>
      </c>
      <c r="G3" s="254" t="s">
        <v>349</v>
      </c>
    </row>
    <row r="4" spans="1:7" ht="23.25" customHeight="1" thickTop="1" x14ac:dyDescent="0.25">
      <c r="A4" s="183" t="s">
        <v>310</v>
      </c>
      <c r="B4" s="192">
        <v>16161220.359999999</v>
      </c>
      <c r="C4" s="192">
        <v>9864166.8200000003</v>
      </c>
      <c r="D4" s="192">
        <v>13252.86</v>
      </c>
      <c r="E4" s="1054">
        <f>SUM(B4:D4)</f>
        <v>26038640.039999999</v>
      </c>
      <c r="F4" s="260">
        <v>240</v>
      </c>
      <c r="G4" s="255">
        <v>829</v>
      </c>
    </row>
    <row r="5" spans="1:7" ht="23.25" customHeight="1" x14ac:dyDescent="0.25">
      <c r="A5" s="183" t="s">
        <v>79</v>
      </c>
      <c r="B5" s="192">
        <v>3368640.42</v>
      </c>
      <c r="C5" s="192">
        <v>1848353.54</v>
      </c>
      <c r="D5" s="192">
        <v>-20.100000000000001</v>
      </c>
      <c r="E5" s="1054">
        <f>SUM(B5:D5)</f>
        <v>5216973.8600000003</v>
      </c>
      <c r="F5" s="260">
        <v>39</v>
      </c>
      <c r="G5" s="255">
        <v>126</v>
      </c>
    </row>
    <row r="6" spans="1:7" ht="23.25" customHeight="1" x14ac:dyDescent="0.25">
      <c r="A6" s="183" t="s">
        <v>500</v>
      </c>
      <c r="B6" s="192">
        <v>7063369.4699999997</v>
      </c>
      <c r="C6" s="192">
        <v>4189129.75</v>
      </c>
      <c r="D6" s="192">
        <v>2723.97</v>
      </c>
      <c r="E6" s="1054">
        <f t="shared" ref="E6:E16" si="0">SUM(B6:D6)</f>
        <v>11255223.189999999</v>
      </c>
      <c r="F6" s="260">
        <v>96</v>
      </c>
      <c r="G6" s="255">
        <v>395</v>
      </c>
    </row>
    <row r="7" spans="1:7" ht="23.25" customHeight="1" x14ac:dyDescent="0.25">
      <c r="A7" s="183" t="s">
        <v>25</v>
      </c>
      <c r="B7" s="192">
        <v>6040860.96</v>
      </c>
      <c r="C7" s="192">
        <v>3649796.27</v>
      </c>
      <c r="D7" s="192">
        <v>3638.88</v>
      </c>
      <c r="E7" s="1054">
        <f t="shared" si="0"/>
        <v>9694296.1100000013</v>
      </c>
      <c r="F7" s="260">
        <v>89</v>
      </c>
      <c r="G7" s="255">
        <v>248</v>
      </c>
    </row>
    <row r="8" spans="1:7" ht="23.25" customHeight="1" x14ac:dyDescent="0.25">
      <c r="A8" s="183" t="s">
        <v>462</v>
      </c>
      <c r="B8" s="192">
        <v>19390840.530000001</v>
      </c>
      <c r="C8" s="192">
        <v>12538097.050000001</v>
      </c>
      <c r="D8" s="192">
        <v>14653.67</v>
      </c>
      <c r="E8" s="1054">
        <f t="shared" si="0"/>
        <v>31943591.250000004</v>
      </c>
      <c r="F8" s="260">
        <v>333</v>
      </c>
      <c r="G8" s="255">
        <v>1408</v>
      </c>
    </row>
    <row r="9" spans="1:7" ht="23.25" customHeight="1" x14ac:dyDescent="0.25">
      <c r="A9" s="183" t="s">
        <v>16</v>
      </c>
      <c r="B9" s="192">
        <v>2456623.36</v>
      </c>
      <c r="C9" s="192">
        <v>1473252.08</v>
      </c>
      <c r="D9" s="192">
        <v>2456.08</v>
      </c>
      <c r="E9" s="1054">
        <f t="shared" si="0"/>
        <v>3932331.52</v>
      </c>
      <c r="F9" s="260">
        <v>35</v>
      </c>
      <c r="G9" s="255">
        <v>52</v>
      </c>
    </row>
    <row r="10" spans="1:7" ht="23.25" customHeight="1" x14ac:dyDescent="0.25">
      <c r="A10" s="183" t="s">
        <v>17</v>
      </c>
      <c r="B10" s="192">
        <v>5316581.6500000004</v>
      </c>
      <c r="C10" s="192">
        <v>3085329.24</v>
      </c>
      <c r="D10" s="192">
        <v>4198.43</v>
      </c>
      <c r="E10" s="1054">
        <f t="shared" si="0"/>
        <v>8406109.3200000003</v>
      </c>
      <c r="F10" s="260">
        <v>74</v>
      </c>
      <c r="G10" s="255">
        <v>226</v>
      </c>
    </row>
    <row r="11" spans="1:7" ht="23.25" customHeight="1" x14ac:dyDescent="0.25">
      <c r="A11" s="183" t="s">
        <v>140</v>
      </c>
      <c r="B11" s="192">
        <v>3344930.82</v>
      </c>
      <c r="C11" s="192">
        <v>2001965.52</v>
      </c>
      <c r="D11" s="192">
        <v>2059.1799999999998</v>
      </c>
      <c r="E11" s="1054">
        <f>SUM(B11:D11)</f>
        <v>5348955.5199999996</v>
      </c>
      <c r="F11" s="260">
        <v>38</v>
      </c>
      <c r="G11" s="255">
        <v>98</v>
      </c>
    </row>
    <row r="12" spans="1:7" ht="23.25" customHeight="1" x14ac:dyDescent="0.25">
      <c r="A12" s="183" t="s">
        <v>992</v>
      </c>
      <c r="B12" s="192">
        <v>3382878.12</v>
      </c>
      <c r="C12" s="192">
        <v>2003771.02</v>
      </c>
      <c r="D12" s="192">
        <v>1122.1400000000001</v>
      </c>
      <c r="E12" s="1054">
        <f t="shared" si="0"/>
        <v>5387771.2800000003</v>
      </c>
      <c r="F12" s="260">
        <v>95</v>
      </c>
      <c r="G12" s="255">
        <v>128</v>
      </c>
    </row>
    <row r="13" spans="1:7" ht="23.25" customHeight="1" x14ac:dyDescent="0.25">
      <c r="A13" s="183" t="s">
        <v>20</v>
      </c>
      <c r="B13" s="192">
        <v>11762011.26</v>
      </c>
      <c r="C13" s="192">
        <v>6908768.1600000001</v>
      </c>
      <c r="D13" s="192">
        <v>9269.5400000000009</v>
      </c>
      <c r="E13" s="1054">
        <f t="shared" si="0"/>
        <v>18680048.960000001</v>
      </c>
      <c r="F13" s="260">
        <v>171</v>
      </c>
      <c r="G13" s="255">
        <v>535</v>
      </c>
    </row>
    <row r="14" spans="1:7" ht="23.25" customHeight="1" x14ac:dyDescent="0.25">
      <c r="A14" s="183" t="s">
        <v>26</v>
      </c>
      <c r="B14" s="192">
        <v>7587144.3300000001</v>
      </c>
      <c r="C14" s="192">
        <v>4599043.9800000004</v>
      </c>
      <c r="D14" s="192">
        <v>5122.03</v>
      </c>
      <c r="E14" s="1054">
        <f t="shared" si="0"/>
        <v>12191310.34</v>
      </c>
      <c r="F14" s="260">
        <v>115</v>
      </c>
      <c r="G14" s="255">
        <f>320+110</f>
        <v>430</v>
      </c>
    </row>
    <row r="15" spans="1:7" ht="23.25" customHeight="1" x14ac:dyDescent="0.25">
      <c r="A15" s="183" t="s">
        <v>81</v>
      </c>
      <c r="B15" s="192">
        <v>4585982.6500000004</v>
      </c>
      <c r="C15" s="192">
        <v>2360319.29</v>
      </c>
      <c r="D15" s="192">
        <v>4674.7700000000004</v>
      </c>
      <c r="E15" s="1054">
        <f t="shared" si="0"/>
        <v>6950976.71</v>
      </c>
      <c r="F15" s="260">
        <v>41</v>
      </c>
      <c r="G15" s="255">
        <v>189</v>
      </c>
    </row>
    <row r="16" spans="1:7" ht="23.25" customHeight="1" thickBot="1" x14ac:dyDescent="0.3">
      <c r="A16" s="183" t="s">
        <v>311</v>
      </c>
      <c r="B16" s="192">
        <v>0</v>
      </c>
      <c r="C16" s="192">
        <v>0</v>
      </c>
      <c r="D16" s="192">
        <v>0</v>
      </c>
      <c r="E16" s="1054">
        <f t="shared" si="0"/>
        <v>0</v>
      </c>
      <c r="F16" s="261">
        <v>0</v>
      </c>
      <c r="G16" s="256">
        <v>0</v>
      </c>
    </row>
    <row r="17" spans="1:7" ht="23.25" customHeight="1" thickBot="1" x14ac:dyDescent="0.3">
      <c r="A17" s="257" t="s">
        <v>27</v>
      </c>
      <c r="B17" s="258">
        <f t="shared" ref="B17:G17" si="1">SUM(B4:B16)</f>
        <v>90461083.930000007</v>
      </c>
      <c r="C17" s="258">
        <f t="shared" si="1"/>
        <v>54521992.720000006</v>
      </c>
      <c r="D17" s="258">
        <f t="shared" si="1"/>
        <v>63151.45</v>
      </c>
      <c r="E17" s="1055">
        <f>SUM(E4:E16)</f>
        <v>145046228.09999999</v>
      </c>
      <c r="F17" s="1052">
        <f>SUM(F4:F16)</f>
        <v>1366</v>
      </c>
      <c r="G17" s="1052">
        <f t="shared" si="1"/>
        <v>4664</v>
      </c>
    </row>
    <row r="18" spans="1:7" ht="16.5" thickTop="1" x14ac:dyDescent="0.25">
      <c r="A18" s="259"/>
    </row>
    <row r="19" spans="1:7" x14ac:dyDescent="0.2">
      <c r="A19" s="252" t="s">
        <v>929</v>
      </c>
      <c r="C19" s="227"/>
      <c r="D19" s="227"/>
      <c r="E19" s="227"/>
    </row>
    <row r="20" spans="1:7" ht="15.75" x14ac:dyDescent="0.25">
      <c r="A20" s="199"/>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H274"/>
  <sheetViews>
    <sheetView showGridLines="0" topLeftCell="A37" workbookViewId="0">
      <selection activeCell="G232" sqref="G232"/>
    </sheetView>
  </sheetViews>
  <sheetFormatPr defaultColWidth="9.140625" defaultRowHeight="15" x14ac:dyDescent="0.25"/>
  <cols>
    <col min="1" max="1" width="19.85546875" style="206" bestFit="1" customWidth="1"/>
    <col min="2" max="2" width="29.5703125" style="206" customWidth="1"/>
    <col min="3" max="3" width="13.42578125" style="206" customWidth="1"/>
    <col min="4" max="4" width="15.7109375" style="206" customWidth="1"/>
    <col min="5" max="5" width="18.28515625" style="206" customWidth="1"/>
    <col min="6" max="6" width="8.28515625" style="272" customWidth="1"/>
    <col min="7" max="7" width="22.140625" style="206" customWidth="1"/>
    <col min="8" max="8" width="15.28515625" style="206" customWidth="1"/>
    <col min="9" max="16384" width="9.140625" style="206"/>
  </cols>
  <sheetData>
    <row r="1" spans="1:7" s="332" customFormat="1" ht="22.5" customHeight="1" thickBot="1" x14ac:dyDescent="0.25">
      <c r="A1" s="1125" t="s">
        <v>250</v>
      </c>
      <c r="B1" s="1125"/>
      <c r="C1" s="1125"/>
      <c r="D1" s="1125"/>
      <c r="E1" s="1125"/>
      <c r="F1" s="331"/>
    </row>
    <row r="2" spans="1:7" ht="30" customHeight="1" thickTop="1" thickBot="1" x14ac:dyDescent="0.3">
      <c r="A2" s="333" t="s">
        <v>1</v>
      </c>
      <c r="B2" s="334" t="s">
        <v>2</v>
      </c>
      <c r="C2" s="334" t="s">
        <v>3</v>
      </c>
      <c r="D2" s="334" t="s">
        <v>4</v>
      </c>
      <c r="E2" s="333" t="s">
        <v>5</v>
      </c>
      <c r="F2" s="273" t="s">
        <v>666</v>
      </c>
    </row>
    <row r="3" spans="1:7" ht="12.75" customHeight="1" thickTop="1" x14ac:dyDescent="0.25">
      <c r="A3" s="274" t="s">
        <v>310</v>
      </c>
      <c r="B3" s="275" t="s">
        <v>13</v>
      </c>
      <c r="C3" s="276" t="s">
        <v>312</v>
      </c>
      <c r="D3" s="277"/>
      <c r="E3" s="278" t="s">
        <v>0</v>
      </c>
      <c r="F3" s="272">
        <v>1027</v>
      </c>
    </row>
    <row r="4" spans="1:7" ht="12.75" customHeight="1" x14ac:dyDescent="0.25">
      <c r="A4" s="185"/>
      <c r="B4" s="279" t="s">
        <v>371</v>
      </c>
      <c r="C4" s="280">
        <v>6.13E-2</v>
      </c>
      <c r="D4" s="281"/>
      <c r="E4" s="282" t="s">
        <v>0</v>
      </c>
      <c r="F4" s="272">
        <v>1028</v>
      </c>
      <c r="G4" s="283"/>
    </row>
    <row r="5" spans="1:7" ht="12.75" customHeight="1" x14ac:dyDescent="0.25">
      <c r="A5" s="185"/>
      <c r="B5" s="279" t="s">
        <v>667</v>
      </c>
      <c r="C5" s="280">
        <v>0.22</v>
      </c>
      <c r="D5" s="281"/>
      <c r="E5" s="284" t="s">
        <v>0</v>
      </c>
      <c r="F5" s="272">
        <v>1029</v>
      </c>
    </row>
    <row r="6" spans="1:7" ht="12.75" customHeight="1" x14ac:dyDescent="0.25">
      <c r="A6" s="185"/>
      <c r="B6" s="279" t="s">
        <v>668</v>
      </c>
      <c r="C6" s="798" t="s">
        <v>114</v>
      </c>
      <c r="D6" s="281"/>
      <c r="E6" s="284" t="s">
        <v>0</v>
      </c>
      <c r="F6" s="272">
        <v>1030</v>
      </c>
    </row>
    <row r="7" spans="1:7" ht="12.75" customHeight="1" x14ac:dyDescent="0.25">
      <c r="A7" s="185"/>
      <c r="B7" s="279" t="s">
        <v>669</v>
      </c>
      <c r="C7" s="798" t="s">
        <v>114</v>
      </c>
      <c r="D7" s="281"/>
      <c r="E7" s="284" t="s">
        <v>0</v>
      </c>
      <c r="F7" s="272">
        <v>1034</v>
      </c>
    </row>
    <row r="8" spans="1:7" ht="12.75" customHeight="1" x14ac:dyDescent="0.25">
      <c r="A8" s="185"/>
      <c r="B8" s="279" t="s">
        <v>670</v>
      </c>
      <c r="C8" s="798" t="s">
        <v>114</v>
      </c>
      <c r="D8" s="281"/>
      <c r="E8" s="284" t="s">
        <v>0</v>
      </c>
      <c r="F8" s="272">
        <v>1035</v>
      </c>
    </row>
    <row r="9" spans="1:7" ht="12.75" customHeight="1" x14ac:dyDescent="0.25">
      <c r="A9" s="185"/>
      <c r="B9" s="279" t="s">
        <v>671</v>
      </c>
      <c r="C9" s="799" t="s">
        <v>114</v>
      </c>
      <c r="D9" s="281"/>
      <c r="E9" s="284" t="s">
        <v>0</v>
      </c>
      <c r="F9" s="272">
        <v>1037</v>
      </c>
    </row>
    <row r="10" spans="1:7" ht="12.75" customHeight="1" x14ac:dyDescent="0.25">
      <c r="A10" s="185"/>
      <c r="B10" s="279" t="s">
        <v>9</v>
      </c>
      <c r="C10" s="280">
        <v>4.0000000000000001E-3</v>
      </c>
      <c r="D10" s="281"/>
      <c r="E10" s="284" t="s">
        <v>0</v>
      </c>
      <c r="F10" s="272">
        <v>1039</v>
      </c>
    </row>
    <row r="11" spans="1:7" ht="12.75" customHeight="1" x14ac:dyDescent="0.25">
      <c r="A11" s="185"/>
      <c r="B11" s="279" t="s">
        <v>10</v>
      </c>
      <c r="C11" s="584" t="s">
        <v>885</v>
      </c>
      <c r="D11" s="281"/>
      <c r="E11" s="284" t="s">
        <v>0</v>
      </c>
      <c r="F11" s="272">
        <v>1040</v>
      </c>
    </row>
    <row r="12" spans="1:7" ht="12.75" customHeight="1" x14ac:dyDescent="0.25">
      <c r="A12" s="185"/>
      <c r="B12" s="279" t="s">
        <v>672</v>
      </c>
      <c r="C12" s="286" t="s">
        <v>338</v>
      </c>
      <c r="D12" s="281"/>
      <c r="E12" s="284"/>
      <c r="F12" s="272">
        <v>1041</v>
      </c>
    </row>
    <row r="13" spans="1:7" ht="12.75" customHeight="1" x14ac:dyDescent="0.25">
      <c r="A13" s="185"/>
      <c r="B13" s="279" t="s">
        <v>673</v>
      </c>
      <c r="C13" s="280">
        <v>4.0000000000000002E-4</v>
      </c>
      <c r="D13" s="281"/>
      <c r="E13" s="284"/>
      <c r="F13" s="272">
        <v>1042</v>
      </c>
    </row>
    <row r="14" spans="1:7" ht="12.75" customHeight="1" x14ac:dyDescent="0.25">
      <c r="A14" s="185"/>
      <c r="B14" s="279" t="s">
        <v>674</v>
      </c>
      <c r="C14" s="280">
        <v>2.2599999999999999E-2</v>
      </c>
      <c r="D14" s="281"/>
      <c r="E14" s="284" t="s">
        <v>0</v>
      </c>
      <c r="F14" s="272">
        <v>1047</v>
      </c>
    </row>
    <row r="15" spans="1:7" ht="12.75" customHeight="1" x14ac:dyDescent="0.25">
      <c r="A15" s="185"/>
      <c r="B15" s="279" t="s">
        <v>675</v>
      </c>
      <c r="C15" s="280">
        <v>1.03E-2</v>
      </c>
      <c r="D15" s="281"/>
      <c r="E15" s="284" t="s">
        <v>0</v>
      </c>
      <c r="F15" s="272">
        <v>1048</v>
      </c>
    </row>
    <row r="16" spans="1:7" ht="12.75" customHeight="1" x14ac:dyDescent="0.25">
      <c r="A16" s="185"/>
      <c r="B16" s="279" t="s">
        <v>676</v>
      </c>
      <c r="C16" s="285" t="s">
        <v>354</v>
      </c>
      <c r="D16" s="277"/>
      <c r="E16" s="284"/>
      <c r="F16" s="272">
        <v>1049</v>
      </c>
    </row>
    <row r="17" spans="1:8" ht="12.75" customHeight="1" x14ac:dyDescent="0.25">
      <c r="A17" s="185"/>
      <c r="B17" s="287" t="s">
        <v>463</v>
      </c>
      <c r="C17" s="285"/>
      <c r="D17" s="277"/>
      <c r="E17" s="282"/>
    </row>
    <row r="18" spans="1:8" ht="12.75" customHeight="1" x14ac:dyDescent="0.25">
      <c r="A18" s="185"/>
      <c r="B18" s="279" t="s">
        <v>677</v>
      </c>
      <c r="C18" s="280">
        <v>1.4500000000000001E-2</v>
      </c>
      <c r="D18" s="281"/>
      <c r="E18" s="288"/>
      <c r="F18" s="272">
        <v>1053</v>
      </c>
    </row>
    <row r="19" spans="1:8" ht="12.75" customHeight="1" x14ac:dyDescent="0.25">
      <c r="A19" s="185"/>
      <c r="B19" s="289" t="s">
        <v>118</v>
      </c>
      <c r="C19" s="290"/>
      <c r="D19" s="291"/>
      <c r="E19" s="207"/>
      <c r="F19" s="272">
        <v>1004</v>
      </c>
      <c r="G19" s="801" t="s">
        <v>678</v>
      </c>
    </row>
    <row r="20" spans="1:8" ht="12.75" customHeight="1" thickBot="1" x14ac:dyDescent="0.3">
      <c r="A20" s="185"/>
      <c r="B20" s="289"/>
      <c r="C20" s="292"/>
      <c r="D20" s="293"/>
      <c r="E20" s="800">
        <v>9877419.6799999997</v>
      </c>
      <c r="G20" s="237">
        <f>'Sched-B1'!C4+'Sched-B1'!D4</f>
        <v>9877419.6799999997</v>
      </c>
      <c r="H20" s="237">
        <f>E20-G20</f>
        <v>0</v>
      </c>
    </row>
    <row r="21" spans="1:8" ht="12.75" customHeight="1" thickTop="1" x14ac:dyDescent="0.25">
      <c r="A21" s="274" t="s">
        <v>79</v>
      </c>
      <c r="B21" s="275" t="s">
        <v>13</v>
      </c>
      <c r="C21" s="276" t="s">
        <v>312</v>
      </c>
      <c r="D21" s="277">
        <v>0</v>
      </c>
      <c r="E21" s="278" t="s">
        <v>0</v>
      </c>
    </row>
    <row r="22" spans="1:8" ht="12.75" customHeight="1" x14ac:dyDescent="0.25">
      <c r="A22" s="185"/>
      <c r="B22" s="279" t="s">
        <v>371</v>
      </c>
      <c r="C22" s="280">
        <v>6.13E-2</v>
      </c>
      <c r="D22" s="281"/>
      <c r="E22" s="282" t="s">
        <v>0</v>
      </c>
    </row>
    <row r="23" spans="1:8" ht="12.75" customHeight="1" x14ac:dyDescent="0.25">
      <c r="A23" s="185"/>
      <c r="B23" s="279" t="s">
        <v>667</v>
      </c>
      <c r="C23" s="280">
        <v>0.22</v>
      </c>
      <c r="D23" s="281"/>
      <c r="E23" s="284" t="s">
        <v>0</v>
      </c>
    </row>
    <row r="24" spans="1:8" ht="12.75" customHeight="1" x14ac:dyDescent="0.25">
      <c r="A24" s="185"/>
      <c r="B24" s="279" t="s">
        <v>668</v>
      </c>
      <c r="C24" s="798" t="s">
        <v>114</v>
      </c>
      <c r="D24" s="281"/>
      <c r="E24" s="284" t="s">
        <v>0</v>
      </c>
    </row>
    <row r="25" spans="1:8" ht="12.75" customHeight="1" x14ac:dyDescent="0.25">
      <c r="A25" s="185"/>
      <c r="B25" s="279" t="s">
        <v>669</v>
      </c>
      <c r="C25" s="798" t="s">
        <v>114</v>
      </c>
      <c r="D25" s="281"/>
      <c r="E25" s="284" t="s">
        <v>0</v>
      </c>
    </row>
    <row r="26" spans="1:8" ht="12.75" customHeight="1" x14ac:dyDescent="0.25">
      <c r="A26" s="185"/>
      <c r="B26" s="279" t="s">
        <v>670</v>
      </c>
      <c r="C26" s="798" t="s">
        <v>114</v>
      </c>
      <c r="D26" s="281"/>
      <c r="E26" s="284" t="s">
        <v>0</v>
      </c>
    </row>
    <row r="27" spans="1:8" ht="12.75" customHeight="1" x14ac:dyDescent="0.25">
      <c r="A27" s="185"/>
      <c r="B27" s="279" t="s">
        <v>671</v>
      </c>
      <c r="C27" s="798" t="s">
        <v>114</v>
      </c>
      <c r="D27" s="281"/>
      <c r="E27" s="284" t="s">
        <v>0</v>
      </c>
    </row>
    <row r="28" spans="1:8" ht="12.75" customHeight="1" x14ac:dyDescent="0.25">
      <c r="A28" s="185"/>
      <c r="B28" s="279" t="s">
        <v>9</v>
      </c>
      <c r="C28" s="280">
        <f>C10</f>
        <v>4.0000000000000001E-3</v>
      </c>
      <c r="D28" s="281"/>
      <c r="E28" s="284" t="s">
        <v>0</v>
      </c>
    </row>
    <row r="29" spans="1:8" ht="12.75" customHeight="1" x14ac:dyDescent="0.25">
      <c r="A29" s="185"/>
      <c r="B29" s="279" t="s">
        <v>10</v>
      </c>
      <c r="C29" s="584" t="str">
        <f>C11</f>
        <v>$1350.25/mo</v>
      </c>
      <c r="D29" s="281"/>
      <c r="E29" s="284" t="s">
        <v>0</v>
      </c>
    </row>
    <row r="30" spans="1:8" ht="12.75" customHeight="1" x14ac:dyDescent="0.25">
      <c r="A30" s="185"/>
      <c r="B30" s="279" t="s">
        <v>8</v>
      </c>
      <c r="C30" s="286" t="s">
        <v>338</v>
      </c>
      <c r="D30" s="281"/>
      <c r="E30" s="284"/>
    </row>
    <row r="31" spans="1:8" ht="12.75" customHeight="1" x14ac:dyDescent="0.25">
      <c r="A31" s="185"/>
      <c r="B31" s="279" t="s">
        <v>11</v>
      </c>
      <c r="C31" s="280">
        <f>C13</f>
        <v>4.0000000000000002E-4</v>
      </c>
      <c r="D31" s="281"/>
      <c r="E31" s="284"/>
    </row>
    <row r="32" spans="1:8" ht="12.75" customHeight="1" x14ac:dyDescent="0.25">
      <c r="A32" s="185"/>
      <c r="B32" s="279" t="s">
        <v>15</v>
      </c>
      <c r="C32" s="280">
        <f>C14</f>
        <v>2.2599999999999999E-2</v>
      </c>
      <c r="D32" s="281"/>
      <c r="E32" s="284" t="s">
        <v>0</v>
      </c>
    </row>
    <row r="33" spans="1:8" ht="12.75" customHeight="1" x14ac:dyDescent="0.25">
      <c r="A33" s="185"/>
      <c r="B33" s="279" t="s">
        <v>12</v>
      </c>
      <c r="C33" s="280">
        <f>C15</f>
        <v>1.03E-2</v>
      </c>
      <c r="D33" s="281"/>
      <c r="E33" s="284" t="s">
        <v>0</v>
      </c>
    </row>
    <row r="34" spans="1:8" ht="12.75" customHeight="1" x14ac:dyDescent="0.25">
      <c r="A34" s="185"/>
      <c r="B34" s="287" t="s">
        <v>224</v>
      </c>
      <c r="C34" s="285" t="str">
        <f>C16</f>
        <v>$8.00/mo</v>
      </c>
      <c r="D34" s="281"/>
      <c r="E34" s="284"/>
    </row>
    <row r="35" spans="1:8" ht="12.75" customHeight="1" x14ac:dyDescent="0.25">
      <c r="A35" s="185"/>
      <c r="B35" s="279" t="s">
        <v>677</v>
      </c>
      <c r="C35" s="280">
        <f>C18</f>
        <v>1.4500000000000001E-2</v>
      </c>
      <c r="D35" s="281"/>
      <c r="E35" s="288"/>
    </row>
    <row r="36" spans="1:8" ht="12.75" customHeight="1" x14ac:dyDescent="0.25">
      <c r="A36" s="185"/>
      <c r="B36" s="289" t="s">
        <v>118</v>
      </c>
      <c r="C36" s="290"/>
      <c r="D36" s="291"/>
      <c r="E36" s="207"/>
      <c r="G36" s="237"/>
    </row>
    <row r="37" spans="1:8" ht="12.75" customHeight="1" thickBot="1" x14ac:dyDescent="0.3">
      <c r="A37" s="185"/>
      <c r="B37" s="289"/>
      <c r="C37" s="292"/>
      <c r="D37" s="293"/>
      <c r="E37" s="800">
        <v>1848333.44</v>
      </c>
      <c r="G37" s="237">
        <f>'Sched-B1'!C5+'Sched-B1'!D5</f>
        <v>1848333.44</v>
      </c>
      <c r="H37" s="237">
        <f>E37-G37</f>
        <v>0</v>
      </c>
    </row>
    <row r="38" spans="1:8" ht="12.75" customHeight="1" thickTop="1" x14ac:dyDescent="0.25">
      <c r="A38" s="274" t="s">
        <v>14</v>
      </c>
      <c r="B38" s="275" t="s">
        <v>13</v>
      </c>
      <c r="C38" s="276" t="s">
        <v>312</v>
      </c>
      <c r="D38" s="277"/>
      <c r="E38" s="278" t="s">
        <v>0</v>
      </c>
    </row>
    <row r="39" spans="1:8" ht="12.75" customHeight="1" x14ac:dyDescent="0.25">
      <c r="A39" s="185"/>
      <c r="B39" s="279" t="s">
        <v>371</v>
      </c>
      <c r="C39" s="280">
        <v>6.13E-2</v>
      </c>
      <c r="D39" s="281"/>
      <c r="E39" s="282" t="s">
        <v>0</v>
      </c>
    </row>
    <row r="40" spans="1:8" ht="12.75" customHeight="1" x14ac:dyDescent="0.25">
      <c r="A40" s="185"/>
      <c r="B40" s="279" t="s">
        <v>667</v>
      </c>
      <c r="C40" s="280">
        <f>C5</f>
        <v>0.22</v>
      </c>
      <c r="D40" s="281"/>
      <c r="E40" s="284" t="s">
        <v>0</v>
      </c>
    </row>
    <row r="41" spans="1:8" ht="12.75" customHeight="1" x14ac:dyDescent="0.25">
      <c r="A41" s="185"/>
      <c r="B41" s="279" t="s">
        <v>668</v>
      </c>
      <c r="C41" s="798" t="s">
        <v>114</v>
      </c>
      <c r="D41" s="281"/>
      <c r="E41" s="284" t="s">
        <v>0</v>
      </c>
    </row>
    <row r="42" spans="1:8" ht="12.75" customHeight="1" x14ac:dyDescent="0.25">
      <c r="A42" s="185"/>
      <c r="B42" s="279" t="s">
        <v>669</v>
      </c>
      <c r="C42" s="798" t="s">
        <v>114</v>
      </c>
      <c r="D42" s="281"/>
      <c r="E42" s="284" t="s">
        <v>0</v>
      </c>
    </row>
    <row r="43" spans="1:8" ht="12.75" customHeight="1" x14ac:dyDescent="0.25">
      <c r="A43" s="185"/>
      <c r="B43" s="279" t="s">
        <v>670</v>
      </c>
      <c r="C43" s="798" t="s">
        <v>114</v>
      </c>
      <c r="D43" s="281"/>
      <c r="E43" s="284" t="s">
        <v>0</v>
      </c>
    </row>
    <row r="44" spans="1:8" ht="12.75" customHeight="1" x14ac:dyDescent="0.25">
      <c r="A44" s="185"/>
      <c r="B44" s="279" t="s">
        <v>671</v>
      </c>
      <c r="C44" s="798" t="s">
        <v>114</v>
      </c>
      <c r="D44" s="281"/>
      <c r="E44" s="284" t="s">
        <v>0</v>
      </c>
    </row>
    <row r="45" spans="1:8" ht="12.75" customHeight="1" x14ac:dyDescent="0.25">
      <c r="A45" s="185"/>
      <c r="B45" s="279" t="s">
        <v>9</v>
      </c>
      <c r="C45" s="280">
        <f>C10</f>
        <v>4.0000000000000001E-3</v>
      </c>
      <c r="D45" s="281"/>
      <c r="E45" s="284" t="s">
        <v>0</v>
      </c>
    </row>
    <row r="46" spans="1:8" ht="12.75" customHeight="1" x14ac:dyDescent="0.25">
      <c r="A46" s="185"/>
      <c r="B46" s="279" t="s">
        <v>10</v>
      </c>
      <c r="C46" s="584" t="str">
        <f>C11</f>
        <v>$1350.25/mo</v>
      </c>
      <c r="D46" s="281"/>
      <c r="E46" s="284" t="s">
        <v>0</v>
      </c>
    </row>
    <row r="47" spans="1:8" ht="12.75" customHeight="1" x14ac:dyDescent="0.25">
      <c r="A47" s="185"/>
      <c r="B47" s="279" t="s">
        <v>8</v>
      </c>
      <c r="C47" s="286" t="s">
        <v>338</v>
      </c>
      <c r="D47" s="281"/>
      <c r="E47" s="284"/>
    </row>
    <row r="48" spans="1:8" ht="12.75" customHeight="1" x14ac:dyDescent="0.25">
      <c r="A48" s="185"/>
      <c r="B48" s="279" t="s">
        <v>11</v>
      </c>
      <c r="C48" s="280">
        <f>C13</f>
        <v>4.0000000000000002E-4</v>
      </c>
      <c r="D48" s="281"/>
      <c r="E48" s="284" t="s">
        <v>0</v>
      </c>
    </row>
    <row r="49" spans="1:8" ht="12.75" customHeight="1" x14ac:dyDescent="0.25">
      <c r="A49" s="185"/>
      <c r="B49" s="279" t="s">
        <v>15</v>
      </c>
      <c r="C49" s="280">
        <f>C14</f>
        <v>2.2599999999999999E-2</v>
      </c>
      <c r="D49" s="281"/>
      <c r="E49" s="284"/>
    </row>
    <row r="50" spans="1:8" ht="12.75" customHeight="1" x14ac:dyDescent="0.25">
      <c r="A50" s="185"/>
      <c r="B50" s="279" t="s">
        <v>12</v>
      </c>
      <c r="C50" s="280">
        <f>C15</f>
        <v>1.03E-2</v>
      </c>
      <c r="D50" s="281"/>
      <c r="E50" s="284"/>
    </row>
    <row r="51" spans="1:8" ht="12.75" customHeight="1" x14ac:dyDescent="0.25">
      <c r="A51" s="185"/>
      <c r="B51" s="287" t="s">
        <v>224</v>
      </c>
      <c r="C51" s="285" t="s">
        <v>354</v>
      </c>
      <c r="D51" s="281"/>
      <c r="E51" s="284"/>
    </row>
    <row r="52" spans="1:8" ht="12.75" customHeight="1" x14ac:dyDescent="0.25">
      <c r="A52" s="185"/>
      <c r="B52" s="279" t="s">
        <v>677</v>
      </c>
      <c r="C52" s="280">
        <f>C18</f>
        <v>1.4500000000000001E-2</v>
      </c>
      <c r="D52" s="294"/>
      <c r="E52" s="295"/>
    </row>
    <row r="53" spans="1:8" ht="12.75" customHeight="1" x14ac:dyDescent="0.25">
      <c r="A53" s="185"/>
      <c r="B53" s="289" t="s">
        <v>118</v>
      </c>
      <c r="C53" s="296"/>
      <c r="D53" s="294"/>
      <c r="E53" s="185"/>
      <c r="G53" s="237"/>
    </row>
    <row r="54" spans="1:8" ht="12.75" customHeight="1" x14ac:dyDescent="0.25">
      <c r="A54" s="185"/>
      <c r="B54" s="289"/>
      <c r="C54" s="276"/>
      <c r="D54" s="294"/>
      <c r="E54" s="800">
        <v>4191853.72</v>
      </c>
      <c r="G54" s="237">
        <f>'Sched-B1'!C6+'Sched-B1'!D6</f>
        <v>4191853.72</v>
      </c>
      <c r="H54" s="297">
        <f>E54-G54</f>
        <v>0</v>
      </c>
    </row>
    <row r="55" spans="1:8" ht="12.75" customHeight="1" x14ac:dyDescent="0.25">
      <c r="A55" s="274" t="s">
        <v>25</v>
      </c>
      <c r="B55" s="298" t="s">
        <v>13</v>
      </c>
      <c r="C55" s="276" t="s">
        <v>312</v>
      </c>
      <c r="D55" s="294"/>
      <c r="E55" s="284" t="s">
        <v>0</v>
      </c>
    </row>
    <row r="56" spans="1:8" ht="12.75" customHeight="1" x14ac:dyDescent="0.25">
      <c r="A56" s="185"/>
      <c r="B56" s="298" t="s">
        <v>371</v>
      </c>
      <c r="C56" s="280">
        <v>6.13E-2</v>
      </c>
      <c r="D56" s="294"/>
      <c r="E56" s="284"/>
    </row>
    <row r="57" spans="1:8" ht="12.75" customHeight="1" x14ac:dyDescent="0.25">
      <c r="A57" s="185"/>
      <c r="B57" s="279" t="s">
        <v>667</v>
      </c>
      <c r="C57" s="280">
        <v>0.22</v>
      </c>
      <c r="D57" s="294"/>
      <c r="E57" s="284"/>
    </row>
    <row r="58" spans="1:8" ht="12.75" customHeight="1" x14ac:dyDescent="0.25">
      <c r="A58" s="274"/>
      <c r="B58" s="279" t="s">
        <v>668</v>
      </c>
      <c r="C58" s="798" t="s">
        <v>114</v>
      </c>
      <c r="D58" s="281"/>
      <c r="E58" s="284" t="s">
        <v>0</v>
      </c>
    </row>
    <row r="59" spans="1:8" ht="12.75" customHeight="1" x14ac:dyDescent="0.25">
      <c r="A59" s="185"/>
      <c r="B59" s="279" t="s">
        <v>669</v>
      </c>
      <c r="C59" s="798" t="s">
        <v>114</v>
      </c>
      <c r="D59" s="281"/>
      <c r="E59" s="284" t="s">
        <v>0</v>
      </c>
    </row>
    <row r="60" spans="1:8" ht="12.75" customHeight="1" x14ac:dyDescent="0.25">
      <c r="A60" s="185"/>
      <c r="B60" s="279" t="s">
        <v>670</v>
      </c>
      <c r="C60" s="798" t="s">
        <v>114</v>
      </c>
      <c r="D60" s="281"/>
      <c r="E60" s="284" t="s">
        <v>0</v>
      </c>
    </row>
    <row r="61" spans="1:8" ht="12.75" customHeight="1" x14ac:dyDescent="0.25">
      <c r="A61" s="185"/>
      <c r="B61" s="279" t="s">
        <v>671</v>
      </c>
      <c r="C61" s="798" t="s">
        <v>114</v>
      </c>
      <c r="D61" s="281"/>
      <c r="E61" s="284" t="s">
        <v>0</v>
      </c>
    </row>
    <row r="62" spans="1:8" ht="12.75" customHeight="1" x14ac:dyDescent="0.25">
      <c r="A62" s="185"/>
      <c r="B62" s="298" t="s">
        <v>9</v>
      </c>
      <c r="C62" s="280">
        <v>3.5999999999999999E-3</v>
      </c>
      <c r="D62" s="294"/>
      <c r="E62" s="284"/>
    </row>
    <row r="63" spans="1:8" ht="12.75" customHeight="1" x14ac:dyDescent="0.25">
      <c r="A63" s="185"/>
      <c r="B63" s="298" t="s">
        <v>10</v>
      </c>
      <c r="C63" s="584" t="str">
        <f>C11</f>
        <v>$1350.25/mo</v>
      </c>
      <c r="D63" s="294"/>
      <c r="E63" s="284"/>
    </row>
    <row r="64" spans="1:8" ht="12.75" customHeight="1" x14ac:dyDescent="0.25">
      <c r="A64" s="185"/>
      <c r="B64" s="298" t="s">
        <v>8</v>
      </c>
      <c r="C64" s="286" t="s">
        <v>338</v>
      </c>
      <c r="D64" s="294"/>
      <c r="E64" s="284"/>
    </row>
    <row r="65" spans="1:8" ht="12.75" customHeight="1" x14ac:dyDescent="0.25">
      <c r="A65" s="185"/>
      <c r="B65" s="298" t="s">
        <v>11</v>
      </c>
      <c r="C65" s="280">
        <f>C13</f>
        <v>4.0000000000000002E-4</v>
      </c>
      <c r="D65" s="294"/>
      <c r="E65" s="284"/>
    </row>
    <row r="66" spans="1:8" ht="12.75" customHeight="1" x14ac:dyDescent="0.25">
      <c r="A66" s="185"/>
      <c r="B66" s="298" t="s">
        <v>15</v>
      </c>
      <c r="C66" s="280">
        <f>C14</f>
        <v>2.2599999999999999E-2</v>
      </c>
      <c r="D66" s="294"/>
      <c r="E66" s="284"/>
    </row>
    <row r="67" spans="1:8" ht="12.75" customHeight="1" x14ac:dyDescent="0.25">
      <c r="A67" s="185"/>
      <c r="B67" s="298" t="s">
        <v>12</v>
      </c>
      <c r="C67" s="280">
        <f>C15</f>
        <v>1.03E-2</v>
      </c>
      <c r="D67" s="294"/>
      <c r="E67" s="284"/>
    </row>
    <row r="68" spans="1:8" ht="12.75" customHeight="1" x14ac:dyDescent="0.25">
      <c r="A68" s="185"/>
      <c r="B68" s="185" t="s">
        <v>224</v>
      </c>
      <c r="C68" s="285" t="s">
        <v>354</v>
      </c>
      <c r="D68" s="294"/>
      <c r="E68" s="284"/>
    </row>
    <row r="69" spans="1:8" ht="12.75" customHeight="1" x14ac:dyDescent="0.25">
      <c r="A69" s="185"/>
      <c r="B69" s="279" t="s">
        <v>677</v>
      </c>
      <c r="C69" s="280">
        <v>1.4500000000000001E-2</v>
      </c>
      <c r="D69" s="294"/>
      <c r="E69" s="284"/>
    </row>
    <row r="70" spans="1:8" ht="12.75" customHeight="1" x14ac:dyDescent="0.25">
      <c r="A70" s="185"/>
      <c r="B70" s="298" t="s">
        <v>118</v>
      </c>
      <c r="C70" s="290"/>
      <c r="D70" s="294"/>
      <c r="E70" s="284"/>
      <c r="G70" s="237"/>
    </row>
    <row r="71" spans="1:8" ht="12.75" customHeight="1" x14ac:dyDescent="0.25">
      <c r="A71" s="185"/>
      <c r="B71" s="298"/>
      <c r="C71" s="299"/>
      <c r="D71" s="208"/>
      <c r="E71" s="800">
        <v>3653435.15</v>
      </c>
      <c r="G71" s="237">
        <f>'Sched-B1'!C7+'Sched-B1'!D7</f>
        <v>3653435.15</v>
      </c>
      <c r="H71" s="237">
        <f>E71-G71</f>
        <v>0</v>
      </c>
    </row>
    <row r="72" spans="1:8" ht="12.75" customHeight="1" x14ac:dyDescent="0.25">
      <c r="A72" s="274" t="s">
        <v>462</v>
      </c>
      <c r="B72" s="298" t="s">
        <v>13</v>
      </c>
      <c r="C72" s="276" t="s">
        <v>312</v>
      </c>
      <c r="D72" s="294">
        <v>0</v>
      </c>
      <c r="E72" s="284" t="s">
        <v>0</v>
      </c>
    </row>
    <row r="73" spans="1:8" ht="12.75" customHeight="1" x14ac:dyDescent="0.25">
      <c r="A73" s="185"/>
      <c r="B73" s="298" t="s">
        <v>371</v>
      </c>
      <c r="C73" s="280">
        <v>6.13E-2</v>
      </c>
      <c r="D73" s="294"/>
      <c r="E73" s="284"/>
    </row>
    <row r="74" spans="1:8" ht="12.75" customHeight="1" x14ac:dyDescent="0.25">
      <c r="A74" s="185"/>
      <c r="B74" s="279" t="s">
        <v>667</v>
      </c>
      <c r="C74" s="280">
        <v>0.22</v>
      </c>
      <c r="D74" s="294"/>
      <c r="E74" s="284"/>
    </row>
    <row r="75" spans="1:8" ht="12.75" customHeight="1" x14ac:dyDescent="0.25">
      <c r="A75" s="185"/>
      <c r="B75" s="279" t="s">
        <v>668</v>
      </c>
      <c r="C75" s="798" t="s">
        <v>114</v>
      </c>
      <c r="D75" s="281"/>
      <c r="E75" s="284" t="s">
        <v>0</v>
      </c>
    </row>
    <row r="76" spans="1:8" ht="12.75" customHeight="1" x14ac:dyDescent="0.25">
      <c r="A76" s="185"/>
      <c r="B76" s="279" t="s">
        <v>669</v>
      </c>
      <c r="C76" s="798" t="s">
        <v>114</v>
      </c>
      <c r="D76" s="281"/>
      <c r="E76" s="284" t="s">
        <v>0</v>
      </c>
    </row>
    <row r="77" spans="1:8" ht="12.75" customHeight="1" x14ac:dyDescent="0.25">
      <c r="A77" s="185"/>
      <c r="B77" s="279" t="s">
        <v>670</v>
      </c>
      <c r="C77" s="798" t="s">
        <v>114</v>
      </c>
      <c r="D77" s="281"/>
      <c r="E77" s="284" t="s">
        <v>0</v>
      </c>
    </row>
    <row r="78" spans="1:8" ht="12.75" customHeight="1" x14ac:dyDescent="0.25">
      <c r="A78" s="185"/>
      <c r="B78" s="279" t="s">
        <v>671</v>
      </c>
      <c r="C78" s="798" t="s">
        <v>114</v>
      </c>
      <c r="D78" s="281"/>
      <c r="E78" s="284" t="s">
        <v>0</v>
      </c>
    </row>
    <row r="79" spans="1:8" ht="12.75" customHeight="1" x14ac:dyDescent="0.25">
      <c r="A79" s="185"/>
      <c r="B79" s="298" t="s">
        <v>9</v>
      </c>
      <c r="C79" s="280">
        <v>3.5999999999999999E-3</v>
      </c>
      <c r="D79" s="294"/>
      <c r="E79" s="284"/>
    </row>
    <row r="80" spans="1:8" ht="12.75" customHeight="1" x14ac:dyDescent="0.25">
      <c r="A80" s="185"/>
      <c r="B80" s="298" t="s">
        <v>10</v>
      </c>
      <c r="C80" s="584" t="str">
        <f>C11</f>
        <v>$1350.25/mo</v>
      </c>
      <c r="D80" s="294"/>
      <c r="E80" s="284"/>
    </row>
    <row r="81" spans="1:8" ht="12.75" customHeight="1" x14ac:dyDescent="0.25">
      <c r="A81" s="185"/>
      <c r="B81" s="298" t="s">
        <v>8</v>
      </c>
      <c r="C81" s="286" t="s">
        <v>338</v>
      </c>
      <c r="D81" s="294"/>
      <c r="E81" s="284"/>
    </row>
    <row r="82" spans="1:8" ht="12.75" customHeight="1" x14ac:dyDescent="0.25">
      <c r="A82" s="185"/>
      <c r="B82" s="298" t="s">
        <v>11</v>
      </c>
      <c r="C82" s="280">
        <f>C13</f>
        <v>4.0000000000000002E-4</v>
      </c>
      <c r="D82" s="294"/>
      <c r="E82" s="284"/>
    </row>
    <row r="83" spans="1:8" ht="12.75" customHeight="1" x14ac:dyDescent="0.25">
      <c r="A83" s="185"/>
      <c r="B83" s="298" t="s">
        <v>15</v>
      </c>
      <c r="C83" s="280">
        <f>C14</f>
        <v>2.2599999999999999E-2</v>
      </c>
      <c r="D83" s="294"/>
      <c r="E83" s="284"/>
    </row>
    <row r="84" spans="1:8" ht="12.75" customHeight="1" x14ac:dyDescent="0.25">
      <c r="A84" s="185"/>
      <c r="B84" s="298" t="s">
        <v>12</v>
      </c>
      <c r="C84" s="280">
        <f>C15</f>
        <v>1.03E-2</v>
      </c>
      <c r="D84" s="294"/>
      <c r="E84" s="284"/>
    </row>
    <row r="85" spans="1:8" ht="12.75" customHeight="1" x14ac:dyDescent="0.25">
      <c r="A85" s="185"/>
      <c r="B85" s="185" t="s">
        <v>224</v>
      </c>
      <c r="C85" s="285" t="s">
        <v>354</v>
      </c>
      <c r="D85" s="294"/>
      <c r="E85" s="284"/>
    </row>
    <row r="86" spans="1:8" ht="12.75" customHeight="1" x14ac:dyDescent="0.25">
      <c r="A86" s="185"/>
      <c r="B86" s="279" t="s">
        <v>677</v>
      </c>
      <c r="C86" s="280">
        <v>1.4500000000000001E-2</v>
      </c>
      <c r="D86" s="294"/>
      <c r="E86" s="284"/>
    </row>
    <row r="87" spans="1:8" ht="12.75" customHeight="1" x14ac:dyDescent="0.25">
      <c r="A87" s="185"/>
      <c r="B87" s="298" t="s">
        <v>118</v>
      </c>
      <c r="C87" s="290"/>
      <c r="D87" s="294"/>
      <c r="E87" s="284"/>
      <c r="G87" s="237"/>
    </row>
    <row r="88" spans="1:8" ht="12.75" customHeight="1" x14ac:dyDescent="0.25">
      <c r="A88" s="185"/>
      <c r="B88" s="298"/>
      <c r="C88" s="299"/>
      <c r="D88" s="208"/>
      <c r="E88" s="800">
        <v>12552750.720000001</v>
      </c>
      <c r="G88" s="237">
        <f>'Sched-B1'!C8+'Sched-B1'!D8</f>
        <v>12552750.720000001</v>
      </c>
      <c r="H88" s="237">
        <f>E88-G88</f>
        <v>0</v>
      </c>
    </row>
    <row r="89" spans="1:8" ht="12.75" customHeight="1" x14ac:dyDescent="0.25">
      <c r="A89" s="274" t="s">
        <v>16</v>
      </c>
      <c r="B89" s="298" t="s">
        <v>13</v>
      </c>
      <c r="C89" s="276" t="s">
        <v>312</v>
      </c>
      <c r="D89" s="294">
        <v>0</v>
      </c>
      <c r="E89" s="284" t="s">
        <v>0</v>
      </c>
    </row>
    <row r="90" spans="1:8" ht="12.75" customHeight="1" x14ac:dyDescent="0.25">
      <c r="A90" s="185"/>
      <c r="B90" s="298" t="s">
        <v>371</v>
      </c>
      <c r="C90" s="280">
        <v>6.13E-2</v>
      </c>
      <c r="D90" s="294"/>
      <c r="E90" s="284"/>
    </row>
    <row r="91" spans="1:8" ht="12.75" customHeight="1" x14ac:dyDescent="0.25">
      <c r="A91" s="185"/>
      <c r="B91" s="279" t="s">
        <v>667</v>
      </c>
      <c r="C91" s="280">
        <v>0.22</v>
      </c>
      <c r="D91" s="294"/>
      <c r="E91" s="284"/>
    </row>
    <row r="92" spans="1:8" ht="12.75" customHeight="1" x14ac:dyDescent="0.25">
      <c r="A92" s="185"/>
      <c r="B92" s="279" t="s">
        <v>668</v>
      </c>
      <c r="C92" s="798" t="s">
        <v>114</v>
      </c>
      <c r="D92" s="281"/>
      <c r="E92" s="284" t="s">
        <v>0</v>
      </c>
    </row>
    <row r="93" spans="1:8" ht="12.75" customHeight="1" x14ac:dyDescent="0.25">
      <c r="A93" s="185"/>
      <c r="B93" s="279" t="s">
        <v>669</v>
      </c>
      <c r="C93" s="798" t="s">
        <v>114</v>
      </c>
      <c r="D93" s="281"/>
      <c r="E93" s="284" t="s">
        <v>0</v>
      </c>
    </row>
    <row r="94" spans="1:8" ht="12.75" customHeight="1" x14ac:dyDescent="0.25">
      <c r="A94" s="185"/>
      <c r="B94" s="279" t="s">
        <v>670</v>
      </c>
      <c r="C94" s="798" t="s">
        <v>114</v>
      </c>
      <c r="D94" s="281"/>
      <c r="E94" s="284" t="s">
        <v>0</v>
      </c>
    </row>
    <row r="95" spans="1:8" ht="12.75" customHeight="1" x14ac:dyDescent="0.25">
      <c r="A95" s="185"/>
      <c r="B95" s="279" t="s">
        <v>671</v>
      </c>
      <c r="C95" s="798" t="s">
        <v>114</v>
      </c>
      <c r="D95" s="281"/>
      <c r="E95" s="284" t="s">
        <v>0</v>
      </c>
    </row>
    <row r="96" spans="1:8" ht="12.75" customHeight="1" x14ac:dyDescent="0.25">
      <c r="A96" s="185"/>
      <c r="B96" s="298" t="s">
        <v>9</v>
      </c>
      <c r="C96" s="280">
        <v>3.5999999999999999E-3</v>
      </c>
      <c r="D96" s="294"/>
      <c r="E96" s="284"/>
    </row>
    <row r="97" spans="1:8" ht="12.75" customHeight="1" x14ac:dyDescent="0.25">
      <c r="A97" s="185"/>
      <c r="B97" s="298" t="s">
        <v>10</v>
      </c>
      <c r="C97" s="584" t="str">
        <f>C11</f>
        <v>$1350.25/mo</v>
      </c>
      <c r="D97" s="294"/>
      <c r="E97" s="284"/>
    </row>
    <row r="98" spans="1:8" ht="12.75" customHeight="1" x14ac:dyDescent="0.25">
      <c r="A98" s="185"/>
      <c r="B98" s="298" t="s">
        <v>8</v>
      </c>
      <c r="C98" s="286" t="s">
        <v>338</v>
      </c>
      <c r="D98" s="294"/>
      <c r="E98" s="284"/>
    </row>
    <row r="99" spans="1:8" ht="12.75" customHeight="1" x14ac:dyDescent="0.25">
      <c r="A99" s="185"/>
      <c r="B99" s="298" t="s">
        <v>11</v>
      </c>
      <c r="C99" s="280">
        <f>C13</f>
        <v>4.0000000000000002E-4</v>
      </c>
      <c r="D99" s="294"/>
      <c r="E99" s="284"/>
    </row>
    <row r="100" spans="1:8" ht="12.75" customHeight="1" x14ac:dyDescent="0.25">
      <c r="A100" s="185"/>
      <c r="B100" s="298" t="s">
        <v>15</v>
      </c>
      <c r="C100" s="280">
        <f>C14</f>
        <v>2.2599999999999999E-2</v>
      </c>
      <c r="D100" s="294"/>
      <c r="E100" s="284"/>
    </row>
    <row r="101" spans="1:8" ht="12.75" customHeight="1" x14ac:dyDescent="0.25">
      <c r="A101" s="185"/>
      <c r="B101" s="298" t="s">
        <v>12</v>
      </c>
      <c r="C101" s="280">
        <f>C15</f>
        <v>1.03E-2</v>
      </c>
      <c r="D101" s="294"/>
      <c r="E101" s="284"/>
    </row>
    <row r="102" spans="1:8" ht="12.75" customHeight="1" x14ac:dyDescent="0.25">
      <c r="A102" s="185"/>
      <c r="B102" s="185" t="s">
        <v>224</v>
      </c>
      <c r="C102" s="285" t="s">
        <v>354</v>
      </c>
      <c r="D102" s="294"/>
      <c r="E102" s="284"/>
    </row>
    <row r="103" spans="1:8" ht="12.75" customHeight="1" x14ac:dyDescent="0.25">
      <c r="A103" s="185"/>
      <c r="B103" s="279" t="s">
        <v>677</v>
      </c>
      <c r="C103" s="280">
        <f>C18</f>
        <v>1.4500000000000001E-2</v>
      </c>
      <c r="D103" s="294"/>
      <c r="E103" s="284"/>
    </row>
    <row r="104" spans="1:8" ht="12.75" customHeight="1" x14ac:dyDescent="0.25">
      <c r="A104" s="185"/>
      <c r="B104" s="298" t="s">
        <v>118</v>
      </c>
      <c r="C104" s="290"/>
      <c r="D104" s="294"/>
      <c r="E104" s="329"/>
      <c r="G104" s="237"/>
    </row>
    <row r="105" spans="1:8" ht="12.75" customHeight="1" x14ac:dyDescent="0.25">
      <c r="A105" s="185"/>
      <c r="B105" s="298"/>
      <c r="C105" s="299"/>
      <c r="D105" s="208"/>
      <c r="E105" s="800">
        <v>1475708.16</v>
      </c>
      <c r="G105" s="237">
        <f>'Sched-B1'!C9+'Sched-B1'!D9</f>
        <v>1475708.1600000001</v>
      </c>
      <c r="H105" s="237">
        <f>E105-G105</f>
        <v>0</v>
      </c>
    </row>
    <row r="106" spans="1:8" ht="12.75" customHeight="1" x14ac:dyDescent="0.25">
      <c r="A106" s="274" t="s">
        <v>17</v>
      </c>
      <c r="B106" s="298" t="s">
        <v>13</v>
      </c>
      <c r="C106" s="276" t="s">
        <v>312</v>
      </c>
      <c r="D106" s="294">
        <v>0</v>
      </c>
      <c r="E106" s="284" t="s">
        <v>0</v>
      </c>
    </row>
    <row r="107" spans="1:8" ht="12.75" customHeight="1" x14ac:dyDescent="0.25">
      <c r="A107" s="185"/>
      <c r="B107" s="298" t="s">
        <v>371</v>
      </c>
      <c r="C107" s="280">
        <v>6.13E-2</v>
      </c>
      <c r="D107" s="294"/>
      <c r="E107" s="284"/>
    </row>
    <row r="108" spans="1:8" ht="12.75" customHeight="1" x14ac:dyDescent="0.25">
      <c r="A108" s="185"/>
      <c r="B108" s="279" t="s">
        <v>667</v>
      </c>
      <c r="C108" s="280">
        <v>0.22</v>
      </c>
      <c r="D108" s="294"/>
      <c r="E108" s="284"/>
    </row>
    <row r="109" spans="1:8" ht="12.75" customHeight="1" x14ac:dyDescent="0.25">
      <c r="A109" s="185"/>
      <c r="B109" s="279" t="s">
        <v>668</v>
      </c>
      <c r="C109" s="798" t="s">
        <v>114</v>
      </c>
      <c r="D109" s="281"/>
      <c r="E109" s="284" t="s">
        <v>0</v>
      </c>
    </row>
    <row r="110" spans="1:8" ht="12.75" customHeight="1" x14ac:dyDescent="0.25">
      <c r="A110" s="185"/>
      <c r="B110" s="279" t="s">
        <v>669</v>
      </c>
      <c r="C110" s="798" t="s">
        <v>114</v>
      </c>
      <c r="D110" s="281"/>
      <c r="E110" s="284" t="s">
        <v>0</v>
      </c>
    </row>
    <row r="111" spans="1:8" ht="12.75" customHeight="1" x14ac:dyDescent="0.25">
      <c r="A111" s="185"/>
      <c r="B111" s="279" t="s">
        <v>670</v>
      </c>
      <c r="C111" s="798" t="s">
        <v>114</v>
      </c>
      <c r="D111" s="281"/>
      <c r="E111" s="284" t="s">
        <v>0</v>
      </c>
    </row>
    <row r="112" spans="1:8" ht="12.75" customHeight="1" x14ac:dyDescent="0.25">
      <c r="A112" s="185"/>
      <c r="B112" s="279" t="s">
        <v>671</v>
      </c>
      <c r="C112" s="798" t="s">
        <v>114</v>
      </c>
      <c r="D112" s="281"/>
      <c r="E112" s="284" t="s">
        <v>0</v>
      </c>
    </row>
    <row r="113" spans="1:8" ht="12.75" customHeight="1" x14ac:dyDescent="0.25">
      <c r="A113" s="185"/>
      <c r="B113" s="298" t="s">
        <v>9</v>
      </c>
      <c r="C113" s="280">
        <v>3.5999999999999999E-3</v>
      </c>
      <c r="D113" s="294"/>
      <c r="E113" s="284"/>
    </row>
    <row r="114" spans="1:8" ht="12.75" customHeight="1" x14ac:dyDescent="0.25">
      <c r="A114" s="185"/>
      <c r="B114" s="298" t="s">
        <v>10</v>
      </c>
      <c r="C114" s="584" t="str">
        <f>C11</f>
        <v>$1350.25/mo</v>
      </c>
      <c r="D114" s="294"/>
      <c r="E114" s="284"/>
    </row>
    <row r="115" spans="1:8" ht="12.75" customHeight="1" x14ac:dyDescent="0.25">
      <c r="A115" s="185"/>
      <c r="B115" s="298" t="s">
        <v>8</v>
      </c>
      <c r="C115" s="286" t="s">
        <v>338</v>
      </c>
      <c r="D115" s="294"/>
      <c r="E115" s="284"/>
    </row>
    <row r="116" spans="1:8" ht="12.75" customHeight="1" x14ac:dyDescent="0.25">
      <c r="A116" s="185"/>
      <c r="B116" s="298" t="s">
        <v>11</v>
      </c>
      <c r="C116" s="280">
        <f>C13</f>
        <v>4.0000000000000002E-4</v>
      </c>
      <c r="D116" s="294"/>
      <c r="E116" s="284"/>
    </row>
    <row r="117" spans="1:8" ht="12.75" customHeight="1" x14ac:dyDescent="0.25">
      <c r="A117" s="185"/>
      <c r="B117" s="298" t="s">
        <v>15</v>
      </c>
      <c r="C117" s="280">
        <f>C14</f>
        <v>2.2599999999999999E-2</v>
      </c>
      <c r="D117" s="294"/>
      <c r="E117" s="284"/>
    </row>
    <row r="118" spans="1:8" ht="12.75" customHeight="1" x14ac:dyDescent="0.25">
      <c r="A118" s="185"/>
      <c r="B118" s="298" t="s">
        <v>12</v>
      </c>
      <c r="C118" s="280">
        <f>C15</f>
        <v>1.03E-2</v>
      </c>
      <c r="D118" s="294"/>
      <c r="E118" s="284"/>
    </row>
    <row r="119" spans="1:8" ht="12.75" customHeight="1" x14ac:dyDescent="0.25">
      <c r="A119" s="185"/>
      <c r="B119" s="185" t="s">
        <v>224</v>
      </c>
      <c r="C119" s="285" t="s">
        <v>354</v>
      </c>
      <c r="D119" s="294"/>
      <c r="E119" s="284"/>
    </row>
    <row r="120" spans="1:8" ht="12.75" customHeight="1" x14ac:dyDescent="0.25">
      <c r="A120" s="185"/>
      <c r="B120" s="279" t="s">
        <v>677</v>
      </c>
      <c r="C120" s="280">
        <v>1.4500000000000001E-2</v>
      </c>
      <c r="D120" s="294"/>
      <c r="E120" s="284"/>
    </row>
    <row r="121" spans="1:8" ht="12.75" customHeight="1" x14ac:dyDescent="0.25">
      <c r="A121" s="185"/>
      <c r="B121" s="298" t="s">
        <v>118</v>
      </c>
      <c r="C121" s="290"/>
      <c r="D121" s="294"/>
      <c r="E121" s="284"/>
      <c r="G121" s="237"/>
    </row>
    <row r="122" spans="1:8" ht="12.75" customHeight="1" x14ac:dyDescent="0.25">
      <c r="A122" s="185"/>
      <c r="B122" s="298"/>
      <c r="C122" s="296"/>
      <c r="D122" s="208"/>
      <c r="E122" s="800">
        <v>3089527.67</v>
      </c>
      <c r="G122" s="237">
        <f>'Sched-B1'!C10+'Sched-B1'!D10</f>
        <v>3089527.6700000004</v>
      </c>
      <c r="H122" s="297">
        <f>E122-G122</f>
        <v>0</v>
      </c>
    </row>
    <row r="123" spans="1:8" ht="12.75" customHeight="1" x14ac:dyDescent="0.25">
      <c r="A123" s="274" t="s">
        <v>140</v>
      </c>
      <c r="B123" s="298" t="s">
        <v>13</v>
      </c>
      <c r="C123" s="276" t="s">
        <v>312</v>
      </c>
      <c r="D123" s="294">
        <v>0</v>
      </c>
      <c r="E123" s="284" t="s">
        <v>0</v>
      </c>
    </row>
    <row r="124" spans="1:8" ht="12.75" customHeight="1" x14ac:dyDescent="0.25">
      <c r="A124" s="185"/>
      <c r="B124" s="298" t="s">
        <v>371</v>
      </c>
      <c r="C124" s="280">
        <v>6.13E-2</v>
      </c>
      <c r="D124" s="294"/>
      <c r="E124" s="284"/>
    </row>
    <row r="125" spans="1:8" ht="12.75" customHeight="1" x14ac:dyDescent="0.25">
      <c r="A125" s="185"/>
      <c r="B125" s="279" t="s">
        <v>667</v>
      </c>
      <c r="C125" s="280">
        <v>0.22</v>
      </c>
      <c r="D125" s="294"/>
      <c r="E125" s="284"/>
    </row>
    <row r="126" spans="1:8" ht="12.75" customHeight="1" x14ac:dyDescent="0.25">
      <c r="A126" s="185"/>
      <c r="B126" s="279" t="s">
        <v>668</v>
      </c>
      <c r="C126" s="798" t="s">
        <v>114</v>
      </c>
      <c r="D126" s="281"/>
      <c r="E126" s="284" t="s">
        <v>0</v>
      </c>
    </row>
    <row r="127" spans="1:8" ht="12.75" customHeight="1" x14ac:dyDescent="0.25">
      <c r="A127" s="185"/>
      <c r="B127" s="279" t="s">
        <v>669</v>
      </c>
      <c r="C127" s="798" t="s">
        <v>114</v>
      </c>
      <c r="D127" s="281"/>
      <c r="E127" s="284" t="s">
        <v>0</v>
      </c>
    </row>
    <row r="128" spans="1:8" ht="12.75" customHeight="1" x14ac:dyDescent="0.25">
      <c r="A128" s="185"/>
      <c r="B128" s="279" t="s">
        <v>670</v>
      </c>
      <c r="C128" s="798" t="s">
        <v>114</v>
      </c>
      <c r="D128" s="281"/>
      <c r="E128" s="284" t="s">
        <v>0</v>
      </c>
    </row>
    <row r="129" spans="1:8" ht="12.75" customHeight="1" x14ac:dyDescent="0.25">
      <c r="A129" s="185"/>
      <c r="B129" s="279" t="s">
        <v>671</v>
      </c>
      <c r="C129" s="798" t="s">
        <v>114</v>
      </c>
      <c r="D129" s="281"/>
      <c r="E129" s="284" t="s">
        <v>0</v>
      </c>
    </row>
    <row r="130" spans="1:8" ht="12.75" customHeight="1" x14ac:dyDescent="0.25">
      <c r="A130" s="185"/>
      <c r="B130" s="298" t="s">
        <v>9</v>
      </c>
      <c r="C130" s="280">
        <v>3.5999999999999999E-3</v>
      </c>
      <c r="D130" s="294"/>
      <c r="E130" s="284"/>
    </row>
    <row r="131" spans="1:8" ht="12.75" customHeight="1" x14ac:dyDescent="0.25">
      <c r="A131" s="185"/>
      <c r="B131" s="298" t="s">
        <v>10</v>
      </c>
      <c r="C131" s="584" t="str">
        <f>C11</f>
        <v>$1350.25/mo</v>
      </c>
      <c r="D131" s="294"/>
      <c r="E131" s="284"/>
    </row>
    <row r="132" spans="1:8" ht="12.75" customHeight="1" x14ac:dyDescent="0.25">
      <c r="A132" s="185"/>
      <c r="B132" s="298" t="s">
        <v>8</v>
      </c>
      <c r="C132" s="286" t="s">
        <v>338</v>
      </c>
      <c r="D132" s="294"/>
      <c r="E132" s="284"/>
    </row>
    <row r="133" spans="1:8" ht="12.75" customHeight="1" x14ac:dyDescent="0.25">
      <c r="A133" s="185"/>
      <c r="B133" s="298" t="s">
        <v>11</v>
      </c>
      <c r="C133" s="280">
        <f>C13</f>
        <v>4.0000000000000002E-4</v>
      </c>
      <c r="D133" s="294"/>
      <c r="E133" s="284"/>
    </row>
    <row r="134" spans="1:8" ht="12.75" customHeight="1" x14ac:dyDescent="0.25">
      <c r="A134" s="185"/>
      <c r="B134" s="298" t="s">
        <v>15</v>
      </c>
      <c r="C134" s="280">
        <f>C14</f>
        <v>2.2599999999999999E-2</v>
      </c>
      <c r="D134" s="294"/>
      <c r="E134" s="284"/>
    </row>
    <row r="135" spans="1:8" ht="12.75" customHeight="1" x14ac:dyDescent="0.25">
      <c r="A135" s="185"/>
      <c r="B135" s="298" t="s">
        <v>12</v>
      </c>
      <c r="C135" s="280">
        <f>C15</f>
        <v>1.03E-2</v>
      </c>
      <c r="D135" s="294"/>
      <c r="E135" s="284"/>
    </row>
    <row r="136" spans="1:8" ht="12.75" customHeight="1" x14ac:dyDescent="0.25">
      <c r="A136" s="185"/>
      <c r="B136" s="185" t="s">
        <v>224</v>
      </c>
      <c r="C136" s="285" t="s">
        <v>354</v>
      </c>
      <c r="D136" s="294"/>
      <c r="E136" s="284"/>
    </row>
    <row r="137" spans="1:8" ht="12.75" customHeight="1" x14ac:dyDescent="0.25">
      <c r="A137" s="185"/>
      <c r="B137" s="279" t="s">
        <v>677</v>
      </c>
      <c r="C137" s="280">
        <v>1.4500000000000001E-2</v>
      </c>
      <c r="D137" s="294"/>
      <c r="E137" s="284"/>
    </row>
    <row r="138" spans="1:8" ht="12.75" customHeight="1" x14ac:dyDescent="0.25">
      <c r="A138" s="185"/>
      <c r="B138" s="298" t="s">
        <v>118</v>
      </c>
      <c r="C138" s="290"/>
      <c r="D138" s="294"/>
      <c r="E138" s="284"/>
      <c r="G138" s="237"/>
    </row>
    <row r="139" spans="1:8" ht="12.75" customHeight="1" x14ac:dyDescent="0.25">
      <c r="A139" s="185"/>
      <c r="B139" s="298"/>
      <c r="C139" s="299"/>
      <c r="D139" s="208"/>
      <c r="E139" s="800">
        <v>2004024.7</v>
      </c>
      <c r="G139" s="237">
        <f>'Sched-B1'!C11+'Sched-B1'!D11</f>
        <v>2004024.7</v>
      </c>
      <c r="H139" s="237">
        <f>E139-G139</f>
        <v>0</v>
      </c>
    </row>
    <row r="140" spans="1:8" ht="12.75" customHeight="1" x14ac:dyDescent="0.25">
      <c r="A140" s="274" t="s">
        <v>19</v>
      </c>
      <c r="B140" s="298" t="s">
        <v>13</v>
      </c>
      <c r="C140" s="276" t="s">
        <v>312</v>
      </c>
      <c r="D140" s="294">
        <v>0</v>
      </c>
      <c r="E140" s="284" t="s">
        <v>0</v>
      </c>
    </row>
    <row r="141" spans="1:8" ht="12.75" customHeight="1" x14ac:dyDescent="0.25">
      <c r="A141" s="185"/>
      <c r="B141" s="298" t="s">
        <v>371</v>
      </c>
      <c r="C141" s="280">
        <v>6.13E-2</v>
      </c>
      <c r="D141" s="294"/>
      <c r="E141" s="284"/>
    </row>
    <row r="142" spans="1:8" ht="12.75" customHeight="1" x14ac:dyDescent="0.25">
      <c r="A142" s="185"/>
      <c r="B142" s="279" t="s">
        <v>667</v>
      </c>
      <c r="C142" s="280">
        <v>0.22</v>
      </c>
      <c r="D142" s="294"/>
      <c r="E142" s="284"/>
    </row>
    <row r="143" spans="1:8" ht="12.75" customHeight="1" x14ac:dyDescent="0.25">
      <c r="A143" s="185"/>
      <c r="B143" s="279" t="s">
        <v>668</v>
      </c>
      <c r="C143" s="798" t="s">
        <v>114</v>
      </c>
      <c r="D143" s="281"/>
      <c r="E143" s="284" t="s">
        <v>0</v>
      </c>
    </row>
    <row r="144" spans="1:8" ht="12.75" customHeight="1" x14ac:dyDescent="0.25">
      <c r="A144" s="185"/>
      <c r="B144" s="279" t="s">
        <v>669</v>
      </c>
      <c r="C144" s="798" t="s">
        <v>114</v>
      </c>
      <c r="D144" s="281"/>
      <c r="E144" s="284" t="s">
        <v>0</v>
      </c>
    </row>
    <row r="145" spans="1:8" ht="12.75" customHeight="1" x14ac:dyDescent="0.25">
      <c r="A145" s="185"/>
      <c r="B145" s="279" t="s">
        <v>670</v>
      </c>
      <c r="C145" s="798" t="s">
        <v>114</v>
      </c>
      <c r="D145" s="281"/>
      <c r="E145" s="284" t="s">
        <v>0</v>
      </c>
    </row>
    <row r="146" spans="1:8" ht="12.75" customHeight="1" x14ac:dyDescent="0.25">
      <c r="A146" s="185"/>
      <c r="B146" s="279" t="s">
        <v>671</v>
      </c>
      <c r="C146" s="798" t="s">
        <v>114</v>
      </c>
      <c r="D146" s="281"/>
      <c r="E146" s="284" t="s">
        <v>0</v>
      </c>
    </row>
    <row r="147" spans="1:8" ht="12.75" customHeight="1" x14ac:dyDescent="0.25">
      <c r="A147" s="185"/>
      <c r="B147" s="298" t="s">
        <v>9</v>
      </c>
      <c r="C147" s="280">
        <v>3.5999999999999999E-3</v>
      </c>
      <c r="D147" s="294"/>
      <c r="E147" s="284"/>
    </row>
    <row r="148" spans="1:8" ht="12.75" customHeight="1" x14ac:dyDescent="0.25">
      <c r="A148" s="185"/>
      <c r="B148" s="298" t="s">
        <v>10</v>
      </c>
      <c r="C148" s="584" t="str">
        <f>C11</f>
        <v>$1350.25/mo</v>
      </c>
      <c r="D148" s="294"/>
      <c r="E148" s="284"/>
    </row>
    <row r="149" spans="1:8" ht="12.75" customHeight="1" x14ac:dyDescent="0.25">
      <c r="A149" s="185"/>
      <c r="B149" s="298" t="s">
        <v>8</v>
      </c>
      <c r="C149" s="286" t="s">
        <v>338</v>
      </c>
      <c r="D149" s="294"/>
      <c r="E149" s="284"/>
    </row>
    <row r="150" spans="1:8" ht="12.75" customHeight="1" x14ac:dyDescent="0.25">
      <c r="A150" s="185"/>
      <c r="B150" s="298" t="s">
        <v>11</v>
      </c>
      <c r="C150" s="280">
        <f>C13</f>
        <v>4.0000000000000002E-4</v>
      </c>
      <c r="D150" s="294"/>
      <c r="E150" s="284"/>
    </row>
    <row r="151" spans="1:8" ht="12.75" customHeight="1" x14ac:dyDescent="0.25">
      <c r="A151" s="185"/>
      <c r="B151" s="298" t="s">
        <v>15</v>
      </c>
      <c r="C151" s="280">
        <f>C14</f>
        <v>2.2599999999999999E-2</v>
      </c>
      <c r="D151" s="294"/>
      <c r="E151" s="284"/>
    </row>
    <row r="152" spans="1:8" ht="12.75" customHeight="1" x14ac:dyDescent="0.25">
      <c r="A152" s="185"/>
      <c r="B152" s="298" t="s">
        <v>12</v>
      </c>
      <c r="C152" s="280">
        <f>C15</f>
        <v>1.03E-2</v>
      </c>
      <c r="D152" s="294"/>
      <c r="E152" s="284"/>
    </row>
    <row r="153" spans="1:8" ht="12.75" customHeight="1" x14ac:dyDescent="0.25">
      <c r="A153" s="185"/>
      <c r="B153" s="185" t="s">
        <v>224</v>
      </c>
      <c r="C153" s="285" t="s">
        <v>354</v>
      </c>
      <c r="D153" s="294"/>
      <c r="E153" s="284"/>
    </row>
    <row r="154" spans="1:8" ht="12.75" customHeight="1" x14ac:dyDescent="0.25">
      <c r="A154" s="185"/>
      <c r="B154" s="279" t="s">
        <v>677</v>
      </c>
      <c r="C154" s="280">
        <v>1.4500000000000001E-2</v>
      </c>
      <c r="D154" s="294"/>
      <c r="E154" s="284"/>
    </row>
    <row r="155" spans="1:8" ht="12.75" customHeight="1" x14ac:dyDescent="0.25">
      <c r="A155" s="185"/>
      <c r="B155" s="298" t="s">
        <v>118</v>
      </c>
      <c r="C155" s="290"/>
      <c r="D155" s="294"/>
      <c r="E155" s="284"/>
      <c r="G155" s="237"/>
    </row>
    <row r="156" spans="1:8" ht="12.75" customHeight="1" x14ac:dyDescent="0.25">
      <c r="A156" s="185"/>
      <c r="B156" s="298"/>
      <c r="C156" s="299"/>
      <c r="D156" s="208"/>
      <c r="E156" s="800">
        <v>2004893.16</v>
      </c>
      <c r="G156" s="237">
        <f>'Sched-B1'!C12+'Sched-B1'!D12</f>
        <v>2004893.16</v>
      </c>
      <c r="H156" s="237">
        <f>E156-G156</f>
        <v>0</v>
      </c>
    </row>
    <row r="157" spans="1:8" ht="12.75" customHeight="1" x14ac:dyDescent="0.25">
      <c r="A157" s="274" t="s">
        <v>20</v>
      </c>
      <c r="B157" s="298" t="s">
        <v>13</v>
      </c>
      <c r="C157" s="276" t="s">
        <v>312</v>
      </c>
      <c r="D157" s="294"/>
      <c r="E157" s="284" t="s">
        <v>0</v>
      </c>
    </row>
    <row r="158" spans="1:8" ht="12.75" customHeight="1" x14ac:dyDescent="0.25">
      <c r="A158" s="185"/>
      <c r="B158" s="298" t="s">
        <v>371</v>
      </c>
      <c r="C158" s="280">
        <v>6.13E-2</v>
      </c>
      <c r="D158" s="294"/>
      <c r="E158" s="284"/>
    </row>
    <row r="159" spans="1:8" ht="12.75" customHeight="1" x14ac:dyDescent="0.25">
      <c r="A159" s="185"/>
      <c r="B159" s="279" t="s">
        <v>667</v>
      </c>
      <c r="C159" s="280">
        <v>0.22</v>
      </c>
      <c r="D159" s="294"/>
      <c r="E159" s="284"/>
    </row>
    <row r="160" spans="1:8" ht="12.75" customHeight="1" x14ac:dyDescent="0.25">
      <c r="A160" s="185"/>
      <c r="B160" s="279" t="s">
        <v>668</v>
      </c>
      <c r="C160" s="798" t="s">
        <v>114</v>
      </c>
      <c r="D160" s="281"/>
      <c r="E160" s="284" t="s">
        <v>0</v>
      </c>
    </row>
    <row r="161" spans="1:8" ht="12.75" customHeight="1" x14ac:dyDescent="0.25">
      <c r="A161" s="185"/>
      <c r="B161" s="279" t="s">
        <v>669</v>
      </c>
      <c r="C161" s="798" t="s">
        <v>114</v>
      </c>
      <c r="D161" s="281"/>
      <c r="E161" s="284" t="s">
        <v>0</v>
      </c>
    </row>
    <row r="162" spans="1:8" ht="12.75" customHeight="1" x14ac:dyDescent="0.25">
      <c r="A162" s="185"/>
      <c r="B162" s="279" t="s">
        <v>670</v>
      </c>
      <c r="C162" s="798" t="s">
        <v>114</v>
      </c>
      <c r="D162" s="281"/>
      <c r="E162" s="284" t="s">
        <v>0</v>
      </c>
    </row>
    <row r="163" spans="1:8" ht="12.75" customHeight="1" x14ac:dyDescent="0.25">
      <c r="A163" s="185"/>
      <c r="B163" s="279" t="s">
        <v>671</v>
      </c>
      <c r="C163" s="798" t="s">
        <v>114</v>
      </c>
      <c r="D163" s="281"/>
      <c r="E163" s="284" t="s">
        <v>0</v>
      </c>
    </row>
    <row r="164" spans="1:8" ht="12.75" customHeight="1" x14ac:dyDescent="0.25">
      <c r="A164" s="185"/>
      <c r="B164" s="298" t="s">
        <v>9</v>
      </c>
      <c r="C164" s="280">
        <v>3.5999999999999999E-3</v>
      </c>
      <c r="D164" s="294"/>
      <c r="E164" s="284"/>
    </row>
    <row r="165" spans="1:8" ht="12.75" customHeight="1" x14ac:dyDescent="0.25">
      <c r="A165" s="185"/>
      <c r="B165" s="298" t="s">
        <v>10</v>
      </c>
      <c r="C165" s="584" t="str">
        <f>C11</f>
        <v>$1350.25/mo</v>
      </c>
      <c r="D165" s="294"/>
      <c r="E165" s="284"/>
    </row>
    <row r="166" spans="1:8" ht="12.75" customHeight="1" x14ac:dyDescent="0.25">
      <c r="A166" s="185"/>
      <c r="B166" s="298" t="s">
        <v>8</v>
      </c>
      <c r="C166" s="286" t="s">
        <v>338</v>
      </c>
      <c r="D166" s="294"/>
      <c r="E166" s="284"/>
    </row>
    <row r="167" spans="1:8" ht="12.75" customHeight="1" x14ac:dyDescent="0.25">
      <c r="A167" s="185"/>
      <c r="B167" s="298" t="s">
        <v>11</v>
      </c>
      <c r="C167" s="280">
        <f>C13</f>
        <v>4.0000000000000002E-4</v>
      </c>
      <c r="D167" s="294"/>
      <c r="E167" s="284"/>
    </row>
    <row r="168" spans="1:8" ht="12.75" customHeight="1" x14ac:dyDescent="0.25">
      <c r="A168" s="185"/>
      <c r="B168" s="298" t="s">
        <v>15</v>
      </c>
      <c r="C168" s="280">
        <f>C14</f>
        <v>2.2599999999999999E-2</v>
      </c>
      <c r="D168" s="294"/>
      <c r="E168" s="284"/>
    </row>
    <row r="169" spans="1:8" ht="12.75" customHeight="1" x14ac:dyDescent="0.25">
      <c r="A169" s="185"/>
      <c r="B169" s="298" t="s">
        <v>12</v>
      </c>
      <c r="C169" s="280">
        <f>C15</f>
        <v>1.03E-2</v>
      </c>
      <c r="D169" s="294"/>
      <c r="E169" s="284"/>
    </row>
    <row r="170" spans="1:8" ht="12.75" customHeight="1" x14ac:dyDescent="0.25">
      <c r="A170" s="185"/>
      <c r="B170" s="185" t="s">
        <v>224</v>
      </c>
      <c r="C170" s="285" t="s">
        <v>354</v>
      </c>
      <c r="D170" s="294"/>
      <c r="E170" s="284"/>
    </row>
    <row r="171" spans="1:8" ht="12.75" customHeight="1" x14ac:dyDescent="0.25">
      <c r="A171" s="185"/>
      <c r="B171" s="279" t="s">
        <v>677</v>
      </c>
      <c r="C171" s="280">
        <v>1.4500000000000001E-2</v>
      </c>
      <c r="D171" s="294"/>
      <c r="E171" s="284"/>
    </row>
    <row r="172" spans="1:8" ht="12.75" customHeight="1" x14ac:dyDescent="0.25">
      <c r="A172" s="185"/>
      <c r="B172" s="298" t="s">
        <v>118</v>
      </c>
      <c r="C172" s="290"/>
      <c r="D172" s="294"/>
      <c r="E172" s="284"/>
      <c r="G172" s="237"/>
    </row>
    <row r="173" spans="1:8" ht="12.75" customHeight="1" x14ac:dyDescent="0.25">
      <c r="A173" s="185"/>
      <c r="B173" s="298"/>
      <c r="C173" s="299"/>
      <c r="D173" s="208"/>
      <c r="E173" s="800">
        <v>6918037.7000000002</v>
      </c>
      <c r="G173" s="237">
        <f>'Sched-B1'!C13+'Sched-B1'!D13</f>
        <v>6918037.7000000002</v>
      </c>
      <c r="H173" s="237">
        <f>E173-G173</f>
        <v>0</v>
      </c>
    </row>
    <row r="174" spans="1:8" ht="12.75" customHeight="1" x14ac:dyDescent="0.25">
      <c r="A174" s="274" t="s">
        <v>26</v>
      </c>
      <c r="B174" s="298" t="s">
        <v>13</v>
      </c>
      <c r="C174" s="276" t="s">
        <v>312</v>
      </c>
      <c r="D174" s="294"/>
      <c r="E174" s="284" t="s">
        <v>0</v>
      </c>
    </row>
    <row r="175" spans="1:8" ht="12.75" customHeight="1" x14ac:dyDescent="0.25">
      <c r="A175" s="185"/>
      <c r="B175" s="298" t="s">
        <v>371</v>
      </c>
      <c r="C175" s="280">
        <v>6.13E-2</v>
      </c>
      <c r="D175" s="294"/>
      <c r="E175" s="284"/>
    </row>
    <row r="176" spans="1:8" ht="12.75" customHeight="1" x14ac:dyDescent="0.25">
      <c r="A176" s="185"/>
      <c r="B176" s="279" t="s">
        <v>667</v>
      </c>
      <c r="C176" s="280">
        <v>0.22</v>
      </c>
      <c r="D176" s="294"/>
      <c r="E176" s="284"/>
    </row>
    <row r="177" spans="1:8" ht="12.75" customHeight="1" x14ac:dyDescent="0.25">
      <c r="A177" s="185"/>
      <c r="B177" s="279" t="s">
        <v>668</v>
      </c>
      <c r="C177" s="798" t="s">
        <v>114</v>
      </c>
      <c r="D177" s="281"/>
      <c r="E177" s="284" t="s">
        <v>0</v>
      </c>
    </row>
    <row r="178" spans="1:8" ht="12.75" customHeight="1" x14ac:dyDescent="0.25">
      <c r="A178" s="185"/>
      <c r="B178" s="279" t="s">
        <v>669</v>
      </c>
      <c r="C178" s="798" t="s">
        <v>114</v>
      </c>
      <c r="D178" s="281"/>
      <c r="E178" s="284" t="s">
        <v>0</v>
      </c>
    </row>
    <row r="179" spans="1:8" ht="12.75" customHeight="1" x14ac:dyDescent="0.25">
      <c r="A179" s="185"/>
      <c r="B179" s="279" t="s">
        <v>670</v>
      </c>
      <c r="C179" s="798" t="s">
        <v>114</v>
      </c>
      <c r="D179" s="281"/>
      <c r="E179" s="284" t="s">
        <v>0</v>
      </c>
    </row>
    <row r="180" spans="1:8" ht="12.75" customHeight="1" x14ac:dyDescent="0.25">
      <c r="A180" s="185"/>
      <c r="B180" s="279" t="s">
        <v>671</v>
      </c>
      <c r="C180" s="798" t="s">
        <v>114</v>
      </c>
      <c r="D180" s="281"/>
      <c r="E180" s="284" t="s">
        <v>0</v>
      </c>
    </row>
    <row r="181" spans="1:8" ht="12.75" customHeight="1" x14ac:dyDescent="0.25">
      <c r="A181" s="185"/>
      <c r="B181" s="298" t="s">
        <v>9</v>
      </c>
      <c r="C181" s="280">
        <v>3.5999999999999999E-3</v>
      </c>
      <c r="D181" s="294"/>
      <c r="E181" s="284"/>
    </row>
    <row r="182" spans="1:8" ht="12.75" customHeight="1" x14ac:dyDescent="0.25">
      <c r="A182" s="185"/>
      <c r="B182" s="298" t="s">
        <v>10</v>
      </c>
      <c r="C182" s="584" t="str">
        <f>C11</f>
        <v>$1350.25/mo</v>
      </c>
      <c r="D182" s="294"/>
      <c r="E182" s="284"/>
    </row>
    <row r="183" spans="1:8" ht="12.75" customHeight="1" x14ac:dyDescent="0.25">
      <c r="A183" s="185"/>
      <c r="B183" s="298" t="s">
        <v>8</v>
      </c>
      <c r="C183" s="286" t="s">
        <v>338</v>
      </c>
      <c r="D183" s="294"/>
      <c r="E183" s="284"/>
    </row>
    <row r="184" spans="1:8" ht="12.75" customHeight="1" x14ac:dyDescent="0.25">
      <c r="A184" s="185"/>
      <c r="B184" s="298" t="s">
        <v>11</v>
      </c>
      <c r="C184" s="280">
        <f>C13</f>
        <v>4.0000000000000002E-4</v>
      </c>
      <c r="D184" s="294"/>
      <c r="E184" s="284"/>
    </row>
    <row r="185" spans="1:8" ht="12.75" customHeight="1" x14ac:dyDescent="0.25">
      <c r="A185" s="185"/>
      <c r="B185" s="298" t="s">
        <v>15</v>
      </c>
      <c r="C185" s="280">
        <f>C14</f>
        <v>2.2599999999999999E-2</v>
      </c>
      <c r="D185" s="294"/>
      <c r="E185" s="284"/>
    </row>
    <row r="186" spans="1:8" ht="12.75" customHeight="1" x14ac:dyDescent="0.25">
      <c r="A186" s="185"/>
      <c r="B186" s="298" t="s">
        <v>12</v>
      </c>
      <c r="C186" s="280">
        <f>C15</f>
        <v>1.03E-2</v>
      </c>
      <c r="D186" s="294"/>
      <c r="E186" s="284"/>
    </row>
    <row r="187" spans="1:8" ht="12.75" customHeight="1" x14ac:dyDescent="0.25">
      <c r="A187" s="185"/>
      <c r="B187" s="185" t="s">
        <v>224</v>
      </c>
      <c r="C187" s="285" t="s">
        <v>354</v>
      </c>
      <c r="D187" s="294"/>
      <c r="E187" s="284"/>
    </row>
    <row r="188" spans="1:8" ht="12.75" customHeight="1" x14ac:dyDescent="0.25">
      <c r="A188" s="185"/>
      <c r="B188" s="279" t="s">
        <v>677</v>
      </c>
      <c r="C188" s="280">
        <v>1.4500000000000001E-2</v>
      </c>
      <c r="D188" s="294"/>
      <c r="E188" s="284"/>
    </row>
    <row r="189" spans="1:8" ht="12.75" customHeight="1" x14ac:dyDescent="0.25">
      <c r="A189" s="185"/>
      <c r="B189" s="298" t="s">
        <v>118</v>
      </c>
      <c r="C189" s="290"/>
      <c r="D189" s="294"/>
      <c r="E189" s="284"/>
      <c r="G189" s="237"/>
    </row>
    <row r="190" spans="1:8" ht="12.75" customHeight="1" x14ac:dyDescent="0.25">
      <c r="A190" s="185"/>
      <c r="B190" s="298"/>
      <c r="C190" s="299"/>
      <c r="D190" s="208"/>
      <c r="E190" s="800">
        <v>4604166.01</v>
      </c>
      <c r="G190" s="237">
        <f>'Sched-B1'!C14+'Sched-B1'!D14</f>
        <v>4604166.0100000007</v>
      </c>
      <c r="H190" s="237">
        <f>E190-G190</f>
        <v>0</v>
      </c>
    </row>
    <row r="191" spans="1:8" ht="12.75" customHeight="1" x14ac:dyDescent="0.25">
      <c r="A191" s="274" t="s">
        <v>21</v>
      </c>
      <c r="B191" s="298" t="s">
        <v>13</v>
      </c>
      <c r="C191" s="276" t="s">
        <v>312</v>
      </c>
      <c r="D191" s="294">
        <v>0</v>
      </c>
      <c r="E191" s="284" t="s">
        <v>0</v>
      </c>
    </row>
    <row r="192" spans="1:8" ht="12.75" customHeight="1" x14ac:dyDescent="0.25">
      <c r="A192" s="185"/>
      <c r="B192" s="298" t="s">
        <v>371</v>
      </c>
      <c r="C192" s="280">
        <v>6.13E-2</v>
      </c>
      <c r="D192" s="294"/>
      <c r="E192" s="284"/>
    </row>
    <row r="193" spans="1:8" ht="12.75" customHeight="1" x14ac:dyDescent="0.25">
      <c r="A193" s="185"/>
      <c r="B193" s="279" t="s">
        <v>667</v>
      </c>
      <c r="C193" s="280">
        <v>0.22</v>
      </c>
      <c r="D193" s="294"/>
      <c r="E193" s="284"/>
    </row>
    <row r="194" spans="1:8" ht="12.75" customHeight="1" x14ac:dyDescent="0.25">
      <c r="A194" s="185"/>
      <c r="B194" s="279" t="s">
        <v>668</v>
      </c>
      <c r="C194" s="798" t="s">
        <v>114</v>
      </c>
      <c r="D194" s="281"/>
      <c r="E194" s="284" t="s">
        <v>0</v>
      </c>
    </row>
    <row r="195" spans="1:8" ht="12.75" customHeight="1" x14ac:dyDescent="0.25">
      <c r="A195" s="185"/>
      <c r="B195" s="279" t="s">
        <v>669</v>
      </c>
      <c r="C195" s="798" t="s">
        <v>114</v>
      </c>
      <c r="D195" s="281"/>
      <c r="E195" s="284" t="s">
        <v>0</v>
      </c>
    </row>
    <row r="196" spans="1:8" ht="12.75" customHeight="1" x14ac:dyDescent="0.25">
      <c r="A196" s="185"/>
      <c r="B196" s="279" t="s">
        <v>670</v>
      </c>
      <c r="C196" s="798" t="s">
        <v>114</v>
      </c>
      <c r="D196" s="281"/>
      <c r="E196" s="284" t="s">
        <v>0</v>
      </c>
    </row>
    <row r="197" spans="1:8" ht="12.75" customHeight="1" x14ac:dyDescent="0.25">
      <c r="A197" s="185"/>
      <c r="B197" s="279" t="s">
        <v>671</v>
      </c>
      <c r="C197" s="798" t="s">
        <v>114</v>
      </c>
      <c r="D197" s="281"/>
      <c r="E197" s="284" t="s">
        <v>0</v>
      </c>
    </row>
    <row r="198" spans="1:8" ht="12.75" customHeight="1" x14ac:dyDescent="0.25">
      <c r="A198" s="185"/>
      <c r="B198" s="298" t="s">
        <v>9</v>
      </c>
      <c r="C198" s="280">
        <v>3.5999999999999999E-3</v>
      </c>
      <c r="D198" s="294"/>
      <c r="E198" s="284"/>
    </row>
    <row r="199" spans="1:8" ht="12.75" customHeight="1" x14ac:dyDescent="0.25">
      <c r="A199" s="185"/>
      <c r="B199" s="298" t="s">
        <v>10</v>
      </c>
      <c r="C199" s="584" t="str">
        <f>C11</f>
        <v>$1350.25/mo</v>
      </c>
      <c r="D199" s="294"/>
      <c r="E199" s="284"/>
    </row>
    <row r="200" spans="1:8" ht="12.75" customHeight="1" x14ac:dyDescent="0.25">
      <c r="A200" s="185"/>
      <c r="B200" s="298" t="s">
        <v>8</v>
      </c>
      <c r="C200" s="286" t="s">
        <v>338</v>
      </c>
      <c r="D200" s="294"/>
      <c r="E200" s="284"/>
    </row>
    <row r="201" spans="1:8" ht="12.75" customHeight="1" x14ac:dyDescent="0.25">
      <c r="A201" s="185"/>
      <c r="B201" s="298" t="s">
        <v>11</v>
      </c>
      <c r="C201" s="280">
        <f>C13</f>
        <v>4.0000000000000002E-4</v>
      </c>
      <c r="D201" s="294"/>
      <c r="E201" s="284"/>
    </row>
    <row r="202" spans="1:8" ht="12.75" customHeight="1" x14ac:dyDescent="0.25">
      <c r="A202" s="185"/>
      <c r="B202" s="298" t="s">
        <v>15</v>
      </c>
      <c r="C202" s="280">
        <f>C14</f>
        <v>2.2599999999999999E-2</v>
      </c>
      <c r="D202" s="294"/>
      <c r="E202" s="284"/>
    </row>
    <row r="203" spans="1:8" ht="12.75" customHeight="1" x14ac:dyDescent="0.25">
      <c r="A203" s="185"/>
      <c r="B203" s="298" t="s">
        <v>12</v>
      </c>
      <c r="C203" s="280">
        <f>C15</f>
        <v>1.03E-2</v>
      </c>
      <c r="D203" s="294"/>
      <c r="E203" s="284"/>
    </row>
    <row r="204" spans="1:8" ht="12.75" customHeight="1" x14ac:dyDescent="0.25">
      <c r="A204" s="185"/>
      <c r="B204" s="185" t="s">
        <v>224</v>
      </c>
      <c r="C204" s="285" t="s">
        <v>354</v>
      </c>
      <c r="D204" s="294"/>
      <c r="E204" s="284"/>
    </row>
    <row r="205" spans="1:8" ht="12.75" customHeight="1" x14ac:dyDescent="0.25">
      <c r="A205" s="185"/>
      <c r="B205" s="279" t="s">
        <v>677</v>
      </c>
      <c r="C205" s="280">
        <v>1.4500000000000001E-2</v>
      </c>
      <c r="D205" s="294"/>
      <c r="E205" s="284"/>
    </row>
    <row r="206" spans="1:8" ht="12.75" customHeight="1" x14ac:dyDescent="0.25">
      <c r="A206" s="209"/>
      <c r="B206" s="300" t="s">
        <v>118</v>
      </c>
      <c r="C206" s="290"/>
      <c r="D206" s="301"/>
      <c r="E206" s="302"/>
      <c r="G206" s="237"/>
    </row>
    <row r="207" spans="1:8" ht="12.75" customHeight="1" thickBot="1" x14ac:dyDescent="0.3">
      <c r="A207" s="303"/>
      <c r="B207" s="304"/>
      <c r="C207" s="305"/>
      <c r="D207" s="306"/>
      <c r="E207" s="800">
        <v>2364994.06</v>
      </c>
      <c r="G207" s="237">
        <f>'Sched-B1'!C15+'Sched-B1'!D15</f>
        <v>2364994.06</v>
      </c>
      <c r="H207" s="237">
        <f>E207-G207</f>
        <v>0</v>
      </c>
    </row>
    <row r="208" spans="1:8" ht="12.75" customHeight="1" x14ac:dyDescent="0.25">
      <c r="A208" s="274" t="s">
        <v>311</v>
      </c>
      <c r="B208" s="279" t="s">
        <v>13</v>
      </c>
      <c r="C208" s="276" t="s">
        <v>312</v>
      </c>
      <c r="D208" s="294">
        <v>0</v>
      </c>
      <c r="E208" s="284" t="s">
        <v>0</v>
      </c>
    </row>
    <row r="209" spans="1:8" ht="12.75" customHeight="1" x14ac:dyDescent="0.25">
      <c r="A209" s="207"/>
      <c r="B209" s="279" t="s">
        <v>371</v>
      </c>
      <c r="C209" s="280">
        <v>6.13E-2</v>
      </c>
      <c r="D209" s="294">
        <v>0</v>
      </c>
      <c r="E209" s="284"/>
    </row>
    <row r="210" spans="1:8" ht="12.75" customHeight="1" x14ac:dyDescent="0.25">
      <c r="A210" s="185"/>
      <c r="B210" s="279" t="s">
        <v>667</v>
      </c>
      <c r="C210" s="280">
        <v>0.22</v>
      </c>
      <c r="D210" s="294">
        <v>0</v>
      </c>
      <c r="E210" s="284"/>
    </row>
    <row r="211" spans="1:8" ht="12.75" customHeight="1" x14ac:dyDescent="0.25">
      <c r="A211" s="185"/>
      <c r="B211" s="279" t="s">
        <v>668</v>
      </c>
      <c r="C211" s="798" t="s">
        <v>114</v>
      </c>
      <c r="D211" s="281">
        <v>0</v>
      </c>
      <c r="E211" s="284" t="s">
        <v>0</v>
      </c>
    </row>
    <row r="212" spans="1:8" ht="12.75" customHeight="1" x14ac:dyDescent="0.25">
      <c r="A212" s="185"/>
      <c r="B212" s="279" t="s">
        <v>669</v>
      </c>
      <c r="C212" s="798" t="s">
        <v>114</v>
      </c>
      <c r="D212" s="281">
        <v>0</v>
      </c>
      <c r="E212" s="284" t="s">
        <v>0</v>
      </c>
    </row>
    <row r="213" spans="1:8" ht="12.75" customHeight="1" x14ac:dyDescent="0.25">
      <c r="A213" s="185"/>
      <c r="B213" s="279" t="s">
        <v>670</v>
      </c>
      <c r="C213" s="798" t="s">
        <v>114</v>
      </c>
      <c r="D213" s="281">
        <v>0</v>
      </c>
      <c r="E213" s="284" t="s">
        <v>0</v>
      </c>
    </row>
    <row r="214" spans="1:8" ht="12.75" customHeight="1" x14ac:dyDescent="0.25">
      <c r="A214" s="185"/>
      <c r="B214" s="279" t="s">
        <v>671</v>
      </c>
      <c r="C214" s="798" t="s">
        <v>114</v>
      </c>
      <c r="D214" s="281">
        <v>0</v>
      </c>
      <c r="E214" s="284" t="s">
        <v>0</v>
      </c>
    </row>
    <row r="215" spans="1:8" ht="12.75" customHeight="1" x14ac:dyDescent="0.25">
      <c r="A215" s="185"/>
      <c r="B215" s="279" t="s">
        <v>9</v>
      </c>
      <c r="C215" s="280">
        <v>3.5999999999999999E-3</v>
      </c>
      <c r="D215" s="294">
        <v>0</v>
      </c>
      <c r="E215" s="284"/>
    </row>
    <row r="216" spans="1:8" ht="12.75" customHeight="1" x14ac:dyDescent="0.25">
      <c r="A216" s="185"/>
      <c r="B216" s="279" t="s">
        <v>10</v>
      </c>
      <c r="C216" s="584" t="str">
        <f>C11</f>
        <v>$1350.25/mo</v>
      </c>
      <c r="D216" s="294">
        <v>0</v>
      </c>
      <c r="E216" s="284"/>
    </row>
    <row r="217" spans="1:8" ht="12.75" customHeight="1" x14ac:dyDescent="0.25">
      <c r="A217" s="185"/>
      <c r="B217" s="279" t="s">
        <v>8</v>
      </c>
      <c r="C217" s="286" t="s">
        <v>338</v>
      </c>
      <c r="D217" s="294">
        <v>0</v>
      </c>
      <c r="E217" s="284"/>
    </row>
    <row r="218" spans="1:8" ht="12.75" customHeight="1" x14ac:dyDescent="0.25">
      <c r="A218" s="185"/>
      <c r="B218" s="279" t="s">
        <v>11</v>
      </c>
      <c r="C218" s="280">
        <f>C13</f>
        <v>4.0000000000000002E-4</v>
      </c>
      <c r="D218" s="294">
        <v>0</v>
      </c>
      <c r="E218" s="284"/>
    </row>
    <row r="219" spans="1:8" ht="12.75" customHeight="1" x14ac:dyDescent="0.25">
      <c r="A219" s="185"/>
      <c r="B219" s="279" t="s">
        <v>15</v>
      </c>
      <c r="C219" s="280">
        <f>C14</f>
        <v>2.2599999999999999E-2</v>
      </c>
      <c r="D219" s="294">
        <v>0</v>
      </c>
      <c r="E219" s="284"/>
    </row>
    <row r="220" spans="1:8" ht="12.75" customHeight="1" x14ac:dyDescent="0.25">
      <c r="A220" s="185"/>
      <c r="B220" s="279" t="s">
        <v>12</v>
      </c>
      <c r="C220" s="280">
        <f>C15</f>
        <v>1.03E-2</v>
      </c>
      <c r="D220" s="294">
        <v>0</v>
      </c>
      <c r="E220" s="284"/>
    </row>
    <row r="221" spans="1:8" ht="12.75" customHeight="1" x14ac:dyDescent="0.25">
      <c r="A221" s="185"/>
      <c r="B221" s="287" t="s">
        <v>224</v>
      </c>
      <c r="C221" s="285" t="s">
        <v>354</v>
      </c>
      <c r="D221" s="294">
        <v>0</v>
      </c>
      <c r="E221" s="284"/>
    </row>
    <row r="222" spans="1:8" ht="12.75" customHeight="1" x14ac:dyDescent="0.25">
      <c r="A222" s="185"/>
      <c r="B222" s="279" t="s">
        <v>677</v>
      </c>
      <c r="C222" s="280">
        <v>1.4500000000000001E-2</v>
      </c>
      <c r="D222" s="294">
        <v>0</v>
      </c>
      <c r="E222" s="284"/>
    </row>
    <row r="223" spans="1:8" ht="12.75" customHeight="1" x14ac:dyDescent="0.25">
      <c r="A223" s="185"/>
      <c r="B223" s="279" t="s">
        <v>118</v>
      </c>
      <c r="C223" s="290"/>
      <c r="D223" s="294">
        <v>0</v>
      </c>
      <c r="E223" s="284"/>
      <c r="G223" s="237"/>
    </row>
    <row r="224" spans="1:8" ht="12.75" customHeight="1" thickBot="1" x14ac:dyDescent="0.3">
      <c r="A224" s="307"/>
      <c r="B224" s="308"/>
      <c r="C224" s="309"/>
      <c r="D224" s="310"/>
      <c r="E224" s="800">
        <f>SUM(D208:D223)</f>
        <v>0</v>
      </c>
      <c r="G224" s="237">
        <f>'Sched-B1'!C16+'Sched-B1'!D16</f>
        <v>0</v>
      </c>
      <c r="H224" s="297">
        <f>E224-G224</f>
        <v>0</v>
      </c>
    </row>
    <row r="225" spans="1:8" ht="19.5" customHeight="1" thickBot="1" x14ac:dyDescent="0.3">
      <c r="A225" s="1126" t="s">
        <v>22</v>
      </c>
      <c r="B225" s="1127"/>
      <c r="C225" s="1127"/>
      <c r="D225" s="330"/>
      <c r="E225" s="802">
        <f>SUM(E224,E207,E190,E173,E156,E139,E122,E105,E88,E54,E37,E20+E71)</f>
        <v>54585144.169999994</v>
      </c>
      <c r="G225" s="237">
        <f>SUM(G3:G224)</f>
        <v>54585144.170000009</v>
      </c>
    </row>
    <row r="226" spans="1:8" ht="15.75" thickTop="1" x14ac:dyDescent="0.25">
      <c r="A226" s="210"/>
      <c r="B226" s="311"/>
      <c r="C226" s="312"/>
      <c r="D226" s="211"/>
      <c r="E226" s="313"/>
      <c r="G226" s="237">
        <f>'Sched-B1'!C17+'Sched-B1'!D17</f>
        <v>54585144.170000009</v>
      </c>
    </row>
    <row r="227" spans="1:8" x14ac:dyDescent="0.25">
      <c r="A227" s="585" t="s">
        <v>943</v>
      </c>
      <c r="B227" s="311"/>
      <c r="C227" s="312"/>
      <c r="D227" s="211"/>
      <c r="E227" s="313"/>
      <c r="G227" s="237">
        <f>G225-G226</f>
        <v>0</v>
      </c>
      <c r="H227" s="229" t="s">
        <v>464</v>
      </c>
    </row>
    <row r="228" spans="1:8" x14ac:dyDescent="0.25">
      <c r="B228" s="311"/>
      <c r="C228" s="312"/>
      <c r="D228" s="211"/>
      <c r="E228" s="313"/>
    </row>
    <row r="229" spans="1:8" x14ac:dyDescent="0.25">
      <c r="A229" s="212"/>
      <c r="B229" s="311"/>
      <c r="C229" s="312"/>
      <c r="D229" s="211"/>
      <c r="E229" s="313"/>
    </row>
    <row r="230" spans="1:8" x14ac:dyDescent="0.25">
      <c r="B230" s="311"/>
      <c r="C230" s="312"/>
      <c r="D230" s="211"/>
      <c r="E230" s="313"/>
    </row>
    <row r="231" spans="1:8" x14ac:dyDescent="0.25">
      <c r="B231" s="311"/>
      <c r="C231" s="312"/>
      <c r="D231" s="211"/>
      <c r="E231" s="313"/>
    </row>
    <row r="232" spans="1:8" x14ac:dyDescent="0.25">
      <c r="B232" s="311"/>
      <c r="C232" s="312"/>
      <c r="D232" s="211"/>
      <c r="E232" s="313"/>
      <c r="G232" s="237"/>
    </row>
    <row r="233" spans="1:8" x14ac:dyDescent="0.25">
      <c r="B233" s="311"/>
      <c r="C233" s="312"/>
      <c r="D233" s="211"/>
      <c r="E233" s="313"/>
    </row>
    <row r="234" spans="1:8" x14ac:dyDescent="0.25">
      <c r="B234" s="311"/>
      <c r="C234" s="312"/>
      <c r="D234" s="211"/>
      <c r="E234" s="313"/>
    </row>
    <row r="235" spans="1:8" x14ac:dyDescent="0.25">
      <c r="B235" s="311"/>
      <c r="C235" s="312"/>
      <c r="D235" s="211"/>
      <c r="E235" s="313"/>
    </row>
    <row r="236" spans="1:8" x14ac:dyDescent="0.25">
      <c r="D236" s="314"/>
      <c r="E236" s="314"/>
    </row>
    <row r="237" spans="1:8" x14ac:dyDescent="0.25">
      <c r="A237" s="315"/>
      <c r="D237" s="314"/>
      <c r="E237" s="314"/>
    </row>
    <row r="238" spans="1:8" x14ac:dyDescent="0.25">
      <c r="D238" s="314"/>
      <c r="E238" s="314"/>
    </row>
    <row r="239" spans="1:8" x14ac:dyDescent="0.25">
      <c r="D239" s="314"/>
      <c r="E239" s="314"/>
    </row>
    <row r="240" spans="1:8" x14ac:dyDescent="0.25">
      <c r="D240" s="314"/>
      <c r="E240" s="314"/>
    </row>
    <row r="241" spans="4:5" x14ac:dyDescent="0.25">
      <c r="D241" s="314"/>
      <c r="E241" s="314"/>
    </row>
    <row r="242" spans="4:5" x14ac:dyDescent="0.25">
      <c r="D242" s="314"/>
      <c r="E242" s="314"/>
    </row>
    <row r="243" spans="4:5" x14ac:dyDescent="0.25">
      <c r="D243" s="314"/>
      <c r="E243" s="314"/>
    </row>
    <row r="244" spans="4:5" x14ac:dyDescent="0.25">
      <c r="D244" s="314"/>
      <c r="E244" s="314"/>
    </row>
    <row r="245" spans="4:5" x14ac:dyDescent="0.25">
      <c r="D245" s="314"/>
      <c r="E245" s="314"/>
    </row>
    <row r="246" spans="4:5" x14ac:dyDescent="0.25">
      <c r="D246" s="314"/>
      <c r="E246" s="314"/>
    </row>
    <row r="247" spans="4:5" x14ac:dyDescent="0.25">
      <c r="D247" s="314"/>
      <c r="E247" s="314"/>
    </row>
    <row r="248" spans="4:5" x14ac:dyDescent="0.25">
      <c r="D248" s="314"/>
      <c r="E248" s="314"/>
    </row>
    <row r="249" spans="4:5" x14ac:dyDescent="0.25">
      <c r="D249" s="314"/>
      <c r="E249" s="314"/>
    </row>
    <row r="250" spans="4:5" x14ac:dyDescent="0.25">
      <c r="D250" s="314"/>
      <c r="E250" s="314"/>
    </row>
    <row r="251" spans="4:5" x14ac:dyDescent="0.25">
      <c r="D251" s="314"/>
      <c r="E251" s="314"/>
    </row>
    <row r="252" spans="4:5" x14ac:dyDescent="0.25">
      <c r="D252" s="314"/>
      <c r="E252" s="314"/>
    </row>
    <row r="253" spans="4:5" x14ac:dyDescent="0.25">
      <c r="D253" s="314"/>
      <c r="E253" s="314"/>
    </row>
    <row r="254" spans="4:5" x14ac:dyDescent="0.25">
      <c r="D254" s="314"/>
      <c r="E254" s="314"/>
    </row>
    <row r="255" spans="4:5" x14ac:dyDescent="0.25">
      <c r="D255" s="314"/>
      <c r="E255" s="314"/>
    </row>
    <row r="256" spans="4:5" x14ac:dyDescent="0.25">
      <c r="D256" s="314"/>
      <c r="E256" s="314"/>
    </row>
    <row r="257" spans="4:5" x14ac:dyDescent="0.25">
      <c r="D257" s="314"/>
      <c r="E257" s="314"/>
    </row>
    <row r="258" spans="4:5" x14ac:dyDescent="0.25">
      <c r="D258" s="314"/>
      <c r="E258" s="314"/>
    </row>
    <row r="259" spans="4:5" x14ac:dyDescent="0.25">
      <c r="D259" s="314"/>
      <c r="E259" s="314"/>
    </row>
    <row r="260" spans="4:5" x14ac:dyDescent="0.25">
      <c r="D260" s="314"/>
      <c r="E260" s="314"/>
    </row>
    <row r="261" spans="4:5" x14ac:dyDescent="0.25">
      <c r="D261" s="314"/>
      <c r="E261" s="314"/>
    </row>
    <row r="262" spans="4:5" x14ac:dyDescent="0.25">
      <c r="D262" s="314"/>
      <c r="E262" s="314"/>
    </row>
    <row r="263" spans="4:5" x14ac:dyDescent="0.25">
      <c r="D263" s="314"/>
      <c r="E263" s="314"/>
    </row>
    <row r="264" spans="4:5" x14ac:dyDescent="0.25">
      <c r="D264" s="314"/>
      <c r="E264" s="314"/>
    </row>
    <row r="265" spans="4:5" x14ac:dyDescent="0.25">
      <c r="D265" s="314"/>
      <c r="E265" s="314"/>
    </row>
    <row r="266" spans="4:5" x14ac:dyDescent="0.25">
      <c r="D266" s="314"/>
      <c r="E266" s="314"/>
    </row>
    <row r="267" spans="4:5" x14ac:dyDescent="0.25">
      <c r="D267" s="314"/>
      <c r="E267" s="314"/>
    </row>
    <row r="268" spans="4:5" x14ac:dyDescent="0.25">
      <c r="D268" s="314"/>
      <c r="E268" s="314"/>
    </row>
    <row r="269" spans="4:5" x14ac:dyDescent="0.25">
      <c r="D269" s="314"/>
      <c r="E269" s="314"/>
    </row>
    <row r="270" spans="4:5" x14ac:dyDescent="0.25">
      <c r="D270" s="314"/>
      <c r="E270" s="314"/>
    </row>
    <row r="271" spans="4:5" x14ac:dyDescent="0.25">
      <c r="D271" s="314"/>
      <c r="E271" s="314"/>
    </row>
    <row r="272" spans="4:5" x14ac:dyDescent="0.25">
      <c r="D272" s="314"/>
      <c r="E272" s="314"/>
    </row>
    <row r="273" spans="4:5" x14ac:dyDescent="0.25">
      <c r="D273" s="314"/>
      <c r="E273" s="314"/>
    </row>
    <row r="274" spans="4:5" x14ac:dyDescent="0.25">
      <c r="D274" s="314"/>
      <c r="E274" s="314"/>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G27"/>
  <sheetViews>
    <sheetView showGridLines="0" workbookViewId="0">
      <pane xSplit="1" ySplit="2" topLeftCell="B9" activePane="bottomRight" state="frozen"/>
      <selection activeCell="B35" sqref="B35"/>
      <selection pane="topRight" activeCell="B35" sqref="B35"/>
      <selection pane="bottomLeft" activeCell="B35" sqref="B35"/>
      <selection pane="bottomRight" activeCell="D24" sqref="D24"/>
    </sheetView>
  </sheetViews>
  <sheetFormatPr defaultColWidth="9.140625" defaultRowHeight="12.75" x14ac:dyDescent="0.2"/>
  <cols>
    <col min="1" max="1" width="27" style="180" customWidth="1"/>
    <col min="2" max="2" width="31.42578125" style="180" bestFit="1" customWidth="1"/>
    <col min="3" max="3" width="13" style="180" customWidth="1"/>
    <col min="4" max="4" width="18.85546875" style="180" bestFit="1" customWidth="1"/>
    <col min="5" max="5" width="10.7109375" style="262" customWidth="1"/>
    <col min="6" max="6" width="17.7109375" style="180" customWidth="1"/>
    <col min="7" max="7" width="13.5703125" style="180" customWidth="1"/>
    <col min="8" max="16384" width="9.140625" style="180"/>
  </cols>
  <sheetData>
    <row r="1" spans="1:7" ht="31.5" customHeight="1" thickBot="1" x14ac:dyDescent="0.25">
      <c r="A1" s="1114" t="s">
        <v>120</v>
      </c>
      <c r="B1" s="1114"/>
      <c r="C1" s="1114"/>
      <c r="D1" s="1114"/>
    </row>
    <row r="2" spans="1:7" ht="33" thickTop="1" thickBot="1" x14ac:dyDescent="0.3">
      <c r="A2" s="335" t="s">
        <v>31</v>
      </c>
      <c r="B2" s="336" t="s">
        <v>32</v>
      </c>
      <c r="C2" s="336" t="s">
        <v>33</v>
      </c>
      <c r="D2" s="337" t="s">
        <v>4</v>
      </c>
      <c r="E2" s="668" t="s">
        <v>679</v>
      </c>
      <c r="F2" s="316"/>
    </row>
    <row r="3" spans="1:7" ht="16.5" thickTop="1" x14ac:dyDescent="0.25">
      <c r="A3" s="274" t="s">
        <v>34</v>
      </c>
      <c r="B3" s="269" t="s">
        <v>35</v>
      </c>
      <c r="C3" s="255">
        <f>29+6+12</f>
        <v>47</v>
      </c>
      <c r="D3" s="192">
        <v>19122219.300000001</v>
      </c>
      <c r="E3" s="262">
        <v>3041</v>
      </c>
      <c r="F3" s="227"/>
    </row>
    <row r="4" spans="1:7" ht="15.75" x14ac:dyDescent="0.25">
      <c r="A4" s="185"/>
      <c r="B4" s="269" t="s">
        <v>36</v>
      </c>
      <c r="C4" s="255"/>
      <c r="D4" s="192"/>
    </row>
    <row r="5" spans="1:7" ht="15.75" x14ac:dyDescent="0.25">
      <c r="A5" s="185"/>
      <c r="B5" s="269" t="s">
        <v>37</v>
      </c>
      <c r="C5" s="255" t="s">
        <v>114</v>
      </c>
      <c r="D5" s="317"/>
    </row>
    <row r="6" spans="1:7" ht="15.75" x14ac:dyDescent="0.25">
      <c r="A6" s="185"/>
      <c r="B6" s="269" t="s">
        <v>36</v>
      </c>
      <c r="C6" s="255"/>
      <c r="D6" s="192"/>
    </row>
    <row r="7" spans="1:7" ht="15.75" x14ac:dyDescent="0.25">
      <c r="A7" s="185"/>
      <c r="B7" s="269" t="s">
        <v>0</v>
      </c>
      <c r="C7" s="255"/>
      <c r="D7" s="192"/>
    </row>
    <row r="8" spans="1:7" ht="15.75" x14ac:dyDescent="0.25">
      <c r="A8" s="274" t="s">
        <v>38</v>
      </c>
      <c r="B8" s="269" t="s">
        <v>39</v>
      </c>
      <c r="C8" s="255">
        <f>6</f>
        <v>6</v>
      </c>
      <c r="D8" s="192">
        <v>337011.47</v>
      </c>
      <c r="E8" s="262">
        <v>3042</v>
      </c>
      <c r="F8" s="227"/>
    </row>
    <row r="9" spans="1:7" ht="15.75" x14ac:dyDescent="0.25">
      <c r="A9" s="185"/>
      <c r="B9" s="269" t="s">
        <v>40</v>
      </c>
      <c r="C9" s="255"/>
      <c r="D9" s="192"/>
    </row>
    <row r="10" spans="1:7" ht="15.75" x14ac:dyDescent="0.25">
      <c r="A10" s="185" t="s">
        <v>0</v>
      </c>
      <c r="B10" s="269" t="s">
        <v>121</v>
      </c>
      <c r="C10" s="255" t="s">
        <v>114</v>
      </c>
      <c r="D10" s="192"/>
    </row>
    <row r="11" spans="1:7" ht="15.75" x14ac:dyDescent="0.25">
      <c r="A11" s="185"/>
      <c r="B11" s="269" t="s">
        <v>40</v>
      </c>
      <c r="C11" s="255"/>
      <c r="D11" s="192"/>
    </row>
    <row r="12" spans="1:7" ht="15.75" x14ac:dyDescent="0.25">
      <c r="A12" s="185"/>
      <c r="B12" s="269" t="s">
        <v>0</v>
      </c>
      <c r="C12" s="255"/>
      <c r="D12" s="192"/>
    </row>
    <row r="13" spans="1:7" ht="15.75" x14ac:dyDescent="0.25">
      <c r="A13" s="274" t="s">
        <v>41</v>
      </c>
      <c r="B13" s="269" t="s">
        <v>35</v>
      </c>
      <c r="C13" s="255">
        <f>1+1+23</f>
        <v>25</v>
      </c>
      <c r="D13" s="318">
        <f>1341550.89+1312460.31+68500+106200</f>
        <v>2828711.2</v>
      </c>
      <c r="E13" s="262">
        <v>3040</v>
      </c>
      <c r="F13" s="319" t="s">
        <v>789</v>
      </c>
      <c r="G13" s="180" t="s">
        <v>944</v>
      </c>
    </row>
    <row r="14" spans="1:7" ht="15.75" x14ac:dyDescent="0.25">
      <c r="A14" s="185"/>
      <c r="B14" s="269" t="s">
        <v>42</v>
      </c>
      <c r="C14" s="255"/>
      <c r="D14" s="192"/>
      <c r="G14" s="338">
        <f>68500+106200</f>
        <v>174700</v>
      </c>
    </row>
    <row r="15" spans="1:7" ht="15.75" x14ac:dyDescent="0.25">
      <c r="A15" s="185"/>
      <c r="B15" s="269" t="s">
        <v>43</v>
      </c>
      <c r="C15" s="255"/>
      <c r="D15" s="192"/>
    </row>
    <row r="16" spans="1:7" ht="15.75" x14ac:dyDescent="0.25">
      <c r="A16" s="185"/>
      <c r="B16" s="269" t="s">
        <v>0</v>
      </c>
      <c r="C16" s="255"/>
      <c r="D16" s="192"/>
      <c r="F16" s="227"/>
    </row>
    <row r="17" spans="1:6" ht="15.75" x14ac:dyDescent="0.25">
      <c r="A17" s="274" t="s">
        <v>44</v>
      </c>
      <c r="B17" s="269" t="s">
        <v>39</v>
      </c>
      <c r="C17" s="255">
        <f>1+10+5</f>
        <v>16</v>
      </c>
      <c r="D17" s="192">
        <f>3415640-1341550.89-1312460.31</f>
        <v>761628.8</v>
      </c>
      <c r="E17" s="262">
        <v>3040</v>
      </c>
      <c r="F17" s="227"/>
    </row>
    <row r="18" spans="1:6" ht="15.75" x14ac:dyDescent="0.25">
      <c r="A18" s="274" t="s">
        <v>45</v>
      </c>
      <c r="B18" s="269" t="s">
        <v>46</v>
      </c>
      <c r="C18" s="255"/>
      <c r="D18" s="192"/>
      <c r="F18" s="227"/>
    </row>
    <row r="19" spans="1:6" ht="15.75" x14ac:dyDescent="0.25">
      <c r="A19" s="185"/>
      <c r="B19" s="269" t="s">
        <v>47</v>
      </c>
      <c r="C19" s="255"/>
      <c r="D19" s="192"/>
    </row>
    <row r="20" spans="1:6" ht="15.75" x14ac:dyDescent="0.25">
      <c r="A20" s="209"/>
      <c r="B20" s="269" t="s">
        <v>121</v>
      </c>
      <c r="C20" s="320" t="s">
        <v>114</v>
      </c>
      <c r="D20" s="321"/>
    </row>
    <row r="21" spans="1:6" ht="15.75" x14ac:dyDescent="0.25">
      <c r="A21" s="209"/>
      <c r="B21" s="269" t="s">
        <v>46</v>
      </c>
      <c r="C21" s="320"/>
      <c r="D21" s="322"/>
    </row>
    <row r="22" spans="1:6" ht="15.75" x14ac:dyDescent="0.25">
      <c r="A22" s="209"/>
      <c r="B22" s="269" t="s">
        <v>47</v>
      </c>
      <c r="C22" s="320"/>
      <c r="D22" s="322"/>
    </row>
    <row r="23" spans="1:6" ht="16.5" thickBot="1" x14ac:dyDescent="0.3">
      <c r="A23" s="303"/>
      <c r="B23" s="270"/>
      <c r="C23" s="323"/>
      <c r="D23" s="324"/>
    </row>
    <row r="24" spans="1:6" ht="16.5" thickBot="1" x14ac:dyDescent="0.3">
      <c r="A24" s="326" t="s">
        <v>48</v>
      </c>
      <c r="B24" s="327" t="s">
        <v>0</v>
      </c>
      <c r="C24" s="328">
        <f>SUM(C3:C23)</f>
        <v>94</v>
      </c>
      <c r="D24" s="1075">
        <f>SUM(D3:D23)</f>
        <v>23049570.77</v>
      </c>
      <c r="F24" s="227"/>
    </row>
    <row r="25" spans="1:6" ht="13.5" thickTop="1" x14ac:dyDescent="0.2">
      <c r="A25" s="325"/>
    </row>
    <row r="26" spans="1:6" x14ac:dyDescent="0.2">
      <c r="A26" s="341" t="s">
        <v>945</v>
      </c>
    </row>
    <row r="27" spans="1:6" x14ac:dyDescent="0.2">
      <c r="A27" s="180" t="s">
        <v>0</v>
      </c>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pageSetUpPr fitToPage="1"/>
  </sheetPr>
  <dimension ref="A1:N1578"/>
  <sheetViews>
    <sheetView showGridLines="0" zoomScaleNormal="100" workbookViewId="0">
      <pane ySplit="2" topLeftCell="A615" activePane="bottomLeft" state="frozen"/>
      <selection pane="bottomLeft" activeCell="K678" sqref="K678"/>
    </sheetView>
  </sheetViews>
  <sheetFormatPr defaultColWidth="9.140625" defaultRowHeight="12.75" x14ac:dyDescent="0.2"/>
  <cols>
    <col min="1" max="1" width="24.85546875" style="803" customWidth="1"/>
    <col min="2" max="2" width="5.7109375" style="803" customWidth="1"/>
    <col min="3" max="3" width="25.42578125" style="803" bestFit="1" customWidth="1"/>
    <col min="4" max="4" width="15.42578125" style="856" customWidth="1"/>
    <col min="5" max="5" width="14.85546875" style="856" customWidth="1"/>
    <col min="6" max="6" width="19.5703125" style="857" customWidth="1"/>
    <col min="7" max="7" width="11.28515625" style="803" customWidth="1"/>
    <col min="8" max="8" width="15.7109375" style="803" customWidth="1"/>
    <col min="9" max="9" width="11.7109375" style="803" customWidth="1"/>
    <col min="10" max="10" width="12.28515625" style="803" bestFit="1" customWidth="1"/>
    <col min="11" max="11" width="14.5703125" style="803" customWidth="1"/>
    <col min="12" max="13" width="9.140625" style="803"/>
    <col min="14" max="14" width="16.5703125" style="803" customWidth="1"/>
    <col min="15" max="16384" width="9.140625" style="803"/>
  </cols>
  <sheetData>
    <row r="1" spans="1:8" ht="33" customHeight="1" thickBot="1" x14ac:dyDescent="0.25">
      <c r="A1" s="1132" t="s">
        <v>122</v>
      </c>
      <c r="B1" s="1132"/>
      <c r="C1" s="1132"/>
      <c r="D1" s="1132"/>
      <c r="E1" s="1132"/>
      <c r="F1" s="1132"/>
    </row>
    <row r="2" spans="1:8" ht="15" customHeight="1" thickTop="1" thickBot="1" x14ac:dyDescent="0.25">
      <c r="A2" s="804" t="s">
        <v>1</v>
      </c>
      <c r="B2" s="1128" t="s">
        <v>49</v>
      </c>
      <c r="C2" s="1129"/>
      <c r="D2" s="1130" t="s">
        <v>4</v>
      </c>
      <c r="E2" s="1131"/>
      <c r="F2" s="805" t="s">
        <v>27</v>
      </c>
      <c r="G2" s="806" t="s">
        <v>679</v>
      </c>
      <c r="H2" s="807" t="s">
        <v>559</v>
      </c>
    </row>
    <row r="3" spans="1:8" ht="12.75" customHeight="1" thickTop="1" x14ac:dyDescent="0.2">
      <c r="A3" s="808" t="s">
        <v>310</v>
      </c>
      <c r="B3" s="809" t="s">
        <v>50</v>
      </c>
      <c r="C3" s="810"/>
      <c r="D3" s="811"/>
      <c r="E3" s="812">
        <v>1247.1099999999999</v>
      </c>
      <c r="F3" s="813"/>
      <c r="G3" s="803">
        <v>2000</v>
      </c>
    </row>
    <row r="4" spans="1:8" ht="12.75" customHeight="1" x14ac:dyDescent="0.2">
      <c r="A4" s="541"/>
      <c r="B4" s="858" t="s">
        <v>680</v>
      </c>
      <c r="C4" s="814"/>
      <c r="D4" s="815">
        <f>857225.33-491598.64</f>
        <v>365626.68999999994</v>
      </c>
      <c r="E4" s="862">
        <f>SUM(D4:D33)</f>
        <v>2040042.42</v>
      </c>
      <c r="F4" s="816"/>
    </row>
    <row r="5" spans="1:8" ht="12.75" customHeight="1" x14ac:dyDescent="0.2">
      <c r="A5" s="541"/>
      <c r="B5" s="860" t="s">
        <v>681</v>
      </c>
      <c r="C5" s="814"/>
      <c r="D5" s="815"/>
      <c r="E5" s="815"/>
      <c r="F5" s="816"/>
      <c r="G5" s="861" t="s">
        <v>708</v>
      </c>
    </row>
    <row r="6" spans="1:8" ht="12.75" customHeight="1" x14ac:dyDescent="0.2">
      <c r="A6" s="541"/>
      <c r="B6" s="860" t="s">
        <v>682</v>
      </c>
      <c r="C6" s="814"/>
      <c r="D6" s="815"/>
      <c r="E6" s="815"/>
      <c r="F6" s="816"/>
      <c r="G6" s="861" t="s">
        <v>709</v>
      </c>
    </row>
    <row r="7" spans="1:8" ht="12.75" customHeight="1" x14ac:dyDescent="0.2">
      <c r="A7" s="541"/>
      <c r="B7" s="860" t="s">
        <v>683</v>
      </c>
      <c r="C7" s="814"/>
      <c r="D7" s="815"/>
      <c r="E7" s="815"/>
      <c r="F7" s="816"/>
      <c r="G7" s="861" t="s">
        <v>710</v>
      </c>
    </row>
    <row r="8" spans="1:8" ht="12.75" customHeight="1" x14ac:dyDescent="0.2">
      <c r="A8" s="541"/>
      <c r="B8" s="860" t="s">
        <v>684</v>
      </c>
      <c r="C8" s="814"/>
      <c r="D8" s="815"/>
      <c r="E8" s="815"/>
      <c r="F8" s="816"/>
      <c r="G8" s="861" t="s">
        <v>711</v>
      </c>
    </row>
    <row r="9" spans="1:8" ht="12.75" customHeight="1" x14ac:dyDescent="0.2">
      <c r="A9" s="541"/>
      <c r="B9" s="860" t="s">
        <v>685</v>
      </c>
      <c r="C9" s="814"/>
      <c r="D9" s="815"/>
      <c r="E9" s="815"/>
      <c r="F9" s="816"/>
      <c r="G9" s="861" t="s">
        <v>712</v>
      </c>
    </row>
    <row r="10" spans="1:8" ht="12.75" customHeight="1" x14ac:dyDescent="0.2">
      <c r="A10" s="541"/>
      <c r="B10" s="870" t="s">
        <v>51</v>
      </c>
      <c r="C10" s="814"/>
      <c r="D10" s="815">
        <v>1674415.73</v>
      </c>
      <c r="E10" s="815"/>
      <c r="F10" s="816"/>
      <c r="G10" s="861">
        <v>2100</v>
      </c>
      <c r="H10" s="627" t="s">
        <v>763</v>
      </c>
    </row>
    <row r="11" spans="1:8" ht="12.75" customHeight="1" x14ac:dyDescent="0.2">
      <c r="A11" s="541"/>
      <c r="B11" s="860" t="s">
        <v>686</v>
      </c>
      <c r="C11" s="814"/>
      <c r="D11" s="815"/>
      <c r="E11" s="815"/>
      <c r="F11" s="816"/>
      <c r="G11" s="861" t="s">
        <v>713</v>
      </c>
    </row>
    <row r="12" spans="1:8" ht="12.75" customHeight="1" x14ac:dyDescent="0.2">
      <c r="A12" s="541"/>
      <c r="B12" s="860" t="s">
        <v>687</v>
      </c>
      <c r="C12" s="814"/>
      <c r="D12" s="815"/>
      <c r="E12" s="815"/>
      <c r="F12" s="816"/>
      <c r="G12" s="861" t="s">
        <v>714</v>
      </c>
    </row>
    <row r="13" spans="1:8" ht="12.75" customHeight="1" x14ac:dyDescent="0.2">
      <c r="A13" s="541"/>
      <c r="B13" s="860" t="s">
        <v>688</v>
      </c>
      <c r="C13" s="814"/>
      <c r="D13" s="815"/>
      <c r="E13" s="815"/>
      <c r="F13" s="816"/>
      <c r="G13" s="861" t="s">
        <v>715</v>
      </c>
    </row>
    <row r="14" spans="1:8" ht="12.75" customHeight="1" x14ac:dyDescent="0.2">
      <c r="A14" s="541"/>
      <c r="B14" s="860" t="s">
        <v>689</v>
      </c>
      <c r="C14" s="814"/>
      <c r="D14" s="815"/>
      <c r="E14" s="815"/>
      <c r="F14" s="816"/>
      <c r="G14" s="861" t="s">
        <v>716</v>
      </c>
    </row>
    <row r="15" spans="1:8" ht="12.75" customHeight="1" x14ac:dyDescent="0.2">
      <c r="A15" s="541"/>
      <c r="B15" s="860" t="s">
        <v>690</v>
      </c>
      <c r="C15" s="814"/>
      <c r="D15" s="815"/>
      <c r="E15" s="815"/>
      <c r="F15" s="816"/>
      <c r="G15" s="861" t="s">
        <v>717</v>
      </c>
    </row>
    <row r="16" spans="1:8" ht="12.75" customHeight="1" x14ac:dyDescent="0.2">
      <c r="A16" s="541"/>
      <c r="B16" s="860" t="s">
        <v>691</v>
      </c>
      <c r="C16" s="814"/>
      <c r="D16" s="815"/>
      <c r="E16" s="815"/>
      <c r="F16" s="816"/>
      <c r="G16" s="861" t="s">
        <v>718</v>
      </c>
    </row>
    <row r="17" spans="1:8" ht="12.75" customHeight="1" x14ac:dyDescent="0.2">
      <c r="A17" s="541"/>
      <c r="B17" s="860" t="s">
        <v>692</v>
      </c>
      <c r="C17" s="814"/>
      <c r="D17" s="815"/>
      <c r="E17" s="815"/>
      <c r="F17" s="816"/>
      <c r="G17" s="861" t="s">
        <v>719</v>
      </c>
    </row>
    <row r="18" spans="1:8" ht="12.75" customHeight="1" x14ac:dyDescent="0.2">
      <c r="A18" s="541"/>
      <c r="B18" s="860" t="s">
        <v>693</v>
      </c>
      <c r="C18" s="814"/>
      <c r="D18" s="815"/>
      <c r="E18" s="815"/>
      <c r="F18" s="816"/>
      <c r="G18" s="861" t="s">
        <v>720</v>
      </c>
    </row>
    <row r="19" spans="1:8" ht="12.75" customHeight="1" x14ac:dyDescent="0.2">
      <c r="A19" s="541"/>
      <c r="B19" s="860" t="s">
        <v>694</v>
      </c>
      <c r="C19" s="814"/>
      <c r="D19" s="815"/>
      <c r="E19" s="815"/>
      <c r="F19" s="816"/>
      <c r="G19" s="861" t="s">
        <v>721</v>
      </c>
    </row>
    <row r="20" spans="1:8" ht="12.75" customHeight="1" x14ac:dyDescent="0.2">
      <c r="A20" s="541"/>
      <c r="B20" s="860" t="s">
        <v>695</v>
      </c>
      <c r="C20" s="814"/>
      <c r="D20" s="815"/>
      <c r="E20" s="815"/>
      <c r="F20" s="816"/>
      <c r="G20" s="861" t="s">
        <v>722</v>
      </c>
    </row>
    <row r="21" spans="1:8" ht="12.75" customHeight="1" x14ac:dyDescent="0.2">
      <c r="A21" s="541"/>
      <c r="B21" s="860" t="s">
        <v>696</v>
      </c>
      <c r="C21" s="814"/>
      <c r="D21" s="815"/>
      <c r="E21" s="815"/>
      <c r="F21" s="816"/>
      <c r="G21" s="861" t="s">
        <v>723</v>
      </c>
    </row>
    <row r="22" spans="1:8" ht="12.75" customHeight="1" x14ac:dyDescent="0.2">
      <c r="A22" s="541"/>
      <c r="B22" s="860" t="s">
        <v>697</v>
      </c>
      <c r="C22" s="814"/>
      <c r="D22" s="815"/>
      <c r="E22" s="815"/>
      <c r="F22" s="816"/>
      <c r="G22" s="861" t="s">
        <v>724</v>
      </c>
    </row>
    <row r="23" spans="1:8" ht="12.75" customHeight="1" x14ac:dyDescent="0.2">
      <c r="A23" s="541"/>
      <c r="B23" s="860" t="s">
        <v>698</v>
      </c>
      <c r="C23" s="814"/>
      <c r="D23" s="815"/>
      <c r="E23" s="815"/>
      <c r="F23" s="816"/>
      <c r="G23" s="861" t="s">
        <v>725</v>
      </c>
    </row>
    <row r="24" spans="1:8" ht="12.75" customHeight="1" x14ac:dyDescent="0.2">
      <c r="A24" s="541"/>
      <c r="B24" s="860" t="s">
        <v>699</v>
      </c>
      <c r="C24" s="814"/>
      <c r="D24" s="815"/>
      <c r="E24" s="815"/>
      <c r="F24" s="816"/>
      <c r="G24" s="861" t="s">
        <v>726</v>
      </c>
    </row>
    <row r="25" spans="1:8" ht="12.75" customHeight="1" x14ac:dyDescent="0.2">
      <c r="A25" s="541"/>
      <c r="B25" s="860" t="s">
        <v>700</v>
      </c>
      <c r="C25" s="814"/>
      <c r="D25" s="815"/>
      <c r="E25" s="815"/>
      <c r="F25" s="816"/>
      <c r="G25" s="861" t="s">
        <v>727</v>
      </c>
    </row>
    <row r="26" spans="1:8" ht="12.75" customHeight="1" x14ac:dyDescent="0.2">
      <c r="A26" s="541"/>
      <c r="B26" s="860" t="s">
        <v>701</v>
      </c>
      <c r="C26" s="814"/>
      <c r="D26" s="815"/>
      <c r="E26" s="815"/>
      <c r="F26" s="816"/>
      <c r="G26" s="861" t="s">
        <v>728</v>
      </c>
    </row>
    <row r="27" spans="1:8" ht="12.75" customHeight="1" x14ac:dyDescent="0.2">
      <c r="A27" s="541"/>
      <c r="B27" s="860" t="s">
        <v>702</v>
      </c>
      <c r="C27" s="814"/>
      <c r="D27" s="815"/>
      <c r="E27" s="815"/>
      <c r="F27" s="816"/>
      <c r="G27" s="861" t="s">
        <v>729</v>
      </c>
    </row>
    <row r="28" spans="1:8" ht="12.75" customHeight="1" x14ac:dyDescent="0.2">
      <c r="A28" s="541"/>
      <c r="B28" s="860" t="s">
        <v>703</v>
      </c>
      <c r="C28" s="814"/>
      <c r="D28" s="815"/>
      <c r="E28" s="815"/>
      <c r="F28" s="816"/>
      <c r="G28" s="861" t="s">
        <v>730</v>
      </c>
    </row>
    <row r="29" spans="1:8" ht="12.75" customHeight="1" x14ac:dyDescent="0.2">
      <c r="A29" s="541"/>
      <c r="B29" s="860" t="s">
        <v>704</v>
      </c>
      <c r="C29" s="814"/>
      <c r="D29" s="815"/>
      <c r="E29" s="815"/>
      <c r="F29" s="816"/>
      <c r="G29" s="861" t="s">
        <v>731</v>
      </c>
    </row>
    <row r="30" spans="1:8" ht="12.75" customHeight="1" x14ac:dyDescent="0.2">
      <c r="A30" s="541"/>
      <c r="B30" s="860" t="s">
        <v>705</v>
      </c>
      <c r="C30" s="814"/>
      <c r="D30" s="815"/>
      <c r="E30" s="815"/>
      <c r="F30" s="816"/>
      <c r="G30" s="861" t="s">
        <v>732</v>
      </c>
      <c r="H30" s="818"/>
    </row>
    <row r="31" spans="1:8" ht="12.75" customHeight="1" x14ac:dyDescent="0.2">
      <c r="A31" s="541"/>
      <c r="B31" s="860" t="s">
        <v>706</v>
      </c>
      <c r="C31" s="814"/>
      <c r="D31" s="815"/>
      <c r="E31" s="815"/>
      <c r="F31" s="816"/>
      <c r="G31" s="861" t="s">
        <v>733</v>
      </c>
    </row>
    <row r="32" spans="1:8" ht="12.75" customHeight="1" x14ac:dyDescent="0.2">
      <c r="A32" s="541"/>
      <c r="B32" s="860" t="s">
        <v>707</v>
      </c>
      <c r="C32" s="814"/>
      <c r="D32" s="815"/>
      <c r="E32" s="815"/>
      <c r="F32" s="816"/>
      <c r="G32" s="861" t="s">
        <v>734</v>
      </c>
      <c r="H32" s="818"/>
    </row>
    <row r="33" spans="1:10" ht="12.75" customHeight="1" x14ac:dyDescent="0.2">
      <c r="A33" s="541"/>
      <c r="B33" s="817"/>
      <c r="C33" s="859"/>
      <c r="D33" s="815"/>
      <c r="E33" s="815"/>
      <c r="F33" s="816"/>
    </row>
    <row r="34" spans="1:10" ht="12.75" customHeight="1" x14ac:dyDescent="0.2">
      <c r="A34" s="541"/>
      <c r="B34" s="863" t="s">
        <v>319</v>
      </c>
      <c r="D34" s="815">
        <v>549052.80000000005</v>
      </c>
      <c r="E34" s="862">
        <f>SUM(D34)</f>
        <v>549052.80000000005</v>
      </c>
      <c r="F34" s="816"/>
      <c r="G34" s="803">
        <v>3001</v>
      </c>
      <c r="H34" s="818"/>
    </row>
    <row r="35" spans="1:10" ht="12.75" customHeight="1" x14ac:dyDescent="0.2">
      <c r="A35" s="541"/>
      <c r="B35" s="864" t="s">
        <v>465</v>
      </c>
      <c r="C35" s="820"/>
      <c r="D35" s="815"/>
      <c r="E35" s="862">
        <f>SUM(D36:D41)</f>
        <v>2445672.69</v>
      </c>
      <c r="F35" s="816"/>
    </row>
    <row r="36" spans="1:10" ht="12.75" customHeight="1" x14ac:dyDescent="0.2">
      <c r="A36" s="541"/>
      <c r="B36" s="817"/>
      <c r="C36" s="819" t="s">
        <v>320</v>
      </c>
      <c r="D36" s="815">
        <v>348416.82</v>
      </c>
      <c r="E36" s="815"/>
      <c r="F36" s="816"/>
      <c r="G36" s="803">
        <v>4000</v>
      </c>
    </row>
    <row r="37" spans="1:10" ht="12.75" customHeight="1" x14ac:dyDescent="0.2">
      <c r="A37" s="541"/>
      <c r="B37" s="817"/>
      <c r="C37" s="819" t="s">
        <v>321</v>
      </c>
      <c r="D37" s="815"/>
      <c r="E37" s="815"/>
      <c r="F37" s="816"/>
    </row>
    <row r="38" spans="1:10" ht="12.75" customHeight="1" x14ac:dyDescent="0.2">
      <c r="A38" s="541"/>
      <c r="B38" s="817"/>
      <c r="C38" s="819" t="s">
        <v>322</v>
      </c>
      <c r="D38" s="815">
        <v>1822117.75</v>
      </c>
      <c r="E38" s="815"/>
      <c r="F38" s="816"/>
    </row>
    <row r="39" spans="1:10" ht="12.75" customHeight="1" x14ac:dyDescent="0.2">
      <c r="A39" s="541"/>
      <c r="B39" s="817"/>
      <c r="C39" s="819" t="s">
        <v>323</v>
      </c>
      <c r="D39" s="815">
        <v>7795.54</v>
      </c>
      <c r="E39" s="815"/>
      <c r="F39" s="816"/>
    </row>
    <row r="40" spans="1:10" ht="12.75" customHeight="1" x14ac:dyDescent="0.2">
      <c r="A40" s="541"/>
      <c r="B40" s="817"/>
      <c r="C40" s="820" t="s">
        <v>324</v>
      </c>
      <c r="D40" s="815">
        <v>74399.66</v>
      </c>
      <c r="E40" s="815"/>
      <c r="F40" s="816"/>
    </row>
    <row r="41" spans="1:10" ht="12.75" customHeight="1" x14ac:dyDescent="0.2">
      <c r="A41" s="541"/>
      <c r="B41" s="817"/>
      <c r="C41" s="820" t="s">
        <v>131</v>
      </c>
      <c r="D41" s="815">
        <v>192942.92</v>
      </c>
      <c r="E41" s="815"/>
      <c r="F41" s="816"/>
    </row>
    <row r="42" spans="1:10" ht="12.75" customHeight="1" x14ac:dyDescent="0.2">
      <c r="A42" s="821"/>
      <c r="B42" s="822" t="s">
        <v>325</v>
      </c>
      <c r="C42" s="867"/>
      <c r="D42" s="815"/>
      <c r="E42" s="824"/>
      <c r="F42" s="825"/>
    </row>
    <row r="43" spans="1:10" ht="12.75" customHeight="1" x14ac:dyDescent="0.2">
      <c r="A43" s="821"/>
      <c r="B43" s="866" t="s">
        <v>326</v>
      </c>
      <c r="D43" s="815">
        <v>15000</v>
      </c>
      <c r="E43" s="865">
        <f>D43</f>
        <v>15000</v>
      </c>
      <c r="F43" s="825"/>
      <c r="G43" s="803">
        <v>5000</v>
      </c>
      <c r="J43" s="818">
        <f>F44-4950063</f>
        <v>100952.01999999955</v>
      </c>
    </row>
    <row r="44" spans="1:10" ht="12.75" customHeight="1" thickBot="1" x14ac:dyDescent="0.25">
      <c r="A44" s="826"/>
      <c r="B44" s="827"/>
      <c r="C44" s="828"/>
      <c r="D44" s="829"/>
      <c r="E44" s="830"/>
      <c r="F44" s="868">
        <f>SUM(E3:E43)</f>
        <v>5051015.0199999996</v>
      </c>
      <c r="H44" s="831">
        <f>'Sched-B1'!B4+'Sched-B2'!E20+'Sched-D1'!F44-29906837.97-1674415.73</f>
        <v>-491598.64000000013</v>
      </c>
    </row>
    <row r="45" spans="1:10" ht="12.75" customHeight="1" x14ac:dyDescent="0.2">
      <c r="A45" s="808" t="s">
        <v>736</v>
      </c>
      <c r="B45" s="809" t="s">
        <v>50</v>
      </c>
      <c r="C45" s="810"/>
      <c r="D45" s="811"/>
      <c r="E45" s="1076">
        <f>11794.07+167.95</f>
        <v>11962.02</v>
      </c>
      <c r="F45" s="813"/>
    </row>
    <row r="46" spans="1:10" ht="12.75" customHeight="1" x14ac:dyDescent="0.2">
      <c r="A46" s="541"/>
      <c r="B46" s="858" t="s">
        <v>680</v>
      </c>
      <c r="C46" s="814"/>
      <c r="D46" s="815">
        <f>174666.35-60007.35</f>
        <v>114659</v>
      </c>
      <c r="E46" s="862">
        <f>SUM(D46:D78)</f>
        <v>413091.81000000006</v>
      </c>
      <c r="F46" s="816"/>
      <c r="H46" s="818">
        <f>E46+30371.22</f>
        <v>443463.03</v>
      </c>
    </row>
    <row r="47" spans="1:10" ht="12.75" customHeight="1" x14ac:dyDescent="0.2">
      <c r="A47" s="541"/>
      <c r="B47" s="870" t="s">
        <v>246</v>
      </c>
      <c r="C47" s="627"/>
      <c r="D47" s="871">
        <v>-30371.22</v>
      </c>
      <c r="E47" s="815"/>
      <c r="F47" s="816"/>
      <c r="H47" s="818">
        <f>H46-E46</f>
        <v>30371.219999999972</v>
      </c>
      <c r="I47" s="803" t="s">
        <v>947</v>
      </c>
    </row>
    <row r="48" spans="1:10" ht="12.75" customHeight="1" x14ac:dyDescent="0.2">
      <c r="A48" s="541"/>
      <c r="B48" s="860" t="s">
        <v>681</v>
      </c>
      <c r="C48" s="814"/>
      <c r="D48" s="815"/>
      <c r="E48" s="815"/>
      <c r="F48" s="816"/>
      <c r="G48" s="861" t="s">
        <v>708</v>
      </c>
    </row>
    <row r="49" spans="1:7" ht="12.75" customHeight="1" x14ac:dyDescent="0.2">
      <c r="A49" s="541"/>
      <c r="B49" s="860" t="s">
        <v>682</v>
      </c>
      <c r="C49" s="814"/>
      <c r="D49" s="815"/>
      <c r="E49" s="815"/>
      <c r="F49" s="816"/>
      <c r="G49" s="861" t="s">
        <v>709</v>
      </c>
    </row>
    <row r="50" spans="1:7" ht="12.75" customHeight="1" x14ac:dyDescent="0.2">
      <c r="A50" s="541"/>
      <c r="B50" s="860" t="s">
        <v>683</v>
      </c>
      <c r="C50" s="814"/>
      <c r="D50" s="815"/>
      <c r="E50" s="815"/>
      <c r="F50" s="816"/>
      <c r="G50" s="861" t="s">
        <v>710</v>
      </c>
    </row>
    <row r="51" spans="1:7" ht="12.75" customHeight="1" x14ac:dyDescent="0.2">
      <c r="A51" s="541"/>
      <c r="B51" s="860" t="s">
        <v>684</v>
      </c>
      <c r="C51" s="814"/>
      <c r="D51" s="815"/>
      <c r="E51" s="815"/>
      <c r="F51" s="816"/>
      <c r="G51" s="861" t="s">
        <v>711</v>
      </c>
    </row>
    <row r="52" spans="1:7" ht="12.75" customHeight="1" x14ac:dyDescent="0.2">
      <c r="A52" s="541"/>
      <c r="B52" s="860" t="s">
        <v>685</v>
      </c>
      <c r="C52" s="814"/>
      <c r="D52" s="815"/>
      <c r="E52" s="815"/>
      <c r="F52" s="816"/>
      <c r="G52" s="861" t="s">
        <v>712</v>
      </c>
    </row>
    <row r="53" spans="1:7" ht="12.75" customHeight="1" x14ac:dyDescent="0.2">
      <c r="A53" s="541"/>
      <c r="B53" s="870" t="s">
        <v>51</v>
      </c>
      <c r="C53" s="814"/>
      <c r="D53" s="815">
        <v>328804.03000000003</v>
      </c>
      <c r="E53" s="815"/>
      <c r="F53" s="816"/>
      <c r="G53" s="861"/>
    </row>
    <row r="54" spans="1:7" ht="12.75" customHeight="1" x14ac:dyDescent="0.2">
      <c r="A54" s="541"/>
      <c r="B54" s="860" t="s">
        <v>686</v>
      </c>
      <c r="C54" s="814"/>
      <c r="D54" s="815"/>
      <c r="E54" s="815"/>
      <c r="F54" s="816"/>
      <c r="G54" s="861" t="s">
        <v>713</v>
      </c>
    </row>
    <row r="55" spans="1:7" ht="12.75" customHeight="1" x14ac:dyDescent="0.2">
      <c r="A55" s="541"/>
      <c r="B55" s="860" t="s">
        <v>687</v>
      </c>
      <c r="C55" s="814"/>
      <c r="D55" s="815"/>
      <c r="E55" s="815"/>
      <c r="F55" s="816"/>
      <c r="G55" s="861" t="s">
        <v>714</v>
      </c>
    </row>
    <row r="56" spans="1:7" ht="12.75" customHeight="1" x14ac:dyDescent="0.2">
      <c r="A56" s="541"/>
      <c r="B56" s="860" t="s">
        <v>737</v>
      </c>
      <c r="C56" s="814"/>
      <c r="D56" s="815"/>
      <c r="E56" s="815"/>
      <c r="F56" s="816"/>
      <c r="G56" s="861">
        <v>3034</v>
      </c>
    </row>
    <row r="57" spans="1:7" ht="12.75" customHeight="1" x14ac:dyDescent="0.2">
      <c r="A57" s="541"/>
      <c r="B57" s="860" t="s">
        <v>688</v>
      </c>
      <c r="C57" s="814"/>
      <c r="D57" s="815"/>
      <c r="E57" s="815"/>
      <c r="F57" s="816"/>
      <c r="G57" s="861" t="s">
        <v>715</v>
      </c>
    </row>
    <row r="58" spans="1:7" ht="12.75" customHeight="1" x14ac:dyDescent="0.2">
      <c r="A58" s="541"/>
      <c r="B58" s="860" t="s">
        <v>689</v>
      </c>
      <c r="C58" s="814"/>
      <c r="D58" s="815"/>
      <c r="E58" s="815"/>
      <c r="F58" s="816"/>
      <c r="G58" s="861" t="s">
        <v>716</v>
      </c>
    </row>
    <row r="59" spans="1:7" ht="12.75" customHeight="1" x14ac:dyDescent="0.2">
      <c r="A59" s="541"/>
      <c r="B59" s="860" t="s">
        <v>690</v>
      </c>
      <c r="C59" s="814"/>
      <c r="D59" s="815"/>
      <c r="E59" s="815"/>
      <c r="F59" s="816"/>
      <c r="G59" s="861" t="s">
        <v>717</v>
      </c>
    </row>
    <row r="60" spans="1:7" ht="12.75" customHeight="1" x14ac:dyDescent="0.2">
      <c r="A60" s="541"/>
      <c r="B60" s="860" t="s">
        <v>691</v>
      </c>
      <c r="C60" s="814"/>
      <c r="D60" s="815"/>
      <c r="E60" s="815"/>
      <c r="F60" s="816"/>
      <c r="G60" s="861" t="s">
        <v>718</v>
      </c>
    </row>
    <row r="61" spans="1:7" ht="12.75" customHeight="1" x14ac:dyDescent="0.2">
      <c r="A61" s="541"/>
      <c r="B61" s="860" t="s">
        <v>692</v>
      </c>
      <c r="C61" s="814"/>
      <c r="D61" s="815"/>
      <c r="E61" s="815"/>
      <c r="F61" s="816"/>
      <c r="G61" s="861" t="s">
        <v>719</v>
      </c>
    </row>
    <row r="62" spans="1:7" ht="12.75" customHeight="1" x14ac:dyDescent="0.2">
      <c r="A62" s="541"/>
      <c r="B62" s="860" t="s">
        <v>693</v>
      </c>
      <c r="C62" s="814"/>
      <c r="D62" s="815"/>
      <c r="E62" s="815"/>
      <c r="F62" s="816"/>
      <c r="G62" s="861" t="s">
        <v>720</v>
      </c>
    </row>
    <row r="63" spans="1:7" ht="12.75" customHeight="1" x14ac:dyDescent="0.2">
      <c r="A63" s="541"/>
      <c r="B63" s="860" t="s">
        <v>694</v>
      </c>
      <c r="C63" s="814"/>
      <c r="D63" s="815"/>
      <c r="E63" s="815"/>
      <c r="F63" s="816"/>
      <c r="G63" s="861" t="s">
        <v>721</v>
      </c>
    </row>
    <row r="64" spans="1:7" ht="12.75" customHeight="1" x14ac:dyDescent="0.2">
      <c r="A64" s="541"/>
      <c r="B64" s="860" t="s">
        <v>695</v>
      </c>
      <c r="C64" s="814"/>
      <c r="D64" s="815"/>
      <c r="E64" s="815"/>
      <c r="F64" s="816"/>
      <c r="G64" s="861" t="s">
        <v>722</v>
      </c>
    </row>
    <row r="65" spans="1:8" ht="12.75" customHeight="1" x14ac:dyDescent="0.2">
      <c r="A65" s="541"/>
      <c r="B65" s="860" t="s">
        <v>696</v>
      </c>
      <c r="C65" s="814"/>
      <c r="D65" s="815"/>
      <c r="E65" s="815"/>
      <c r="F65" s="816"/>
      <c r="G65" s="861" t="s">
        <v>723</v>
      </c>
    </row>
    <row r="66" spans="1:8" ht="12.75" customHeight="1" x14ac:dyDescent="0.2">
      <c r="A66" s="541"/>
      <c r="B66" s="860" t="s">
        <v>738</v>
      </c>
      <c r="C66" s="814"/>
      <c r="D66" s="815"/>
      <c r="E66" s="815"/>
      <c r="F66" s="816"/>
      <c r="G66" s="861">
        <v>3048</v>
      </c>
    </row>
    <row r="67" spans="1:8" ht="12.75" customHeight="1" x14ac:dyDescent="0.2">
      <c r="A67" s="541"/>
      <c r="B67" s="860" t="s">
        <v>697</v>
      </c>
      <c r="C67" s="814"/>
      <c r="D67" s="815"/>
      <c r="E67" s="815"/>
      <c r="F67" s="816"/>
      <c r="G67" s="861" t="s">
        <v>724</v>
      </c>
    </row>
    <row r="68" spans="1:8" ht="12.75" customHeight="1" x14ac:dyDescent="0.2">
      <c r="A68" s="541"/>
      <c r="B68" s="860" t="s">
        <v>698</v>
      </c>
      <c r="C68" s="814"/>
      <c r="D68" s="815"/>
      <c r="E68" s="815"/>
      <c r="F68" s="816"/>
      <c r="G68" s="861" t="s">
        <v>725</v>
      </c>
    </row>
    <row r="69" spans="1:8" ht="12.75" customHeight="1" x14ac:dyDescent="0.2">
      <c r="A69" s="541"/>
      <c r="B69" s="860" t="s">
        <v>699</v>
      </c>
      <c r="C69" s="814"/>
      <c r="D69" s="815"/>
      <c r="E69" s="815"/>
      <c r="F69" s="816"/>
      <c r="G69" s="861" t="s">
        <v>726</v>
      </c>
    </row>
    <row r="70" spans="1:8" ht="12.75" customHeight="1" x14ac:dyDescent="0.2">
      <c r="A70" s="541"/>
      <c r="B70" s="860" t="s">
        <v>700</v>
      </c>
      <c r="C70" s="814"/>
      <c r="D70" s="815"/>
      <c r="E70" s="815"/>
      <c r="F70" s="816"/>
      <c r="G70" s="861" t="s">
        <v>727</v>
      </c>
    </row>
    <row r="71" spans="1:8" ht="12.75" customHeight="1" x14ac:dyDescent="0.2">
      <c r="A71" s="541"/>
      <c r="B71" s="860" t="s">
        <v>701</v>
      </c>
      <c r="C71" s="814"/>
      <c r="D71" s="815"/>
      <c r="E71" s="815"/>
      <c r="F71" s="816"/>
      <c r="G71" s="861" t="s">
        <v>728</v>
      </c>
    </row>
    <row r="72" spans="1:8" ht="12.75" customHeight="1" x14ac:dyDescent="0.2">
      <c r="A72" s="541"/>
      <c r="B72" s="860" t="s">
        <v>702</v>
      </c>
      <c r="C72" s="814"/>
      <c r="D72" s="815"/>
      <c r="E72" s="815"/>
      <c r="F72" s="816"/>
      <c r="G72" s="861" t="s">
        <v>729</v>
      </c>
    </row>
    <row r="73" spans="1:8" ht="12.75" customHeight="1" x14ac:dyDescent="0.2">
      <c r="A73" s="541"/>
      <c r="B73" s="860" t="s">
        <v>739</v>
      </c>
      <c r="C73" s="814"/>
      <c r="D73" s="815"/>
      <c r="E73" s="815"/>
      <c r="F73" s="816"/>
      <c r="G73" s="861">
        <v>3061</v>
      </c>
    </row>
    <row r="74" spans="1:8" ht="12.75" customHeight="1" x14ac:dyDescent="0.2">
      <c r="A74" s="541"/>
      <c r="B74" s="860" t="s">
        <v>703</v>
      </c>
      <c r="C74" s="814"/>
      <c r="D74" s="815"/>
      <c r="E74" s="815"/>
      <c r="F74" s="816"/>
      <c r="G74" s="861" t="s">
        <v>730</v>
      </c>
    </row>
    <row r="75" spans="1:8" ht="12.75" customHeight="1" x14ac:dyDescent="0.2">
      <c r="A75" s="541"/>
      <c r="B75" s="860" t="s">
        <v>704</v>
      </c>
      <c r="C75" s="814"/>
      <c r="D75" s="815"/>
      <c r="E75" s="815"/>
      <c r="F75" s="816"/>
      <c r="G75" s="861" t="s">
        <v>731</v>
      </c>
    </row>
    <row r="76" spans="1:8" ht="12.75" customHeight="1" x14ac:dyDescent="0.2">
      <c r="A76" s="541"/>
      <c r="B76" s="860" t="s">
        <v>705</v>
      </c>
      <c r="C76" s="814"/>
      <c r="D76" s="815"/>
      <c r="E76" s="815"/>
      <c r="F76" s="816"/>
      <c r="G76" s="861" t="s">
        <v>732</v>
      </c>
      <c r="H76" s="818"/>
    </row>
    <row r="77" spans="1:8" ht="12.75" customHeight="1" x14ac:dyDescent="0.2">
      <c r="A77" s="541"/>
      <c r="B77" s="860" t="s">
        <v>706</v>
      </c>
      <c r="C77" s="814"/>
      <c r="D77" s="815"/>
      <c r="E77" s="815"/>
      <c r="F77" s="816"/>
      <c r="G77" s="861" t="s">
        <v>733</v>
      </c>
    </row>
    <row r="78" spans="1:8" ht="12.75" customHeight="1" x14ac:dyDescent="0.2">
      <c r="A78" s="541"/>
      <c r="B78" s="860" t="s">
        <v>707</v>
      </c>
      <c r="C78" s="814"/>
      <c r="D78" s="815"/>
      <c r="E78" s="815"/>
      <c r="F78" s="816"/>
      <c r="G78" s="861" t="s">
        <v>734</v>
      </c>
      <c r="H78" s="818"/>
    </row>
    <row r="79" spans="1:8" ht="12.75" customHeight="1" x14ac:dyDescent="0.2">
      <c r="A79" s="541"/>
      <c r="B79" s="863" t="s">
        <v>319</v>
      </c>
      <c r="C79" s="819"/>
      <c r="D79" s="815">
        <v>101450.35</v>
      </c>
      <c r="E79" s="862">
        <f>SUM(D79)</f>
        <v>101450.35</v>
      </c>
      <c r="F79" s="816"/>
      <c r="H79" s="818"/>
    </row>
    <row r="80" spans="1:8" ht="12.75" customHeight="1" x14ac:dyDescent="0.2">
      <c r="A80" s="541"/>
      <c r="B80" s="864" t="s">
        <v>465</v>
      </c>
      <c r="C80" s="820"/>
      <c r="D80" s="815"/>
      <c r="E80" s="862">
        <f>SUM(D81:D87)</f>
        <v>463308.93</v>
      </c>
      <c r="F80" s="816"/>
      <c r="H80" s="818"/>
    </row>
    <row r="81" spans="1:8" ht="12.75" customHeight="1" x14ac:dyDescent="0.2">
      <c r="A81" s="541"/>
      <c r="B81" s="817"/>
      <c r="C81" s="819" t="s">
        <v>320</v>
      </c>
      <c r="D81" s="815">
        <v>119946.43</v>
      </c>
      <c r="E81" s="815"/>
      <c r="F81" s="816"/>
    </row>
    <row r="82" spans="1:8" ht="12.75" customHeight="1" x14ac:dyDescent="0.2">
      <c r="A82" s="541"/>
      <c r="B82" s="817"/>
      <c r="C82" s="819" t="s">
        <v>321</v>
      </c>
      <c r="D82" s="815">
        <v>0</v>
      </c>
      <c r="E82" s="815"/>
      <c r="F82" s="816"/>
    </row>
    <row r="83" spans="1:8" ht="12.75" customHeight="1" x14ac:dyDescent="0.2">
      <c r="A83" s="541"/>
      <c r="B83" s="817"/>
      <c r="C83" s="819" t="s">
        <v>322</v>
      </c>
      <c r="D83" s="815">
        <v>306387</v>
      </c>
      <c r="E83" s="815"/>
      <c r="F83" s="816"/>
    </row>
    <row r="84" spans="1:8" ht="12.75" customHeight="1" x14ac:dyDescent="0.2">
      <c r="A84" s="832"/>
      <c r="B84" s="817"/>
      <c r="C84" s="819" t="s">
        <v>323</v>
      </c>
      <c r="D84" s="815">
        <v>3057.19</v>
      </c>
      <c r="E84" s="815"/>
      <c r="F84" s="816"/>
    </row>
    <row r="85" spans="1:8" ht="12.75" customHeight="1" x14ac:dyDescent="0.2">
      <c r="A85" s="541"/>
      <c r="B85" s="817"/>
      <c r="C85" s="820" t="s">
        <v>324</v>
      </c>
      <c r="D85" s="815">
        <v>12852.41</v>
      </c>
      <c r="E85" s="815"/>
      <c r="F85" s="816"/>
    </row>
    <row r="86" spans="1:8" ht="12.75" customHeight="1" x14ac:dyDescent="0.2">
      <c r="A86" s="541"/>
      <c r="B86" s="822"/>
      <c r="C86" s="820" t="s">
        <v>131</v>
      </c>
      <c r="D86" s="815">
        <v>21065.9</v>
      </c>
      <c r="E86" s="815"/>
      <c r="F86" s="816"/>
      <c r="G86" s="803">
        <v>4005</v>
      </c>
    </row>
    <row r="87" spans="1:8" ht="12.75" customHeight="1" x14ac:dyDescent="0.2">
      <c r="A87" s="541"/>
      <c r="B87" s="822" t="s">
        <v>325</v>
      </c>
      <c r="C87" s="820"/>
      <c r="D87" s="815">
        <v>0</v>
      </c>
      <c r="E87" s="815"/>
      <c r="F87" s="816"/>
      <c r="H87" s="818"/>
    </row>
    <row r="88" spans="1:8" ht="12.75" customHeight="1" x14ac:dyDescent="0.2">
      <c r="A88" s="821"/>
      <c r="B88" s="866" t="s">
        <v>326</v>
      </c>
      <c r="C88" s="823"/>
      <c r="D88" s="815">
        <v>0</v>
      </c>
      <c r="E88" s="865">
        <f>D88</f>
        <v>0</v>
      </c>
      <c r="F88" s="825"/>
      <c r="H88" s="818"/>
    </row>
    <row r="89" spans="1:8" ht="12.75" customHeight="1" thickBot="1" x14ac:dyDescent="0.25">
      <c r="A89" s="826"/>
      <c r="B89" s="827"/>
      <c r="C89" s="828"/>
      <c r="D89" s="833"/>
      <c r="E89" s="830"/>
      <c r="F89" s="868">
        <f>SUM(E45:E89)</f>
        <v>989813.1100000001</v>
      </c>
      <c r="H89" s="831">
        <f>'Sched-B1'!B5+'Sched-B2'!E37+'Sched-D1'!F89-5968361.51-328804.03+30371.22</f>
        <v>-60007.350000000064</v>
      </c>
    </row>
    <row r="90" spans="1:8" ht="12.75" customHeight="1" x14ac:dyDescent="0.2">
      <c r="A90" s="808" t="s">
        <v>735</v>
      </c>
      <c r="B90" s="809" t="s">
        <v>50</v>
      </c>
      <c r="C90" s="810"/>
      <c r="D90" s="811"/>
      <c r="E90" s="812">
        <v>0</v>
      </c>
      <c r="F90" s="813"/>
      <c r="G90" s="803">
        <v>2000</v>
      </c>
    </row>
    <row r="91" spans="1:8" ht="12.75" customHeight="1" x14ac:dyDescent="0.2">
      <c r="A91" s="541"/>
      <c r="B91" s="858" t="s">
        <v>680</v>
      </c>
      <c r="C91" s="814"/>
      <c r="D91" s="815">
        <f>515641.96-233105.46</f>
        <v>282536.5</v>
      </c>
      <c r="E91" s="862">
        <f>SUM(D91:D127)</f>
        <v>1090756.52</v>
      </c>
      <c r="F91" s="816"/>
    </row>
    <row r="92" spans="1:8" ht="12.75" customHeight="1" x14ac:dyDescent="0.2">
      <c r="A92" s="541"/>
      <c r="B92" s="860" t="s">
        <v>681</v>
      </c>
      <c r="C92" s="814"/>
      <c r="D92" s="815"/>
      <c r="E92" s="815"/>
      <c r="F92" s="816"/>
      <c r="G92" s="861" t="s">
        <v>708</v>
      </c>
    </row>
    <row r="93" spans="1:8" ht="12.75" customHeight="1" x14ac:dyDescent="0.2">
      <c r="A93" s="541"/>
      <c r="B93" s="860" t="s">
        <v>682</v>
      </c>
      <c r="C93" s="814"/>
      <c r="D93" s="815"/>
      <c r="E93" s="815"/>
      <c r="F93" s="816"/>
      <c r="G93" s="861" t="s">
        <v>709</v>
      </c>
    </row>
    <row r="94" spans="1:8" ht="12.75" customHeight="1" x14ac:dyDescent="0.2">
      <c r="A94" s="541"/>
      <c r="B94" s="860" t="s">
        <v>740</v>
      </c>
      <c r="C94" s="814"/>
      <c r="D94" s="815"/>
      <c r="E94" s="815"/>
      <c r="F94" s="816"/>
      <c r="G94" s="861">
        <v>3003</v>
      </c>
    </row>
    <row r="95" spans="1:8" ht="12.75" customHeight="1" x14ac:dyDescent="0.2">
      <c r="A95" s="541"/>
      <c r="B95" s="860" t="s">
        <v>683</v>
      </c>
      <c r="C95" s="814"/>
      <c r="D95" s="815"/>
      <c r="E95" s="815"/>
      <c r="F95" s="816"/>
      <c r="G95" s="861" t="s">
        <v>710</v>
      </c>
    </row>
    <row r="96" spans="1:8" ht="12.75" customHeight="1" x14ac:dyDescent="0.2">
      <c r="A96" s="541"/>
      <c r="B96" s="860" t="s">
        <v>684</v>
      </c>
      <c r="C96" s="814"/>
      <c r="D96" s="815"/>
      <c r="E96" s="815"/>
      <c r="F96" s="816"/>
      <c r="G96" s="861" t="s">
        <v>711</v>
      </c>
    </row>
    <row r="97" spans="1:7" ht="12.75" customHeight="1" x14ac:dyDescent="0.2">
      <c r="A97" s="541"/>
      <c r="B97" s="860" t="s">
        <v>685</v>
      </c>
      <c r="C97" s="814"/>
      <c r="D97" s="815"/>
      <c r="E97" s="815"/>
      <c r="F97" s="816"/>
      <c r="G97" s="861" t="s">
        <v>712</v>
      </c>
    </row>
    <row r="98" spans="1:7" ht="12.75" customHeight="1" x14ac:dyDescent="0.2">
      <c r="A98" s="541"/>
      <c r="B98" s="870" t="s">
        <v>51</v>
      </c>
      <c r="C98" s="814"/>
      <c r="D98" s="815">
        <v>808220.02</v>
      </c>
      <c r="E98" s="815"/>
      <c r="F98" s="816"/>
      <c r="G98" s="861"/>
    </row>
    <row r="99" spans="1:7" ht="12.75" customHeight="1" x14ac:dyDescent="0.2">
      <c r="A99" s="541"/>
      <c r="B99" s="860" t="s">
        <v>686</v>
      </c>
      <c r="C99" s="814"/>
      <c r="D99" s="815"/>
      <c r="E99" s="815"/>
      <c r="F99" s="816"/>
      <c r="G99" s="861" t="s">
        <v>713</v>
      </c>
    </row>
    <row r="100" spans="1:7" ht="12.75" customHeight="1" x14ac:dyDescent="0.2">
      <c r="A100" s="541"/>
      <c r="B100" s="860" t="s">
        <v>687</v>
      </c>
      <c r="C100" s="814"/>
      <c r="D100" s="815"/>
      <c r="E100" s="815"/>
      <c r="F100" s="816"/>
      <c r="G100" s="861" t="s">
        <v>714</v>
      </c>
    </row>
    <row r="101" spans="1:7" ht="12.75" customHeight="1" x14ac:dyDescent="0.2">
      <c r="A101" s="541"/>
      <c r="B101" s="860" t="s">
        <v>737</v>
      </c>
      <c r="C101" s="814"/>
      <c r="D101" s="815"/>
      <c r="E101" s="815"/>
      <c r="F101" s="816"/>
      <c r="G101" s="861">
        <v>3034</v>
      </c>
    </row>
    <row r="102" spans="1:7" ht="12.75" customHeight="1" x14ac:dyDescent="0.2">
      <c r="A102" s="541"/>
      <c r="B102" s="860" t="s">
        <v>688</v>
      </c>
      <c r="C102" s="814"/>
      <c r="D102" s="815"/>
      <c r="E102" s="815"/>
      <c r="F102" s="816"/>
      <c r="G102" s="861" t="s">
        <v>715</v>
      </c>
    </row>
    <row r="103" spans="1:7" ht="12.75" customHeight="1" x14ac:dyDescent="0.2">
      <c r="A103" s="541"/>
      <c r="B103" s="860" t="s">
        <v>689</v>
      </c>
      <c r="C103" s="814"/>
      <c r="D103" s="815"/>
      <c r="E103" s="815"/>
      <c r="F103" s="816"/>
      <c r="G103" s="861" t="s">
        <v>716</v>
      </c>
    </row>
    <row r="104" spans="1:7" ht="12.75" customHeight="1" x14ac:dyDescent="0.2">
      <c r="A104" s="541"/>
      <c r="B104" s="860" t="s">
        <v>690</v>
      </c>
      <c r="C104" s="814"/>
      <c r="D104" s="815"/>
      <c r="E104" s="815"/>
      <c r="F104" s="816"/>
      <c r="G104" s="861" t="s">
        <v>717</v>
      </c>
    </row>
    <row r="105" spans="1:7" ht="12.75" customHeight="1" x14ac:dyDescent="0.2">
      <c r="A105" s="541"/>
      <c r="B105" s="860" t="s">
        <v>691</v>
      </c>
      <c r="C105" s="814"/>
      <c r="D105" s="815"/>
      <c r="E105" s="815"/>
      <c r="F105" s="816"/>
      <c r="G105" s="861" t="s">
        <v>718</v>
      </c>
    </row>
    <row r="106" spans="1:7" ht="12.75" customHeight="1" x14ac:dyDescent="0.2">
      <c r="A106" s="541"/>
      <c r="B106" s="860" t="s">
        <v>692</v>
      </c>
      <c r="C106" s="814"/>
      <c r="D106" s="815"/>
      <c r="E106" s="815"/>
      <c r="F106" s="816"/>
      <c r="G106" s="861" t="s">
        <v>719</v>
      </c>
    </row>
    <row r="107" spans="1:7" ht="12.75" customHeight="1" x14ac:dyDescent="0.2">
      <c r="A107" s="541"/>
      <c r="B107" s="860" t="s">
        <v>693</v>
      </c>
      <c r="C107" s="814"/>
      <c r="D107" s="815"/>
      <c r="E107" s="815"/>
      <c r="F107" s="816"/>
      <c r="G107" s="861" t="s">
        <v>720</v>
      </c>
    </row>
    <row r="108" spans="1:7" ht="12.75" customHeight="1" x14ac:dyDescent="0.2">
      <c r="A108" s="541"/>
      <c r="B108" s="860" t="s">
        <v>694</v>
      </c>
      <c r="C108" s="814"/>
      <c r="D108" s="815"/>
      <c r="E108" s="815"/>
      <c r="F108" s="816"/>
      <c r="G108" s="861" t="s">
        <v>721</v>
      </c>
    </row>
    <row r="109" spans="1:7" ht="12.75" customHeight="1" x14ac:dyDescent="0.2">
      <c r="A109" s="541"/>
      <c r="B109" s="860" t="s">
        <v>695</v>
      </c>
      <c r="C109" s="814"/>
      <c r="D109" s="815"/>
      <c r="E109" s="815"/>
      <c r="F109" s="816"/>
      <c r="G109" s="861" t="s">
        <v>722</v>
      </c>
    </row>
    <row r="110" spans="1:7" ht="12.75" customHeight="1" x14ac:dyDescent="0.2">
      <c r="A110" s="541"/>
      <c r="B110" s="860" t="s">
        <v>696</v>
      </c>
      <c r="C110" s="814"/>
      <c r="D110" s="815"/>
      <c r="E110" s="815"/>
      <c r="F110" s="816"/>
      <c r="G110" s="861" t="s">
        <v>723</v>
      </c>
    </row>
    <row r="111" spans="1:7" ht="12.75" customHeight="1" x14ac:dyDescent="0.2">
      <c r="A111" s="541"/>
      <c r="B111" s="860" t="s">
        <v>738</v>
      </c>
      <c r="C111" s="814"/>
      <c r="D111" s="815"/>
      <c r="E111" s="815"/>
      <c r="F111" s="816"/>
      <c r="G111" s="861">
        <v>3048</v>
      </c>
    </row>
    <row r="112" spans="1:7" ht="12.75" customHeight="1" x14ac:dyDescent="0.2">
      <c r="A112" s="541"/>
      <c r="B112" s="860" t="s">
        <v>697</v>
      </c>
      <c r="C112" s="814"/>
      <c r="D112" s="815"/>
      <c r="E112" s="815"/>
      <c r="F112" s="816"/>
      <c r="G112" s="861" t="s">
        <v>724</v>
      </c>
    </row>
    <row r="113" spans="1:8" ht="12.75" customHeight="1" x14ac:dyDescent="0.2">
      <c r="A113" s="541"/>
      <c r="B113" s="860" t="s">
        <v>698</v>
      </c>
      <c r="C113" s="814"/>
      <c r="D113" s="815"/>
      <c r="E113" s="815"/>
      <c r="F113" s="816"/>
      <c r="G113" s="861" t="s">
        <v>725</v>
      </c>
    </row>
    <row r="114" spans="1:8" ht="12.75" customHeight="1" x14ac:dyDescent="0.2">
      <c r="A114" s="541"/>
      <c r="B114" s="860" t="s">
        <v>741</v>
      </c>
      <c r="C114" s="814"/>
      <c r="D114" s="815"/>
      <c r="E114" s="815"/>
      <c r="F114" s="816"/>
      <c r="G114" s="861">
        <v>3051</v>
      </c>
    </row>
    <row r="115" spans="1:8" ht="12.75" customHeight="1" x14ac:dyDescent="0.2">
      <c r="A115" s="541"/>
      <c r="B115" s="860" t="s">
        <v>699</v>
      </c>
      <c r="C115" s="814"/>
      <c r="D115" s="815"/>
      <c r="E115" s="815"/>
      <c r="F115" s="816"/>
      <c r="G115" s="861" t="s">
        <v>726</v>
      </c>
    </row>
    <row r="116" spans="1:8" ht="12.75" customHeight="1" x14ac:dyDescent="0.2">
      <c r="A116" s="541"/>
      <c r="B116" s="860" t="s">
        <v>742</v>
      </c>
      <c r="C116" s="814"/>
      <c r="D116" s="815"/>
      <c r="E116" s="815"/>
      <c r="F116" s="816"/>
      <c r="G116" s="861">
        <v>3056</v>
      </c>
    </row>
    <row r="117" spans="1:8" ht="12.75" customHeight="1" x14ac:dyDescent="0.2">
      <c r="A117" s="541"/>
      <c r="B117" s="860" t="s">
        <v>700</v>
      </c>
      <c r="C117" s="814"/>
      <c r="D117" s="815"/>
      <c r="E117" s="815"/>
      <c r="F117" s="816"/>
      <c r="G117" s="861">
        <v>3057</v>
      </c>
    </row>
    <row r="118" spans="1:8" ht="12.75" customHeight="1" x14ac:dyDescent="0.2">
      <c r="A118" s="541"/>
      <c r="B118" s="860" t="s">
        <v>701</v>
      </c>
      <c r="C118" s="814"/>
      <c r="D118" s="815"/>
      <c r="E118" s="815"/>
      <c r="F118" s="816"/>
      <c r="G118" s="861" t="s">
        <v>728</v>
      </c>
    </row>
    <row r="119" spans="1:8" ht="12.75" customHeight="1" x14ac:dyDescent="0.2">
      <c r="A119" s="541"/>
      <c r="B119" s="860" t="s">
        <v>702</v>
      </c>
      <c r="C119" s="814"/>
      <c r="D119" s="815"/>
      <c r="E119" s="815"/>
      <c r="F119" s="816"/>
      <c r="G119" s="861" t="s">
        <v>729</v>
      </c>
    </row>
    <row r="120" spans="1:8" ht="12.75" customHeight="1" x14ac:dyDescent="0.2">
      <c r="A120" s="541"/>
      <c r="B120" s="860" t="s">
        <v>739</v>
      </c>
      <c r="C120" s="814"/>
      <c r="D120" s="815"/>
      <c r="E120" s="815"/>
      <c r="F120" s="816"/>
      <c r="G120" s="861"/>
    </row>
    <row r="121" spans="1:8" ht="12.75" customHeight="1" x14ac:dyDescent="0.2">
      <c r="A121" s="541"/>
      <c r="B121" s="860" t="s">
        <v>703</v>
      </c>
      <c r="C121" s="814"/>
      <c r="D121" s="815"/>
      <c r="E121" s="815"/>
      <c r="F121" s="816"/>
      <c r="G121" s="861" t="s">
        <v>730</v>
      </c>
    </row>
    <row r="122" spans="1:8" ht="12.75" customHeight="1" x14ac:dyDescent="0.2">
      <c r="A122" s="541"/>
      <c r="B122" s="860" t="s">
        <v>704</v>
      </c>
      <c r="C122" s="814"/>
      <c r="D122" s="815"/>
      <c r="E122" s="815"/>
      <c r="F122" s="816"/>
      <c r="G122" s="861" t="s">
        <v>731</v>
      </c>
    </row>
    <row r="123" spans="1:8" ht="12.75" customHeight="1" x14ac:dyDescent="0.2">
      <c r="A123" s="541"/>
      <c r="B123" s="860" t="s">
        <v>705</v>
      </c>
      <c r="C123" s="814"/>
      <c r="D123" s="815"/>
      <c r="E123" s="815"/>
      <c r="F123" s="816"/>
      <c r="G123" s="861" t="s">
        <v>732</v>
      </c>
      <c r="H123" s="818"/>
    </row>
    <row r="124" spans="1:8" ht="12.75" customHeight="1" x14ac:dyDescent="0.2">
      <c r="A124" s="541"/>
      <c r="B124" s="860" t="s">
        <v>743</v>
      </c>
      <c r="C124" s="814"/>
      <c r="D124" s="815"/>
      <c r="E124" s="815"/>
      <c r="F124" s="816"/>
      <c r="G124" s="861">
        <v>3073</v>
      </c>
    </row>
    <row r="125" spans="1:8" ht="12.75" customHeight="1" x14ac:dyDescent="0.2">
      <c r="A125" s="541"/>
      <c r="B125" s="860"/>
      <c r="C125" s="814"/>
      <c r="D125" s="815"/>
      <c r="E125" s="815"/>
      <c r="F125" s="816"/>
      <c r="G125" s="861"/>
      <c r="H125" s="818"/>
    </row>
    <row r="126" spans="1:8" ht="12.75" customHeight="1" x14ac:dyDescent="0.2">
      <c r="A126" s="541"/>
      <c r="B126" s="860"/>
      <c r="C126" s="814"/>
      <c r="D126" s="815"/>
      <c r="E126" s="815"/>
      <c r="F126" s="816"/>
      <c r="G126" s="869"/>
      <c r="H126" s="818"/>
    </row>
    <row r="127" spans="1:8" ht="12.75" customHeight="1" x14ac:dyDescent="0.2">
      <c r="A127" s="541"/>
      <c r="B127" s="817"/>
      <c r="C127" s="859"/>
      <c r="D127" s="815"/>
      <c r="E127" s="815"/>
      <c r="F127" s="816"/>
    </row>
    <row r="128" spans="1:8" ht="12.75" customHeight="1" x14ac:dyDescent="0.2">
      <c r="A128" s="541"/>
      <c r="B128" s="863" t="s">
        <v>319</v>
      </c>
      <c r="D128" s="815">
        <v>219368.86</v>
      </c>
      <c r="E128" s="862">
        <f>SUM(D128)</f>
        <v>219368.86</v>
      </c>
      <c r="F128" s="816"/>
      <c r="G128" s="803">
        <v>3001</v>
      </c>
      <c r="H128" s="818"/>
    </row>
    <row r="129" spans="1:8" ht="12.75" customHeight="1" x14ac:dyDescent="0.2">
      <c r="A129" s="541"/>
      <c r="B129" s="864" t="s">
        <v>465</v>
      </c>
      <c r="C129" s="820"/>
      <c r="D129" s="815"/>
      <c r="E129" s="862">
        <f>SUM(D130:D135)</f>
        <v>926936.53</v>
      </c>
      <c r="F129" s="816"/>
    </row>
    <row r="130" spans="1:8" ht="12.75" customHeight="1" x14ac:dyDescent="0.2">
      <c r="A130" s="541"/>
      <c r="B130" s="817"/>
      <c r="C130" s="819" t="s">
        <v>320</v>
      </c>
      <c r="D130" s="815">
        <v>153650.4</v>
      </c>
      <c r="E130" s="815"/>
      <c r="F130" s="816"/>
      <c r="G130" s="803">
        <v>4000</v>
      </c>
    </row>
    <row r="131" spans="1:8" ht="12.75" customHeight="1" x14ac:dyDescent="0.2">
      <c r="A131" s="541"/>
      <c r="B131" s="817"/>
      <c r="C131" s="819" t="s">
        <v>321</v>
      </c>
      <c r="D131" s="815">
        <v>0</v>
      </c>
      <c r="E131" s="815"/>
      <c r="F131" s="816"/>
      <c r="G131" s="803">
        <v>4001</v>
      </c>
    </row>
    <row r="132" spans="1:8" ht="12.75" customHeight="1" x14ac:dyDescent="0.2">
      <c r="A132" s="541"/>
      <c r="B132" s="817"/>
      <c r="C132" s="819" t="s">
        <v>322</v>
      </c>
      <c r="D132" s="815">
        <v>632712.85</v>
      </c>
      <c r="E132" s="815"/>
      <c r="F132" s="816"/>
    </row>
    <row r="133" spans="1:8" ht="12.75" customHeight="1" x14ac:dyDescent="0.2">
      <c r="A133" s="541"/>
      <c r="B133" s="817"/>
      <c r="C133" s="819" t="s">
        <v>323</v>
      </c>
      <c r="D133" s="815">
        <v>6315.66</v>
      </c>
      <c r="E133" s="815"/>
      <c r="F133" s="816"/>
    </row>
    <row r="134" spans="1:8" ht="12.75" customHeight="1" x14ac:dyDescent="0.2">
      <c r="A134" s="541"/>
      <c r="B134" s="817"/>
      <c r="C134" s="820" t="s">
        <v>324</v>
      </c>
      <c r="D134" s="815">
        <v>45768.4</v>
      </c>
      <c r="E134" s="815"/>
      <c r="F134" s="816"/>
    </row>
    <row r="135" spans="1:8" ht="12.75" customHeight="1" x14ac:dyDescent="0.2">
      <c r="A135" s="541"/>
      <c r="B135" s="817"/>
      <c r="C135" s="820" t="s">
        <v>131</v>
      </c>
      <c r="D135" s="815">
        <v>88489.22</v>
      </c>
      <c r="E135" s="815"/>
      <c r="F135" s="816"/>
    </row>
    <row r="136" spans="1:8" ht="12.75" customHeight="1" x14ac:dyDescent="0.2">
      <c r="A136" s="821"/>
      <c r="B136" s="822" t="s">
        <v>325</v>
      </c>
      <c r="C136" s="867"/>
      <c r="D136" s="815"/>
      <c r="E136" s="824"/>
      <c r="F136" s="825"/>
    </row>
    <row r="137" spans="1:8" ht="12.75" customHeight="1" x14ac:dyDescent="0.2">
      <c r="A137" s="821"/>
      <c r="B137" s="866" t="s">
        <v>326</v>
      </c>
      <c r="D137" s="815">
        <v>0</v>
      </c>
      <c r="E137" s="865">
        <f>D137</f>
        <v>0</v>
      </c>
      <c r="F137" s="825"/>
      <c r="G137" s="803">
        <v>5000</v>
      </c>
    </row>
    <row r="138" spans="1:8" ht="12.75" customHeight="1" thickBot="1" x14ac:dyDescent="0.25">
      <c r="A138" s="826"/>
      <c r="B138" s="827"/>
      <c r="C138" s="828"/>
      <c r="D138" s="829"/>
      <c r="E138" s="830"/>
      <c r="F138" s="868">
        <f>SUM(E90:E137)</f>
        <v>2237061.91</v>
      </c>
      <c r="H138" s="831">
        <f>'Sched-B1'!B6+'Sched-B2'!E54+'Sched-D1'!F138-12917170.54-808220.02</f>
        <v>-233105.4599999995</v>
      </c>
    </row>
    <row r="139" spans="1:8" ht="12.75" customHeight="1" x14ac:dyDescent="0.2">
      <c r="A139" s="808" t="s">
        <v>744</v>
      </c>
      <c r="B139" s="809" t="s">
        <v>50</v>
      </c>
      <c r="C139" s="810"/>
      <c r="D139" s="811"/>
      <c r="E139" s="812">
        <v>21982.5</v>
      </c>
      <c r="F139" s="813"/>
      <c r="G139" s="803">
        <v>2000</v>
      </c>
    </row>
    <row r="140" spans="1:8" ht="12.75" customHeight="1" x14ac:dyDescent="0.2">
      <c r="A140" s="541"/>
      <c r="B140" s="858" t="s">
        <v>680</v>
      </c>
      <c r="C140" s="814"/>
      <c r="D140" s="815">
        <f>336981.93-149441.37</f>
        <v>187540.56</v>
      </c>
      <c r="E140" s="862">
        <f>SUM(D140:D179)</f>
        <v>1077306.32</v>
      </c>
      <c r="F140" s="816"/>
    </row>
    <row r="141" spans="1:8" ht="12.75" customHeight="1" x14ac:dyDescent="0.2">
      <c r="A141" s="541"/>
      <c r="B141" s="860" t="s">
        <v>681</v>
      </c>
      <c r="C141" s="814"/>
      <c r="D141" s="815"/>
      <c r="E141" s="815"/>
      <c r="F141" s="816"/>
      <c r="G141" s="861" t="s">
        <v>708</v>
      </c>
    </row>
    <row r="142" spans="1:8" ht="12.75" customHeight="1" x14ac:dyDescent="0.2">
      <c r="A142" s="541"/>
      <c r="B142" s="860" t="s">
        <v>682</v>
      </c>
      <c r="C142" s="814"/>
      <c r="D142" s="815"/>
      <c r="E142" s="815"/>
      <c r="F142" s="816"/>
      <c r="G142" s="861" t="s">
        <v>709</v>
      </c>
    </row>
    <row r="143" spans="1:8" ht="12.75" customHeight="1" x14ac:dyDescent="0.2">
      <c r="A143" s="541"/>
      <c r="B143" s="860" t="s">
        <v>740</v>
      </c>
      <c r="C143" s="814"/>
      <c r="D143" s="815"/>
      <c r="E143" s="815"/>
      <c r="F143" s="816"/>
      <c r="G143" s="861">
        <v>3003</v>
      </c>
    </row>
    <row r="144" spans="1:8" ht="12.75" customHeight="1" x14ac:dyDescent="0.2">
      <c r="A144" s="541"/>
      <c r="B144" s="860" t="s">
        <v>683</v>
      </c>
      <c r="C144" s="814"/>
      <c r="D144" s="815"/>
      <c r="E144" s="815"/>
      <c r="F144" s="816"/>
      <c r="G144" s="861" t="s">
        <v>710</v>
      </c>
    </row>
    <row r="145" spans="1:7" ht="12.75" customHeight="1" x14ac:dyDescent="0.2">
      <c r="A145" s="541"/>
      <c r="B145" s="860" t="s">
        <v>684</v>
      </c>
      <c r="C145" s="814"/>
      <c r="D145" s="815"/>
      <c r="E145" s="815"/>
      <c r="F145" s="816"/>
      <c r="G145" s="861" t="s">
        <v>711</v>
      </c>
    </row>
    <row r="146" spans="1:7" ht="12.75" customHeight="1" x14ac:dyDescent="0.2">
      <c r="A146" s="541"/>
      <c r="B146" s="860" t="s">
        <v>685</v>
      </c>
      <c r="C146" s="814"/>
      <c r="D146" s="815"/>
      <c r="E146" s="815"/>
      <c r="F146" s="816"/>
      <c r="G146" s="861" t="s">
        <v>712</v>
      </c>
    </row>
    <row r="147" spans="1:7" ht="12.75" customHeight="1" x14ac:dyDescent="0.2">
      <c r="A147" s="541"/>
      <c r="B147" s="870" t="s">
        <v>51</v>
      </c>
      <c r="C147" s="814"/>
      <c r="D147" s="815">
        <v>889765.76</v>
      </c>
      <c r="E147" s="815"/>
      <c r="F147" s="816"/>
      <c r="G147" s="861"/>
    </row>
    <row r="148" spans="1:7" ht="12.75" customHeight="1" x14ac:dyDescent="0.2">
      <c r="A148" s="541"/>
      <c r="B148" s="860" t="s">
        <v>745</v>
      </c>
      <c r="C148" s="814"/>
      <c r="D148" s="815"/>
      <c r="E148" s="815"/>
      <c r="F148" s="816"/>
      <c r="G148" s="861">
        <v>3029</v>
      </c>
    </row>
    <row r="149" spans="1:7" ht="12.75" customHeight="1" x14ac:dyDescent="0.2">
      <c r="A149" s="541"/>
      <c r="B149" s="860" t="s">
        <v>686</v>
      </c>
      <c r="C149" s="814"/>
      <c r="D149" s="815"/>
      <c r="E149" s="815"/>
      <c r="F149" s="816"/>
      <c r="G149" s="861" t="s">
        <v>713</v>
      </c>
    </row>
    <row r="150" spans="1:7" ht="12.75" customHeight="1" x14ac:dyDescent="0.2">
      <c r="A150" s="541"/>
      <c r="B150" s="860" t="s">
        <v>687</v>
      </c>
      <c r="C150" s="814"/>
      <c r="D150" s="815"/>
      <c r="E150" s="815"/>
      <c r="F150" s="816"/>
      <c r="G150" s="861" t="s">
        <v>714</v>
      </c>
    </row>
    <row r="151" spans="1:7" ht="12.75" customHeight="1" x14ac:dyDescent="0.2">
      <c r="A151" s="541"/>
      <c r="B151" s="860" t="s">
        <v>737</v>
      </c>
      <c r="C151" s="814"/>
      <c r="D151" s="815"/>
      <c r="E151" s="815"/>
      <c r="F151" s="816"/>
      <c r="G151" s="861">
        <v>3034</v>
      </c>
    </row>
    <row r="152" spans="1:7" ht="12.75" customHeight="1" x14ac:dyDescent="0.2">
      <c r="A152" s="541"/>
      <c r="B152" s="860" t="s">
        <v>688</v>
      </c>
      <c r="C152" s="814"/>
      <c r="D152" s="815"/>
      <c r="E152" s="815"/>
      <c r="F152" s="816"/>
      <c r="G152" s="861" t="s">
        <v>715</v>
      </c>
    </row>
    <row r="153" spans="1:7" ht="12.75" customHeight="1" x14ac:dyDescent="0.2">
      <c r="A153" s="541"/>
      <c r="B153" s="860" t="s">
        <v>689</v>
      </c>
      <c r="C153" s="814"/>
      <c r="D153" s="815"/>
      <c r="E153" s="815"/>
      <c r="F153" s="816"/>
      <c r="G153" s="861" t="s">
        <v>716</v>
      </c>
    </row>
    <row r="154" spans="1:7" ht="12.75" customHeight="1" x14ac:dyDescent="0.2">
      <c r="A154" s="541"/>
      <c r="B154" s="860" t="s">
        <v>690</v>
      </c>
      <c r="C154" s="814"/>
      <c r="D154" s="815"/>
      <c r="E154" s="815"/>
      <c r="F154" s="816"/>
      <c r="G154" s="861" t="s">
        <v>717</v>
      </c>
    </row>
    <row r="155" spans="1:7" ht="12.75" customHeight="1" x14ac:dyDescent="0.2">
      <c r="A155" s="541"/>
      <c r="B155" s="860" t="s">
        <v>691</v>
      </c>
      <c r="C155" s="814"/>
      <c r="D155" s="815"/>
      <c r="E155" s="815"/>
      <c r="F155" s="816"/>
      <c r="G155" s="861" t="s">
        <v>718</v>
      </c>
    </row>
    <row r="156" spans="1:7" ht="12.75" customHeight="1" x14ac:dyDescent="0.2">
      <c r="A156" s="541"/>
      <c r="B156" s="860" t="s">
        <v>692</v>
      </c>
      <c r="C156" s="814"/>
      <c r="D156" s="815"/>
      <c r="E156" s="815"/>
      <c r="F156" s="816"/>
      <c r="G156" s="861" t="s">
        <v>719</v>
      </c>
    </row>
    <row r="157" spans="1:7" ht="12.75" customHeight="1" x14ac:dyDescent="0.2">
      <c r="A157" s="541"/>
      <c r="B157" s="860" t="s">
        <v>693</v>
      </c>
      <c r="C157" s="814"/>
      <c r="D157" s="815"/>
      <c r="E157" s="815"/>
      <c r="F157" s="816"/>
      <c r="G157" s="861" t="s">
        <v>720</v>
      </c>
    </row>
    <row r="158" spans="1:7" ht="12.75" customHeight="1" x14ac:dyDescent="0.2">
      <c r="A158" s="541"/>
      <c r="B158" s="860" t="s">
        <v>694</v>
      </c>
      <c r="C158" s="814"/>
      <c r="D158" s="815"/>
      <c r="E158" s="815"/>
      <c r="F158" s="816"/>
      <c r="G158" s="861" t="s">
        <v>721</v>
      </c>
    </row>
    <row r="159" spans="1:7" ht="12.75" customHeight="1" x14ac:dyDescent="0.2">
      <c r="A159" s="541"/>
      <c r="B159" s="860" t="s">
        <v>695</v>
      </c>
      <c r="C159" s="814"/>
      <c r="D159" s="815"/>
      <c r="E159" s="815"/>
      <c r="F159" s="816"/>
      <c r="G159" s="861" t="s">
        <v>722</v>
      </c>
    </row>
    <row r="160" spans="1:7" ht="12.75" customHeight="1" x14ac:dyDescent="0.2">
      <c r="A160" s="541"/>
      <c r="B160" s="860" t="s">
        <v>696</v>
      </c>
      <c r="C160" s="814"/>
      <c r="D160" s="815"/>
      <c r="E160" s="815"/>
      <c r="F160" s="816"/>
      <c r="G160" s="861" t="s">
        <v>723</v>
      </c>
    </row>
    <row r="161" spans="1:8" ht="12.75" customHeight="1" x14ac:dyDescent="0.2">
      <c r="A161" s="541"/>
      <c r="B161" s="860" t="s">
        <v>738</v>
      </c>
      <c r="C161" s="814"/>
      <c r="D161" s="815"/>
      <c r="E161" s="815"/>
      <c r="F161" s="816"/>
      <c r="G161" s="861">
        <v>3048</v>
      </c>
    </row>
    <row r="162" spans="1:8" ht="12.75" customHeight="1" x14ac:dyDescent="0.2">
      <c r="A162" s="541"/>
      <c r="B162" s="860" t="s">
        <v>697</v>
      </c>
      <c r="C162" s="814"/>
      <c r="D162" s="815"/>
      <c r="E162" s="815"/>
      <c r="F162" s="816"/>
      <c r="G162" s="861" t="s">
        <v>724</v>
      </c>
    </row>
    <row r="163" spans="1:8" ht="12.75" customHeight="1" x14ac:dyDescent="0.2">
      <c r="A163" s="541"/>
      <c r="B163" s="860" t="s">
        <v>698</v>
      </c>
      <c r="C163" s="814"/>
      <c r="D163" s="815"/>
      <c r="E163" s="815"/>
      <c r="F163" s="816"/>
      <c r="G163" s="861" t="s">
        <v>725</v>
      </c>
    </row>
    <row r="164" spans="1:8" ht="12.75" customHeight="1" x14ac:dyDescent="0.2">
      <c r="A164" s="541"/>
      <c r="B164" s="860" t="s">
        <v>741</v>
      </c>
      <c r="C164" s="814"/>
      <c r="D164" s="815"/>
      <c r="E164" s="815"/>
      <c r="F164" s="816"/>
      <c r="G164" s="861">
        <v>3051</v>
      </c>
    </row>
    <row r="165" spans="1:8" ht="12.75" customHeight="1" x14ac:dyDescent="0.2">
      <c r="A165" s="541"/>
      <c r="B165" s="860" t="s">
        <v>699</v>
      </c>
      <c r="C165" s="814"/>
      <c r="D165" s="815"/>
      <c r="E165" s="815"/>
      <c r="F165" s="816"/>
      <c r="G165" s="861" t="s">
        <v>726</v>
      </c>
    </row>
    <row r="166" spans="1:8" ht="12.75" customHeight="1" x14ac:dyDescent="0.2">
      <c r="A166" s="541"/>
      <c r="B166" s="860" t="s">
        <v>742</v>
      </c>
      <c r="C166" s="814"/>
      <c r="D166" s="815"/>
      <c r="E166" s="815"/>
      <c r="F166" s="816"/>
      <c r="G166" s="861">
        <v>3056</v>
      </c>
    </row>
    <row r="167" spans="1:8" ht="12.75" customHeight="1" x14ac:dyDescent="0.2">
      <c r="A167" s="541"/>
      <c r="B167" s="860" t="s">
        <v>700</v>
      </c>
      <c r="C167" s="814"/>
      <c r="D167" s="815"/>
      <c r="E167" s="815"/>
      <c r="F167" s="816"/>
      <c r="G167" s="861">
        <v>3057</v>
      </c>
    </row>
    <row r="168" spans="1:8" ht="12.75" customHeight="1" x14ac:dyDescent="0.2">
      <c r="A168" s="541"/>
      <c r="B168" s="860" t="s">
        <v>701</v>
      </c>
      <c r="C168" s="814"/>
      <c r="D168" s="815"/>
      <c r="E168" s="815"/>
      <c r="F168" s="816"/>
      <c r="G168" s="861" t="s">
        <v>728</v>
      </c>
    </row>
    <row r="169" spans="1:8" ht="12.75" customHeight="1" x14ac:dyDescent="0.2">
      <c r="A169" s="541"/>
      <c r="B169" s="860" t="s">
        <v>702</v>
      </c>
      <c r="C169" s="814"/>
      <c r="D169" s="815"/>
      <c r="E169" s="815"/>
      <c r="F169" s="816"/>
      <c r="G169" s="861" t="s">
        <v>729</v>
      </c>
    </row>
    <row r="170" spans="1:8" ht="12.75" customHeight="1" x14ac:dyDescent="0.2">
      <c r="A170" s="541"/>
      <c r="B170" s="860" t="s">
        <v>739</v>
      </c>
      <c r="C170" s="814"/>
      <c r="D170" s="815"/>
      <c r="E170" s="815"/>
      <c r="F170" s="816"/>
      <c r="G170" s="861"/>
    </row>
    <row r="171" spans="1:8" ht="12.75" customHeight="1" x14ac:dyDescent="0.2">
      <c r="A171" s="541"/>
      <c r="B171" s="860" t="s">
        <v>703</v>
      </c>
      <c r="C171" s="814"/>
      <c r="D171" s="815"/>
      <c r="E171" s="815"/>
      <c r="F171" s="816"/>
      <c r="G171" s="861" t="s">
        <v>730</v>
      </c>
    </row>
    <row r="172" spans="1:8" ht="12.75" customHeight="1" x14ac:dyDescent="0.2">
      <c r="A172" s="541"/>
      <c r="B172" s="860" t="s">
        <v>704</v>
      </c>
      <c r="C172" s="814"/>
      <c r="D172" s="815"/>
      <c r="E172" s="815"/>
      <c r="F172" s="816"/>
      <c r="G172" s="861" t="s">
        <v>731</v>
      </c>
    </row>
    <row r="173" spans="1:8" ht="12.75" customHeight="1" x14ac:dyDescent="0.2">
      <c r="A173" s="541"/>
      <c r="B173" s="860" t="s">
        <v>705</v>
      </c>
      <c r="C173" s="814"/>
      <c r="D173" s="815"/>
      <c r="E173" s="815"/>
      <c r="F173" s="816"/>
      <c r="G173" s="861" t="s">
        <v>732</v>
      </c>
      <c r="H173" s="818"/>
    </row>
    <row r="174" spans="1:8" ht="12.75" customHeight="1" x14ac:dyDescent="0.2">
      <c r="A174" s="541"/>
      <c r="B174" s="860" t="s">
        <v>706</v>
      </c>
      <c r="C174" s="814"/>
      <c r="D174" s="815"/>
      <c r="E174" s="815"/>
      <c r="F174" s="816"/>
      <c r="G174" s="861">
        <v>3068</v>
      </c>
      <c r="H174" s="818"/>
    </row>
    <row r="175" spans="1:8" ht="12.75" customHeight="1" x14ac:dyDescent="0.2">
      <c r="A175" s="541"/>
      <c r="B175" s="860" t="s">
        <v>707</v>
      </c>
      <c r="C175" s="814"/>
      <c r="D175" s="815"/>
      <c r="E175" s="815"/>
      <c r="F175" s="816"/>
      <c r="G175" s="861">
        <v>3069</v>
      </c>
      <c r="H175" s="818"/>
    </row>
    <row r="176" spans="1:8" ht="12.75" customHeight="1" x14ac:dyDescent="0.2">
      <c r="A176" s="541"/>
      <c r="B176" s="860" t="s">
        <v>743</v>
      </c>
      <c r="C176" s="814"/>
      <c r="D176" s="815"/>
      <c r="E176" s="815"/>
      <c r="F176" s="816"/>
      <c r="G176" s="861">
        <v>3073</v>
      </c>
    </row>
    <row r="177" spans="1:8" ht="12.75" customHeight="1" x14ac:dyDescent="0.2">
      <c r="A177" s="541"/>
      <c r="B177" s="860"/>
      <c r="C177" s="814"/>
      <c r="D177" s="815"/>
      <c r="E177" s="815"/>
      <c r="F177" s="816"/>
      <c r="G177" s="861"/>
      <c r="H177" s="818"/>
    </row>
    <row r="178" spans="1:8" ht="12.75" customHeight="1" x14ac:dyDescent="0.2">
      <c r="A178" s="541"/>
      <c r="B178" s="860"/>
      <c r="C178" s="814"/>
      <c r="D178" s="815"/>
      <c r="E178" s="815"/>
      <c r="F178" s="816"/>
      <c r="G178" s="869"/>
      <c r="H178" s="818"/>
    </row>
    <row r="179" spans="1:8" ht="12.75" customHeight="1" x14ac:dyDescent="0.2">
      <c r="A179" s="541"/>
      <c r="B179" s="817"/>
      <c r="C179" s="859"/>
      <c r="D179" s="815"/>
      <c r="E179" s="815"/>
      <c r="F179" s="816"/>
    </row>
    <row r="180" spans="1:8" ht="12.75" customHeight="1" x14ac:dyDescent="0.2">
      <c r="A180" s="541"/>
      <c r="B180" s="863" t="s">
        <v>319</v>
      </c>
      <c r="D180" s="815">
        <v>195669.63</v>
      </c>
      <c r="E180" s="862">
        <f>SUM(D180)</f>
        <v>195669.63</v>
      </c>
      <c r="F180" s="816"/>
      <c r="G180" s="803">
        <v>3001</v>
      </c>
      <c r="H180" s="818"/>
    </row>
    <row r="181" spans="1:8" ht="12.75" customHeight="1" x14ac:dyDescent="0.2">
      <c r="A181" s="541"/>
      <c r="B181" s="864" t="s">
        <v>465</v>
      </c>
      <c r="C181" s="820"/>
      <c r="D181" s="815"/>
      <c r="E181" s="862">
        <f>SUM(D182:D187)</f>
        <v>975516.75</v>
      </c>
      <c r="F181" s="816"/>
    </row>
    <row r="182" spans="1:8" ht="12.75" customHeight="1" x14ac:dyDescent="0.2">
      <c r="A182" s="541"/>
      <c r="B182" s="817"/>
      <c r="C182" s="819" t="s">
        <v>320</v>
      </c>
      <c r="D182" s="815">
        <v>65158.82</v>
      </c>
      <c r="E182" s="815"/>
      <c r="F182" s="816"/>
      <c r="G182" s="803">
        <v>4000</v>
      </c>
    </row>
    <row r="183" spans="1:8" ht="12.75" customHeight="1" x14ac:dyDescent="0.2">
      <c r="A183" s="541"/>
      <c r="B183" s="817"/>
      <c r="C183" s="819" t="s">
        <v>321</v>
      </c>
      <c r="D183" s="815">
        <v>0</v>
      </c>
      <c r="E183" s="815"/>
      <c r="F183" s="816"/>
      <c r="G183" s="803">
        <v>4001</v>
      </c>
    </row>
    <row r="184" spans="1:8" ht="12.75" customHeight="1" x14ac:dyDescent="0.2">
      <c r="A184" s="541"/>
      <c r="B184" s="817"/>
      <c r="C184" s="819" t="s">
        <v>322</v>
      </c>
      <c r="D184" s="815">
        <v>763279.43</v>
      </c>
      <c r="E184" s="815"/>
      <c r="F184" s="816"/>
    </row>
    <row r="185" spans="1:8" ht="12.75" customHeight="1" x14ac:dyDescent="0.2">
      <c r="A185" s="541"/>
      <c r="B185" s="817"/>
      <c r="C185" s="819" t="s">
        <v>323</v>
      </c>
      <c r="D185" s="815">
        <v>2717.37</v>
      </c>
      <c r="E185" s="815"/>
      <c r="F185" s="816"/>
    </row>
    <row r="186" spans="1:8" ht="12.75" customHeight="1" x14ac:dyDescent="0.2">
      <c r="A186" s="541"/>
      <c r="B186" s="817"/>
      <c r="C186" s="820" t="s">
        <v>324</v>
      </c>
      <c r="D186" s="815">
        <v>95480.03</v>
      </c>
      <c r="E186" s="815"/>
      <c r="F186" s="816"/>
    </row>
    <row r="187" spans="1:8" ht="12.75" customHeight="1" x14ac:dyDescent="0.2">
      <c r="A187" s="541"/>
      <c r="B187" s="817"/>
      <c r="C187" s="820" t="s">
        <v>131</v>
      </c>
      <c r="D187" s="815">
        <v>48881.1</v>
      </c>
      <c r="E187" s="815"/>
      <c r="F187" s="816"/>
    </row>
    <row r="188" spans="1:8" ht="12.75" customHeight="1" x14ac:dyDescent="0.2">
      <c r="A188" s="821"/>
      <c r="B188" s="822" t="s">
        <v>325</v>
      </c>
      <c r="C188" s="867"/>
      <c r="D188" s="815"/>
      <c r="E188" s="824"/>
      <c r="F188" s="825"/>
    </row>
    <row r="189" spans="1:8" ht="12.75" customHeight="1" x14ac:dyDescent="0.2">
      <c r="A189" s="821"/>
      <c r="B189" s="866" t="s">
        <v>326</v>
      </c>
      <c r="D189" s="815"/>
      <c r="E189" s="865">
        <f>D189</f>
        <v>0</v>
      </c>
      <c r="F189" s="825"/>
      <c r="G189" s="803">
        <v>5000</v>
      </c>
    </row>
    <row r="190" spans="1:8" ht="12.75" customHeight="1" thickBot="1" x14ac:dyDescent="0.25">
      <c r="A190" s="826"/>
      <c r="B190" s="827"/>
      <c r="C190" s="828"/>
      <c r="D190" s="829"/>
      <c r="E190" s="830"/>
      <c r="F190" s="868">
        <f>SUM(E139:E189)</f>
        <v>2270475.2000000002</v>
      </c>
      <c r="H190" s="831">
        <f>'Sched-B1'!B7+'Sched-B2'!E71+'Sched-D1'!F190-11224446.92-889765.76</f>
        <v>-149441.37000000128</v>
      </c>
    </row>
    <row r="191" spans="1:8" ht="12.75" customHeight="1" x14ac:dyDescent="0.2">
      <c r="A191" s="808" t="s">
        <v>746</v>
      </c>
      <c r="B191" s="809" t="s">
        <v>50</v>
      </c>
      <c r="C191" s="810"/>
      <c r="D191" s="811"/>
      <c r="E191" s="812">
        <f>9476.11+957.6</f>
        <v>10433.710000000001</v>
      </c>
      <c r="F191" s="813"/>
      <c r="G191" s="803">
        <v>2000</v>
      </c>
    </row>
    <row r="192" spans="1:8" ht="12.75" customHeight="1" x14ac:dyDescent="0.2">
      <c r="A192" s="541"/>
      <c r="B192" s="858" t="s">
        <v>680</v>
      </c>
      <c r="C192" s="814"/>
      <c r="D192" s="815">
        <v>2683007.87</v>
      </c>
      <c r="E192" s="862">
        <f>SUM(D192:D230)</f>
        <v>5804323.75</v>
      </c>
      <c r="F192" s="816"/>
    </row>
    <row r="193" spans="1:7" ht="12.75" customHeight="1" x14ac:dyDescent="0.2">
      <c r="A193" s="541"/>
      <c r="B193" s="860" t="s">
        <v>681</v>
      </c>
      <c r="C193" s="814"/>
      <c r="D193" s="815"/>
      <c r="E193" s="815"/>
      <c r="F193" s="816"/>
      <c r="G193" s="861" t="s">
        <v>708</v>
      </c>
    </row>
    <row r="194" spans="1:7" ht="12.75" customHeight="1" x14ac:dyDescent="0.2">
      <c r="A194" s="541"/>
      <c r="B194" s="860" t="s">
        <v>682</v>
      </c>
      <c r="C194" s="814"/>
      <c r="D194" s="815"/>
      <c r="E194" s="815"/>
      <c r="F194" s="816"/>
      <c r="G194" s="861" t="s">
        <v>709</v>
      </c>
    </row>
    <row r="195" spans="1:7" ht="12.75" customHeight="1" x14ac:dyDescent="0.2">
      <c r="A195" s="541"/>
      <c r="B195" s="860" t="s">
        <v>740</v>
      </c>
      <c r="C195" s="814"/>
      <c r="D195" s="815"/>
      <c r="E195" s="815"/>
      <c r="F195" s="816"/>
      <c r="G195" s="861">
        <v>3003</v>
      </c>
    </row>
    <row r="196" spans="1:7" ht="12.75" customHeight="1" x14ac:dyDescent="0.2">
      <c r="A196" s="541"/>
      <c r="B196" s="860" t="s">
        <v>683</v>
      </c>
      <c r="C196" s="814"/>
      <c r="D196" s="815"/>
      <c r="E196" s="815"/>
      <c r="F196" s="816"/>
      <c r="G196" s="861" t="s">
        <v>710</v>
      </c>
    </row>
    <row r="197" spans="1:7" ht="12.75" customHeight="1" x14ac:dyDescent="0.2">
      <c r="A197" s="541"/>
      <c r="B197" s="860" t="s">
        <v>684</v>
      </c>
      <c r="C197" s="814"/>
      <c r="D197" s="815"/>
      <c r="E197" s="815"/>
      <c r="F197" s="816"/>
      <c r="G197" s="861" t="s">
        <v>711</v>
      </c>
    </row>
    <row r="198" spans="1:7" ht="12.75" customHeight="1" x14ac:dyDescent="0.2">
      <c r="A198" s="541"/>
      <c r="B198" s="860" t="s">
        <v>685</v>
      </c>
      <c r="C198" s="814"/>
      <c r="D198" s="815"/>
      <c r="E198" s="815"/>
      <c r="F198" s="816"/>
      <c r="G198" s="861" t="s">
        <v>712</v>
      </c>
    </row>
    <row r="199" spans="1:7" ht="12.75" customHeight="1" x14ac:dyDescent="0.2">
      <c r="A199" s="541"/>
      <c r="B199" s="870" t="s">
        <v>51</v>
      </c>
      <c r="C199" s="814"/>
      <c r="D199" s="815">
        <v>3121315.88</v>
      </c>
      <c r="E199" s="815"/>
      <c r="F199" s="816"/>
      <c r="G199" s="861"/>
    </row>
    <row r="200" spans="1:7" ht="12.75" customHeight="1" x14ac:dyDescent="0.2">
      <c r="A200" s="541"/>
      <c r="B200" s="860" t="s">
        <v>745</v>
      </c>
      <c r="C200" s="814"/>
      <c r="D200" s="815"/>
      <c r="E200" s="815"/>
      <c r="F200" s="816"/>
      <c r="G200" s="861">
        <v>3029</v>
      </c>
    </row>
    <row r="201" spans="1:7" ht="12.75" customHeight="1" x14ac:dyDescent="0.2">
      <c r="A201" s="541"/>
      <c r="B201" s="860" t="s">
        <v>686</v>
      </c>
      <c r="C201" s="814"/>
      <c r="D201" s="815"/>
      <c r="E201" s="815"/>
      <c r="F201" s="816"/>
      <c r="G201" s="861" t="s">
        <v>713</v>
      </c>
    </row>
    <row r="202" spans="1:7" ht="12.75" customHeight="1" x14ac:dyDescent="0.2">
      <c r="A202" s="541"/>
      <c r="B202" s="860" t="s">
        <v>687</v>
      </c>
      <c r="C202" s="814"/>
      <c r="D202" s="815"/>
      <c r="E202" s="815"/>
      <c r="F202" s="816"/>
      <c r="G202" s="861" t="s">
        <v>714</v>
      </c>
    </row>
    <row r="203" spans="1:7" ht="12.75" customHeight="1" x14ac:dyDescent="0.2">
      <c r="A203" s="541"/>
      <c r="B203" s="860" t="s">
        <v>737</v>
      </c>
      <c r="C203" s="814"/>
      <c r="D203" s="815"/>
      <c r="E203" s="815"/>
      <c r="F203" s="816"/>
      <c r="G203" s="861">
        <v>3034</v>
      </c>
    </row>
    <row r="204" spans="1:7" ht="12.75" customHeight="1" x14ac:dyDescent="0.2">
      <c r="A204" s="541"/>
      <c r="B204" s="860" t="s">
        <v>688</v>
      </c>
      <c r="C204" s="814"/>
      <c r="D204" s="815"/>
      <c r="E204" s="815"/>
      <c r="F204" s="816"/>
      <c r="G204" s="861" t="s">
        <v>715</v>
      </c>
    </row>
    <row r="205" spans="1:7" ht="12.75" customHeight="1" x14ac:dyDescent="0.2">
      <c r="A205" s="541"/>
      <c r="B205" s="860" t="s">
        <v>689</v>
      </c>
      <c r="C205" s="814"/>
      <c r="D205" s="815"/>
      <c r="E205" s="815"/>
      <c r="F205" s="816"/>
      <c r="G205" s="861" t="s">
        <v>716</v>
      </c>
    </row>
    <row r="206" spans="1:7" ht="12.75" customHeight="1" x14ac:dyDescent="0.2">
      <c r="A206" s="541"/>
      <c r="B206" s="860" t="s">
        <v>690</v>
      </c>
      <c r="C206" s="814"/>
      <c r="D206" s="815"/>
      <c r="E206" s="815"/>
      <c r="F206" s="816"/>
      <c r="G206" s="861" t="s">
        <v>717</v>
      </c>
    </row>
    <row r="207" spans="1:7" ht="12.75" customHeight="1" x14ac:dyDescent="0.2">
      <c r="A207" s="541"/>
      <c r="B207" s="860" t="s">
        <v>691</v>
      </c>
      <c r="C207" s="814"/>
      <c r="D207" s="815"/>
      <c r="E207" s="815"/>
      <c r="F207" s="816"/>
      <c r="G207" s="861" t="s">
        <v>718</v>
      </c>
    </row>
    <row r="208" spans="1:7" ht="12.75" customHeight="1" x14ac:dyDescent="0.2">
      <c r="A208" s="541"/>
      <c r="B208" s="860" t="s">
        <v>692</v>
      </c>
      <c r="C208" s="814"/>
      <c r="D208" s="815"/>
      <c r="E208" s="815"/>
      <c r="F208" s="816"/>
      <c r="G208" s="861" t="s">
        <v>719</v>
      </c>
    </row>
    <row r="209" spans="1:7" ht="12.75" customHeight="1" x14ac:dyDescent="0.2">
      <c r="A209" s="541"/>
      <c r="B209" s="860" t="s">
        <v>693</v>
      </c>
      <c r="C209" s="814"/>
      <c r="D209" s="815"/>
      <c r="E209" s="815"/>
      <c r="F209" s="816"/>
      <c r="G209" s="861" t="s">
        <v>720</v>
      </c>
    </row>
    <row r="210" spans="1:7" ht="12.75" customHeight="1" x14ac:dyDescent="0.2">
      <c r="A210" s="541"/>
      <c r="B210" s="860" t="s">
        <v>747</v>
      </c>
      <c r="C210" s="814"/>
      <c r="D210" s="815"/>
      <c r="E210" s="815"/>
      <c r="F210" s="816"/>
      <c r="G210" s="861">
        <v>3042</v>
      </c>
    </row>
    <row r="211" spans="1:7" ht="12.75" customHeight="1" x14ac:dyDescent="0.2">
      <c r="A211" s="541"/>
      <c r="B211" s="860" t="s">
        <v>694</v>
      </c>
      <c r="C211" s="814"/>
      <c r="D211" s="815"/>
      <c r="E211" s="815"/>
      <c r="F211" s="816"/>
      <c r="G211" s="861" t="s">
        <v>721</v>
      </c>
    </row>
    <row r="212" spans="1:7" ht="12.75" customHeight="1" x14ac:dyDescent="0.2">
      <c r="A212" s="541"/>
      <c r="B212" s="860" t="s">
        <v>695</v>
      </c>
      <c r="C212" s="814"/>
      <c r="D212" s="815"/>
      <c r="E212" s="815"/>
      <c r="F212" s="816"/>
      <c r="G212" s="861" t="s">
        <v>722</v>
      </c>
    </row>
    <row r="213" spans="1:7" ht="12.75" customHeight="1" x14ac:dyDescent="0.2">
      <c r="A213" s="541"/>
      <c r="B213" s="860" t="s">
        <v>696</v>
      </c>
      <c r="C213" s="814"/>
      <c r="D213" s="815"/>
      <c r="E213" s="815"/>
      <c r="F213" s="816"/>
      <c r="G213" s="861" t="s">
        <v>723</v>
      </c>
    </row>
    <row r="214" spans="1:7" ht="12.75" customHeight="1" x14ac:dyDescent="0.2">
      <c r="A214" s="541"/>
      <c r="B214" s="860" t="s">
        <v>738</v>
      </c>
      <c r="C214" s="814"/>
      <c r="D214" s="815"/>
      <c r="E214" s="815"/>
      <c r="F214" s="816"/>
      <c r="G214" s="861">
        <v>3048</v>
      </c>
    </row>
    <row r="215" spans="1:7" ht="12.75" customHeight="1" x14ac:dyDescent="0.2">
      <c r="A215" s="541"/>
      <c r="B215" s="860" t="s">
        <v>697</v>
      </c>
      <c r="C215" s="814"/>
      <c r="D215" s="815"/>
      <c r="E215" s="815"/>
      <c r="F215" s="816"/>
      <c r="G215" s="861" t="s">
        <v>724</v>
      </c>
    </row>
    <row r="216" spans="1:7" ht="12.75" customHeight="1" x14ac:dyDescent="0.2">
      <c r="A216" s="541"/>
      <c r="B216" s="860" t="s">
        <v>698</v>
      </c>
      <c r="C216" s="814"/>
      <c r="D216" s="815"/>
      <c r="E216" s="815"/>
      <c r="F216" s="816"/>
      <c r="G216" s="861" t="s">
        <v>725</v>
      </c>
    </row>
    <row r="217" spans="1:7" ht="12.75" customHeight="1" x14ac:dyDescent="0.2">
      <c r="A217" s="541"/>
      <c r="B217" s="860" t="s">
        <v>741</v>
      </c>
      <c r="C217" s="814"/>
      <c r="D217" s="815"/>
      <c r="E217" s="815"/>
      <c r="F217" s="816"/>
      <c r="G217" s="861">
        <v>3051</v>
      </c>
    </row>
    <row r="218" spans="1:7" ht="12.75" customHeight="1" x14ac:dyDescent="0.2">
      <c r="A218" s="541"/>
      <c r="B218" s="860" t="s">
        <v>699</v>
      </c>
      <c r="C218" s="814"/>
      <c r="D218" s="815"/>
      <c r="E218" s="815"/>
      <c r="F218" s="816"/>
      <c r="G218" s="861" t="s">
        <v>726</v>
      </c>
    </row>
    <row r="219" spans="1:7" ht="12.75" customHeight="1" x14ac:dyDescent="0.2">
      <c r="A219" s="541"/>
      <c r="B219" s="860" t="s">
        <v>742</v>
      </c>
      <c r="C219" s="814"/>
      <c r="D219" s="815"/>
      <c r="E219" s="815"/>
      <c r="F219" s="816"/>
      <c r="G219" s="861">
        <v>3056</v>
      </c>
    </row>
    <row r="220" spans="1:7" ht="12.75" customHeight="1" x14ac:dyDescent="0.2">
      <c r="A220" s="541"/>
      <c r="B220" s="860" t="s">
        <v>700</v>
      </c>
      <c r="C220" s="814"/>
      <c r="D220" s="815"/>
      <c r="E220" s="815"/>
      <c r="F220" s="816"/>
      <c r="G220" s="861">
        <v>3057</v>
      </c>
    </row>
    <row r="221" spans="1:7" ht="12.75" customHeight="1" x14ac:dyDescent="0.2">
      <c r="A221" s="541"/>
      <c r="B221" s="860" t="s">
        <v>701</v>
      </c>
      <c r="C221" s="814"/>
      <c r="D221" s="815"/>
      <c r="E221" s="815"/>
      <c r="F221" s="816"/>
      <c r="G221" s="861" t="s">
        <v>728</v>
      </c>
    </row>
    <row r="222" spans="1:7" ht="12.75" customHeight="1" x14ac:dyDescent="0.2">
      <c r="A222" s="541"/>
      <c r="B222" s="860" t="s">
        <v>702</v>
      </c>
      <c r="C222" s="814"/>
      <c r="D222" s="815"/>
      <c r="E222" s="815"/>
      <c r="F222" s="816"/>
      <c r="G222" s="861" t="s">
        <v>729</v>
      </c>
    </row>
    <row r="223" spans="1:7" ht="12.75" customHeight="1" x14ac:dyDescent="0.2">
      <c r="A223" s="541"/>
      <c r="B223" s="860" t="s">
        <v>739</v>
      </c>
      <c r="C223" s="814"/>
      <c r="D223" s="815"/>
      <c r="E223" s="815"/>
      <c r="F223" s="816"/>
      <c r="G223" s="861">
        <v>3061</v>
      </c>
    </row>
    <row r="224" spans="1:7" ht="12.75" customHeight="1" x14ac:dyDescent="0.2">
      <c r="A224" s="541"/>
      <c r="B224" s="860" t="s">
        <v>748</v>
      </c>
      <c r="C224" s="814"/>
      <c r="D224" s="815"/>
      <c r="E224" s="815"/>
      <c r="F224" s="816"/>
      <c r="G224" s="861">
        <v>3063</v>
      </c>
    </row>
    <row r="225" spans="1:8" ht="12.75" customHeight="1" x14ac:dyDescent="0.2">
      <c r="A225" s="541"/>
      <c r="B225" s="860" t="s">
        <v>703</v>
      </c>
      <c r="C225" s="814"/>
      <c r="D225" s="815"/>
      <c r="E225" s="815"/>
      <c r="F225" s="816"/>
      <c r="G225" s="861" t="s">
        <v>730</v>
      </c>
    </row>
    <row r="226" spans="1:8" ht="12.75" customHeight="1" x14ac:dyDescent="0.2">
      <c r="A226" s="541"/>
      <c r="B226" s="860" t="s">
        <v>704</v>
      </c>
      <c r="C226" s="814"/>
      <c r="D226" s="815"/>
      <c r="E226" s="815"/>
      <c r="F226" s="816"/>
      <c r="G226" s="861" t="s">
        <v>731</v>
      </c>
    </row>
    <row r="227" spans="1:8" ht="12.75" customHeight="1" x14ac:dyDescent="0.2">
      <c r="A227" s="541"/>
      <c r="B227" s="860" t="s">
        <v>705</v>
      </c>
      <c r="C227" s="814"/>
      <c r="D227" s="815"/>
      <c r="E227" s="815"/>
      <c r="F227" s="816"/>
      <c r="G227" s="861" t="s">
        <v>732</v>
      </c>
      <c r="H227" s="818"/>
    </row>
    <row r="228" spans="1:8" ht="12.75" customHeight="1" x14ac:dyDescent="0.2">
      <c r="A228" s="541"/>
      <c r="B228" s="860" t="s">
        <v>706</v>
      </c>
      <c r="C228" s="814"/>
      <c r="D228" s="815"/>
      <c r="E228" s="815"/>
      <c r="F228" s="816"/>
      <c r="G228" s="861">
        <v>3068</v>
      </c>
      <c r="H228" s="818"/>
    </row>
    <row r="229" spans="1:8" ht="12.75" customHeight="1" x14ac:dyDescent="0.2">
      <c r="A229" s="541"/>
      <c r="B229" s="860" t="s">
        <v>707</v>
      </c>
      <c r="C229" s="814"/>
      <c r="D229" s="815"/>
      <c r="E229" s="815"/>
      <c r="F229" s="816"/>
      <c r="G229" s="861">
        <v>3069</v>
      </c>
      <c r="H229" s="818"/>
    </row>
    <row r="230" spans="1:8" ht="12.75" customHeight="1" x14ac:dyDescent="0.2">
      <c r="A230" s="541"/>
      <c r="B230" s="860" t="s">
        <v>743</v>
      </c>
      <c r="C230" s="814"/>
      <c r="D230" s="815">
        <v>0</v>
      </c>
      <c r="E230" s="815"/>
      <c r="F230" s="816"/>
      <c r="G230" s="861">
        <v>3073</v>
      </c>
    </row>
    <row r="231" spans="1:8" ht="12.75" customHeight="1" x14ac:dyDescent="0.2">
      <c r="A231" s="541"/>
      <c r="B231" s="863" t="s">
        <v>319</v>
      </c>
      <c r="D231" s="815">
        <v>800908.5</v>
      </c>
      <c r="E231" s="862">
        <f>SUM(D231)</f>
        <v>800908.5</v>
      </c>
      <c r="F231" s="816"/>
      <c r="G231" s="803">
        <v>3001</v>
      </c>
      <c r="H231" s="818"/>
    </row>
    <row r="232" spans="1:8" ht="12.75" customHeight="1" x14ac:dyDescent="0.2">
      <c r="A232" s="541"/>
      <c r="B232" s="864" t="s">
        <v>465</v>
      </c>
      <c r="C232" s="820"/>
      <c r="D232" s="815"/>
      <c r="E232" s="862">
        <f>SUM(D233:D238)</f>
        <v>3113319.19</v>
      </c>
      <c r="F232" s="816"/>
    </row>
    <row r="233" spans="1:8" ht="12.75" customHeight="1" x14ac:dyDescent="0.2">
      <c r="A233" s="541"/>
      <c r="B233" s="817"/>
      <c r="C233" s="819" t="s">
        <v>320</v>
      </c>
      <c r="D233" s="815">
        <v>126014.33</v>
      </c>
      <c r="E233" s="815"/>
      <c r="F233" s="816"/>
      <c r="G233" s="803">
        <v>4000</v>
      </c>
    </row>
    <row r="234" spans="1:8" ht="12.75" customHeight="1" x14ac:dyDescent="0.2">
      <c r="A234" s="541"/>
      <c r="B234" s="817"/>
      <c r="C234" s="819" t="s">
        <v>321</v>
      </c>
      <c r="D234" s="815">
        <v>23415.99</v>
      </c>
      <c r="E234" s="815"/>
      <c r="F234" s="816"/>
      <c r="G234" s="803">
        <v>4001</v>
      </c>
    </row>
    <row r="235" spans="1:8" ht="12.75" customHeight="1" x14ac:dyDescent="0.2">
      <c r="A235" s="541"/>
      <c r="B235" s="817"/>
      <c r="C235" s="819" t="s">
        <v>322</v>
      </c>
      <c r="D235" s="815">
        <v>2548944.02</v>
      </c>
      <c r="E235" s="815"/>
      <c r="F235" s="816"/>
    </row>
    <row r="236" spans="1:8" ht="12.75" customHeight="1" x14ac:dyDescent="0.2">
      <c r="A236" s="541"/>
      <c r="B236" s="817"/>
      <c r="C236" s="819" t="s">
        <v>323</v>
      </c>
      <c r="D236" s="815">
        <v>3759.92</v>
      </c>
      <c r="E236" s="815"/>
      <c r="F236" s="816"/>
    </row>
    <row r="237" spans="1:8" ht="12.75" customHeight="1" x14ac:dyDescent="0.2">
      <c r="A237" s="541"/>
      <c r="B237" s="817"/>
      <c r="C237" s="820" t="s">
        <v>324</v>
      </c>
      <c r="D237" s="815">
        <v>92038.83</v>
      </c>
      <c r="E237" s="815"/>
      <c r="F237" s="816"/>
    </row>
    <row r="238" spans="1:8" ht="12.75" customHeight="1" x14ac:dyDescent="0.2">
      <c r="A238" s="541"/>
      <c r="B238" s="817"/>
      <c r="C238" s="820" t="s">
        <v>131</v>
      </c>
      <c r="D238" s="815">
        <v>319146.09999999998</v>
      </c>
      <c r="E238" s="815"/>
      <c r="F238" s="816"/>
    </row>
    <row r="239" spans="1:8" ht="12.75" customHeight="1" x14ac:dyDescent="0.2">
      <c r="A239" s="821"/>
      <c r="B239" s="822" t="s">
        <v>325</v>
      </c>
      <c r="C239" s="867"/>
      <c r="D239" s="815"/>
      <c r="E239" s="824"/>
      <c r="F239" s="825"/>
    </row>
    <row r="240" spans="1:8" ht="12.75" customHeight="1" x14ac:dyDescent="0.2">
      <c r="A240" s="821"/>
      <c r="B240" s="866" t="s">
        <v>326</v>
      </c>
      <c r="D240" s="815">
        <v>0</v>
      </c>
      <c r="E240" s="865">
        <f>D240</f>
        <v>0</v>
      </c>
      <c r="F240" s="825"/>
      <c r="G240" s="803">
        <v>5000</v>
      </c>
    </row>
    <row r="241" spans="1:8" ht="12.75" customHeight="1" thickBot="1" x14ac:dyDescent="0.25">
      <c r="A241" s="826"/>
      <c r="B241" s="827"/>
      <c r="C241" s="828"/>
      <c r="D241" s="829"/>
      <c r="E241" s="830"/>
      <c r="F241" s="868">
        <f>SUM(E191:E240)</f>
        <v>9728985.1500000004</v>
      </c>
      <c r="H241" s="831">
        <f>'Sched-B1'!B8+'Sched-B2'!E88+'Sched-D1'!F241-38551260.52-3121315.88</f>
        <v>-4.6566128730773926E-9</v>
      </c>
    </row>
    <row r="242" spans="1:8" ht="12.75" customHeight="1" x14ac:dyDescent="0.2">
      <c r="A242" s="808" t="s">
        <v>16</v>
      </c>
      <c r="B242" s="809" t="s">
        <v>50</v>
      </c>
      <c r="C242" s="810"/>
      <c r="D242" s="811"/>
      <c r="E242" s="812">
        <v>6617.61</v>
      </c>
      <c r="F242" s="813"/>
      <c r="G242" s="803">
        <v>2000</v>
      </c>
    </row>
    <row r="243" spans="1:8" ht="12.75" customHeight="1" x14ac:dyDescent="0.2">
      <c r="A243" s="541"/>
      <c r="B243" s="858" t="s">
        <v>680</v>
      </c>
      <c r="C243" s="814"/>
      <c r="D243" s="815">
        <f>98770.2-33465.64</f>
        <v>65304.56</v>
      </c>
      <c r="E243" s="862">
        <f>SUM(D243:D284)</f>
        <v>225844.1</v>
      </c>
      <c r="F243" s="816"/>
      <c r="H243" s="803" t="s">
        <v>946</v>
      </c>
    </row>
    <row r="244" spans="1:8" ht="12.75" customHeight="1" x14ac:dyDescent="0.2">
      <c r="A244" s="541"/>
      <c r="B244" s="860" t="s">
        <v>681</v>
      </c>
      <c r="C244" s="814"/>
      <c r="D244" s="815">
        <v>0</v>
      </c>
      <c r="E244" s="815"/>
      <c r="F244" s="816"/>
      <c r="G244" s="861" t="s">
        <v>708</v>
      </c>
    </row>
    <row r="245" spans="1:8" ht="12.75" customHeight="1" x14ac:dyDescent="0.2">
      <c r="A245" s="541"/>
      <c r="B245" s="860" t="s">
        <v>682</v>
      </c>
      <c r="C245" s="814"/>
      <c r="D245" s="815"/>
      <c r="E245" s="815"/>
      <c r="F245" s="816"/>
      <c r="G245" s="861" t="s">
        <v>709</v>
      </c>
    </row>
    <row r="246" spans="1:8" ht="12.75" customHeight="1" x14ac:dyDescent="0.2">
      <c r="A246" s="541"/>
      <c r="B246" s="860" t="s">
        <v>740</v>
      </c>
      <c r="C246" s="814"/>
      <c r="D246" s="815"/>
      <c r="E246" s="815"/>
      <c r="F246" s="816"/>
      <c r="G246" s="861">
        <v>3003</v>
      </c>
    </row>
    <row r="247" spans="1:8" ht="12.75" customHeight="1" x14ac:dyDescent="0.2">
      <c r="A247" s="541"/>
      <c r="B247" s="860" t="s">
        <v>683</v>
      </c>
      <c r="C247" s="814"/>
      <c r="D247" s="815"/>
      <c r="E247" s="815"/>
      <c r="F247" s="816"/>
      <c r="G247" s="861" t="s">
        <v>710</v>
      </c>
    </row>
    <row r="248" spans="1:8" ht="12.75" customHeight="1" x14ac:dyDescent="0.2">
      <c r="A248" s="541"/>
      <c r="B248" s="860" t="s">
        <v>752</v>
      </c>
      <c r="C248" s="814"/>
      <c r="D248" s="815"/>
      <c r="E248" s="815"/>
      <c r="F248" s="816"/>
      <c r="G248" s="861">
        <v>3014</v>
      </c>
    </row>
    <row r="249" spans="1:8" ht="12.75" customHeight="1" x14ac:dyDescent="0.2">
      <c r="A249" s="541"/>
      <c r="B249" s="860" t="s">
        <v>684</v>
      </c>
      <c r="C249" s="814"/>
      <c r="D249" s="815"/>
      <c r="E249" s="815"/>
      <c r="F249" s="816"/>
      <c r="G249" s="861" t="s">
        <v>711</v>
      </c>
    </row>
    <row r="250" spans="1:8" ht="12.75" customHeight="1" x14ac:dyDescent="0.2">
      <c r="A250" s="541"/>
      <c r="B250" s="860" t="s">
        <v>685</v>
      </c>
      <c r="C250" s="814"/>
      <c r="D250" s="815"/>
      <c r="E250" s="815"/>
      <c r="F250" s="816"/>
      <c r="G250" s="861" t="s">
        <v>712</v>
      </c>
    </row>
    <row r="251" spans="1:8" ht="12.75" customHeight="1" x14ac:dyDescent="0.2">
      <c r="A251" s="541"/>
      <c r="B251" s="870" t="s">
        <v>51</v>
      </c>
      <c r="C251" s="814"/>
      <c r="D251" s="815">
        <v>160539.54</v>
      </c>
      <c r="E251" s="815"/>
      <c r="F251" s="816"/>
      <c r="G251" s="861"/>
    </row>
    <row r="252" spans="1:8" ht="12.75" customHeight="1" x14ac:dyDescent="0.2">
      <c r="A252" s="541"/>
      <c r="B252" s="860" t="s">
        <v>745</v>
      </c>
      <c r="C252" s="814"/>
      <c r="D252" s="815"/>
      <c r="E252" s="815"/>
      <c r="F252" s="816"/>
      <c r="G252" s="861">
        <v>3029</v>
      </c>
    </row>
    <row r="253" spans="1:8" ht="12.75" customHeight="1" x14ac:dyDescent="0.2">
      <c r="A253" s="541"/>
      <c r="B253" s="860" t="s">
        <v>686</v>
      </c>
      <c r="C253" s="814"/>
      <c r="D253" s="815"/>
      <c r="E253" s="815"/>
      <c r="F253" s="816"/>
      <c r="G253" s="861" t="s">
        <v>713</v>
      </c>
    </row>
    <row r="254" spans="1:8" ht="12.75" customHeight="1" x14ac:dyDescent="0.2">
      <c r="A254" s="541"/>
      <c r="B254" s="860" t="s">
        <v>687</v>
      </c>
      <c r="C254" s="814"/>
      <c r="D254" s="815"/>
      <c r="E254" s="815"/>
      <c r="F254" s="816"/>
      <c r="G254" s="861" t="s">
        <v>714</v>
      </c>
    </row>
    <row r="255" spans="1:8" ht="12.75" customHeight="1" x14ac:dyDescent="0.2">
      <c r="A255" s="541"/>
      <c r="B255" s="860" t="s">
        <v>737</v>
      </c>
      <c r="C255" s="814"/>
      <c r="D255" s="815"/>
      <c r="E255" s="815"/>
      <c r="F255" s="816"/>
      <c r="G255" s="861">
        <v>3034</v>
      </c>
    </row>
    <row r="256" spans="1:8" ht="12.75" customHeight="1" x14ac:dyDescent="0.2">
      <c r="A256" s="541"/>
      <c r="B256" s="860" t="s">
        <v>688</v>
      </c>
      <c r="C256" s="814"/>
      <c r="D256" s="815"/>
      <c r="E256" s="815"/>
      <c r="F256" s="816"/>
      <c r="G256" s="861" t="s">
        <v>715</v>
      </c>
    </row>
    <row r="257" spans="1:7" ht="12.75" customHeight="1" x14ac:dyDescent="0.2">
      <c r="A257" s="541"/>
      <c r="B257" s="860" t="s">
        <v>689</v>
      </c>
      <c r="C257" s="814"/>
      <c r="D257" s="815"/>
      <c r="E257" s="815"/>
      <c r="F257" s="816"/>
      <c r="G257" s="861" t="s">
        <v>716</v>
      </c>
    </row>
    <row r="258" spans="1:7" ht="12.75" customHeight="1" x14ac:dyDescent="0.2">
      <c r="A258" s="541"/>
      <c r="B258" s="860" t="s">
        <v>690</v>
      </c>
      <c r="C258" s="814"/>
      <c r="D258" s="815"/>
      <c r="E258" s="815"/>
      <c r="F258" s="816"/>
      <c r="G258" s="861" t="s">
        <v>717</v>
      </c>
    </row>
    <row r="259" spans="1:7" ht="12.75" customHeight="1" x14ac:dyDescent="0.2">
      <c r="A259" s="541"/>
      <c r="B259" s="860" t="s">
        <v>691</v>
      </c>
      <c r="C259" s="814"/>
      <c r="D259" s="815"/>
      <c r="E259" s="815"/>
      <c r="F259" s="816"/>
      <c r="G259" s="861" t="s">
        <v>718</v>
      </c>
    </row>
    <row r="260" spans="1:7" ht="12.75" customHeight="1" x14ac:dyDescent="0.2">
      <c r="A260" s="541"/>
      <c r="B260" s="860" t="s">
        <v>692</v>
      </c>
      <c r="C260" s="814"/>
      <c r="D260" s="815"/>
      <c r="E260" s="815"/>
      <c r="F260" s="816"/>
      <c r="G260" s="861" t="s">
        <v>719</v>
      </c>
    </row>
    <row r="261" spans="1:7" ht="12.75" customHeight="1" x14ac:dyDescent="0.2">
      <c r="A261" s="541"/>
      <c r="B261" s="860" t="s">
        <v>693</v>
      </c>
      <c r="C261" s="814"/>
      <c r="D261" s="815"/>
      <c r="E261" s="815"/>
      <c r="F261" s="816"/>
      <c r="G261" s="861" t="s">
        <v>720</v>
      </c>
    </row>
    <row r="262" spans="1:7" ht="12.75" customHeight="1" x14ac:dyDescent="0.2">
      <c r="A262" s="541"/>
      <c r="B262" s="860" t="s">
        <v>747</v>
      </c>
      <c r="C262" s="814"/>
      <c r="D262" s="815"/>
      <c r="E262" s="815"/>
      <c r="F262" s="816"/>
      <c r="G262" s="861">
        <v>3042</v>
      </c>
    </row>
    <row r="263" spans="1:7" ht="12.75" customHeight="1" x14ac:dyDescent="0.2">
      <c r="A263" s="541"/>
      <c r="B263" s="860" t="s">
        <v>694</v>
      </c>
      <c r="C263" s="814"/>
      <c r="D263" s="815"/>
      <c r="E263" s="815"/>
      <c r="F263" s="816"/>
      <c r="G263" s="861" t="s">
        <v>721</v>
      </c>
    </row>
    <row r="264" spans="1:7" ht="12.75" customHeight="1" x14ac:dyDescent="0.2">
      <c r="A264" s="541"/>
      <c r="B264" s="860" t="s">
        <v>695</v>
      </c>
      <c r="C264" s="814"/>
      <c r="D264" s="815"/>
      <c r="E264" s="815"/>
      <c r="F264" s="816"/>
      <c r="G264" s="861" t="s">
        <v>722</v>
      </c>
    </row>
    <row r="265" spans="1:7" ht="12.75" customHeight="1" x14ac:dyDescent="0.2">
      <c r="A265" s="541"/>
      <c r="B265" s="860" t="s">
        <v>696</v>
      </c>
      <c r="C265" s="814"/>
      <c r="D265" s="815"/>
      <c r="E265" s="815"/>
      <c r="F265" s="816"/>
      <c r="G265" s="861" t="s">
        <v>723</v>
      </c>
    </row>
    <row r="266" spans="1:7" ht="12.75" customHeight="1" x14ac:dyDescent="0.2">
      <c r="A266" s="541"/>
      <c r="B266" s="860" t="s">
        <v>738</v>
      </c>
      <c r="C266" s="814"/>
      <c r="D266" s="815">
        <v>0</v>
      </c>
      <c r="E266" s="815"/>
      <c r="F266" s="816"/>
      <c r="G266" s="861">
        <v>3048</v>
      </c>
    </row>
    <row r="267" spans="1:7" ht="12.75" customHeight="1" x14ac:dyDescent="0.2">
      <c r="A267" s="541"/>
      <c r="B267" s="860" t="s">
        <v>697</v>
      </c>
      <c r="C267" s="814"/>
      <c r="D267" s="815">
        <v>0</v>
      </c>
      <c r="E267" s="815"/>
      <c r="F267" s="816"/>
      <c r="G267" s="861" t="s">
        <v>724</v>
      </c>
    </row>
    <row r="268" spans="1:7" ht="12.75" customHeight="1" x14ac:dyDescent="0.2">
      <c r="A268" s="541"/>
      <c r="B268" s="860" t="s">
        <v>698</v>
      </c>
      <c r="C268" s="814"/>
      <c r="D268" s="815">
        <v>0</v>
      </c>
      <c r="E268" s="815"/>
      <c r="F268" s="816"/>
      <c r="G268" s="861" t="s">
        <v>725</v>
      </c>
    </row>
    <row r="269" spans="1:7" ht="12.75" customHeight="1" x14ac:dyDescent="0.2">
      <c r="A269" s="541"/>
      <c r="B269" s="860" t="s">
        <v>741</v>
      </c>
      <c r="C269" s="814"/>
      <c r="D269" s="815">
        <v>0</v>
      </c>
      <c r="E269" s="815"/>
      <c r="F269" s="816"/>
      <c r="G269" s="861">
        <v>3051</v>
      </c>
    </row>
    <row r="270" spans="1:7" ht="12.75" customHeight="1" x14ac:dyDescent="0.2">
      <c r="A270" s="541"/>
      <c r="B270" s="860" t="s">
        <v>759</v>
      </c>
      <c r="C270" s="814"/>
      <c r="D270" s="815"/>
      <c r="E270" s="815"/>
      <c r="F270" s="816"/>
      <c r="G270" s="861">
        <v>3052</v>
      </c>
    </row>
    <row r="271" spans="1:7" ht="12.75" customHeight="1" x14ac:dyDescent="0.2">
      <c r="A271" s="541"/>
      <c r="B271" s="860" t="s">
        <v>699</v>
      </c>
      <c r="C271" s="814"/>
      <c r="D271" s="815"/>
      <c r="E271" s="815"/>
      <c r="F271" s="816"/>
      <c r="G271" s="861" t="s">
        <v>726</v>
      </c>
    </row>
    <row r="272" spans="1:7" ht="12.75" customHeight="1" x14ac:dyDescent="0.2">
      <c r="A272" s="541"/>
      <c r="B272" s="860" t="s">
        <v>742</v>
      </c>
      <c r="C272" s="814"/>
      <c r="D272" s="815"/>
      <c r="E272" s="815"/>
      <c r="F272" s="816"/>
      <c r="G272" s="861">
        <v>3056</v>
      </c>
    </row>
    <row r="273" spans="1:8" ht="12.75" customHeight="1" x14ac:dyDescent="0.2">
      <c r="A273" s="541"/>
      <c r="B273" s="860" t="s">
        <v>700</v>
      </c>
      <c r="C273" s="814"/>
      <c r="D273" s="815"/>
      <c r="E273" s="815"/>
      <c r="F273" s="816"/>
      <c r="G273" s="861">
        <v>3057</v>
      </c>
    </row>
    <row r="274" spans="1:8" ht="12.75" customHeight="1" x14ac:dyDescent="0.2">
      <c r="A274" s="541"/>
      <c r="B274" s="860" t="s">
        <v>701</v>
      </c>
      <c r="C274" s="814"/>
      <c r="D274" s="815"/>
      <c r="E274" s="815"/>
      <c r="F274" s="816"/>
      <c r="G274" s="861" t="s">
        <v>728</v>
      </c>
    </row>
    <row r="275" spans="1:8" ht="12.75" customHeight="1" x14ac:dyDescent="0.2">
      <c r="A275" s="541"/>
      <c r="B275" s="860" t="s">
        <v>702</v>
      </c>
      <c r="C275" s="814"/>
      <c r="D275" s="815"/>
      <c r="E275" s="815"/>
      <c r="F275" s="816"/>
      <c r="G275" s="861" t="s">
        <v>729</v>
      </c>
    </row>
    <row r="276" spans="1:8" ht="12.75" customHeight="1" x14ac:dyDescent="0.2">
      <c r="A276" s="541"/>
      <c r="B276" s="860" t="s">
        <v>739</v>
      </c>
      <c r="C276" s="814"/>
      <c r="D276" s="815"/>
      <c r="E276" s="815"/>
      <c r="F276" s="816"/>
      <c r="G276" s="861">
        <v>3061</v>
      </c>
    </row>
    <row r="277" spans="1:8" ht="12.75" customHeight="1" x14ac:dyDescent="0.2">
      <c r="A277" s="541"/>
      <c r="B277" s="860" t="s">
        <v>748</v>
      </c>
      <c r="C277" s="814"/>
      <c r="D277" s="815"/>
      <c r="E277" s="815"/>
      <c r="F277" s="816"/>
      <c r="G277" s="861">
        <v>3063</v>
      </c>
    </row>
    <row r="278" spans="1:8" ht="12.75" customHeight="1" x14ac:dyDescent="0.2">
      <c r="A278" s="541"/>
      <c r="B278" s="860" t="s">
        <v>703</v>
      </c>
      <c r="C278" s="814"/>
      <c r="D278" s="815">
        <v>0</v>
      </c>
      <c r="E278" s="815"/>
      <c r="F278" s="816"/>
      <c r="G278" s="861" t="s">
        <v>730</v>
      </c>
    </row>
    <row r="279" spans="1:8" ht="12.75" customHeight="1" x14ac:dyDescent="0.2">
      <c r="A279" s="541"/>
      <c r="B279" s="860" t="s">
        <v>753</v>
      </c>
      <c r="C279" s="814"/>
      <c r="D279" s="815"/>
      <c r="E279" s="815"/>
      <c r="F279" s="816"/>
      <c r="G279" s="861">
        <v>3065</v>
      </c>
    </row>
    <row r="280" spans="1:8" ht="12.75" customHeight="1" x14ac:dyDescent="0.2">
      <c r="A280" s="541"/>
      <c r="B280" s="860" t="s">
        <v>704</v>
      </c>
      <c r="C280" s="814"/>
      <c r="D280" s="815"/>
      <c r="E280" s="815"/>
      <c r="F280" s="816"/>
      <c r="G280" s="861" t="s">
        <v>731</v>
      </c>
    </row>
    <row r="281" spans="1:8" ht="12.75" customHeight="1" x14ac:dyDescent="0.2">
      <c r="A281" s="541"/>
      <c r="B281" s="860" t="s">
        <v>705</v>
      </c>
      <c r="C281" s="814"/>
      <c r="D281" s="815"/>
      <c r="E281" s="815"/>
      <c r="F281" s="816"/>
      <c r="G281" s="861" t="s">
        <v>732</v>
      </c>
      <c r="H281" s="818"/>
    </row>
    <row r="282" spans="1:8" ht="12.75" customHeight="1" x14ac:dyDescent="0.2">
      <c r="A282" s="541"/>
      <c r="B282" s="860" t="s">
        <v>706</v>
      </c>
      <c r="C282" s="814"/>
      <c r="D282" s="815"/>
      <c r="E282" s="815"/>
      <c r="F282" s="816"/>
      <c r="G282" s="861">
        <v>3068</v>
      </c>
      <c r="H282" s="818"/>
    </row>
    <row r="283" spans="1:8" ht="12.75" customHeight="1" x14ac:dyDescent="0.2">
      <c r="A283" s="541"/>
      <c r="B283" s="860" t="s">
        <v>707</v>
      </c>
      <c r="C283" s="814"/>
      <c r="D283" s="815"/>
      <c r="E283" s="815"/>
      <c r="F283" s="816"/>
      <c r="G283" s="861">
        <v>3069</v>
      </c>
      <c r="H283" s="818"/>
    </row>
    <row r="284" spans="1:8" ht="12.75" customHeight="1" x14ac:dyDescent="0.2">
      <c r="A284" s="541"/>
      <c r="B284" s="860" t="s">
        <v>743</v>
      </c>
      <c r="C284" s="814"/>
      <c r="D284" s="815">
        <v>0</v>
      </c>
      <c r="E284" s="815"/>
      <c r="F284" s="816"/>
      <c r="G284" s="861">
        <v>3073</v>
      </c>
    </row>
    <row r="285" spans="1:8" ht="12.75" customHeight="1" x14ac:dyDescent="0.2">
      <c r="A285" s="541"/>
      <c r="B285" s="863" t="s">
        <v>319</v>
      </c>
      <c r="C285" s="819"/>
      <c r="D285" s="816">
        <v>65721.75</v>
      </c>
      <c r="E285" s="872">
        <f>SUM(D285)</f>
        <v>65721.75</v>
      </c>
      <c r="F285" s="816"/>
      <c r="G285" s="861">
        <v>3001</v>
      </c>
      <c r="H285" s="818"/>
    </row>
    <row r="286" spans="1:8" ht="12.75" customHeight="1" x14ac:dyDescent="0.2">
      <c r="A286" s="541"/>
      <c r="B286" s="864" t="s">
        <v>465</v>
      </c>
      <c r="C286" s="820"/>
      <c r="D286" s="816"/>
      <c r="E286" s="872">
        <f>SUM(D287:D292)</f>
        <v>280215.67999999999</v>
      </c>
      <c r="F286" s="816"/>
    </row>
    <row r="287" spans="1:8" ht="12.75" customHeight="1" x14ac:dyDescent="0.2">
      <c r="A287" s="541"/>
      <c r="B287" s="817"/>
      <c r="C287" s="819" t="s">
        <v>320</v>
      </c>
      <c r="D287" s="816">
        <v>27308.04</v>
      </c>
      <c r="E287" s="816"/>
      <c r="F287" s="816"/>
      <c r="G287" s="803">
        <v>4000</v>
      </c>
    </row>
    <row r="288" spans="1:8" ht="12.75" customHeight="1" x14ac:dyDescent="0.2">
      <c r="A288" s="541"/>
      <c r="B288" s="817"/>
      <c r="C288" s="819" t="s">
        <v>321</v>
      </c>
      <c r="D288" s="815">
        <v>0</v>
      </c>
      <c r="E288" s="815"/>
      <c r="F288" s="816"/>
      <c r="G288" s="803">
        <v>4001</v>
      </c>
    </row>
    <row r="289" spans="1:11" ht="12.75" customHeight="1" x14ac:dyDescent="0.2">
      <c r="A289" s="541"/>
      <c r="B289" s="817"/>
      <c r="C289" s="819" t="s">
        <v>322</v>
      </c>
      <c r="D289" s="816">
        <v>218708.79</v>
      </c>
      <c r="E289" s="816"/>
      <c r="F289" s="816"/>
    </row>
    <row r="290" spans="1:11" ht="12.75" customHeight="1" x14ac:dyDescent="0.2">
      <c r="A290" s="541"/>
      <c r="B290" s="817"/>
      <c r="C290" s="819" t="s">
        <v>323</v>
      </c>
      <c r="D290" s="816">
        <v>900.51</v>
      </c>
      <c r="E290" s="816"/>
      <c r="F290" s="816"/>
    </row>
    <row r="291" spans="1:11" ht="12.75" customHeight="1" x14ac:dyDescent="0.2">
      <c r="A291" s="541"/>
      <c r="B291" s="817"/>
      <c r="C291" s="820" t="s">
        <v>324</v>
      </c>
      <c r="D291" s="816">
        <v>19663.41</v>
      </c>
      <c r="E291" s="816"/>
      <c r="F291" s="816"/>
    </row>
    <row r="292" spans="1:11" ht="12.75" customHeight="1" x14ac:dyDescent="0.2">
      <c r="A292" s="541"/>
      <c r="B292" s="817"/>
      <c r="C292" s="820" t="s">
        <v>131</v>
      </c>
      <c r="D292" s="816">
        <v>13634.93</v>
      </c>
      <c r="E292" s="816"/>
      <c r="F292" s="816"/>
    </row>
    <row r="293" spans="1:11" ht="12.75" customHeight="1" x14ac:dyDescent="0.2">
      <c r="A293" s="541"/>
      <c r="B293" s="822" t="s">
        <v>325</v>
      </c>
      <c r="C293" s="820"/>
      <c r="D293" s="837"/>
      <c r="E293" s="825"/>
      <c r="F293" s="825"/>
    </row>
    <row r="294" spans="1:11" ht="12.75" customHeight="1" x14ac:dyDescent="0.2">
      <c r="A294" s="834"/>
      <c r="B294" s="866" t="s">
        <v>326</v>
      </c>
      <c r="D294" s="816">
        <v>0</v>
      </c>
      <c r="E294" s="873">
        <f>D294</f>
        <v>0</v>
      </c>
      <c r="F294" s="825"/>
      <c r="H294" s="818"/>
    </row>
    <row r="295" spans="1:11" ht="12.75" customHeight="1" thickBot="1" x14ac:dyDescent="0.25">
      <c r="A295" s="826"/>
      <c r="B295" s="827"/>
      <c r="C295" s="828"/>
      <c r="D295" s="838"/>
      <c r="E295" s="839"/>
      <c r="F295" s="868">
        <f>SUM(E242:E295)</f>
        <v>578399.1399999999</v>
      </c>
      <c r="G295" s="803">
        <v>70200</v>
      </c>
      <c r="H295" s="840">
        <f>'Sched-B1'!B9+'Sched-B2'!E105+'Sched-D1'!F295-4383656.76-160539.54</f>
        <v>-33465.640000000567</v>
      </c>
      <c r="K295" s="818"/>
    </row>
    <row r="296" spans="1:11" ht="12.75" customHeight="1" x14ac:dyDescent="0.2">
      <c r="A296" s="808" t="s">
        <v>760</v>
      </c>
      <c r="B296" s="809" t="s">
        <v>50</v>
      </c>
      <c r="C296" s="810"/>
      <c r="D296" s="811"/>
      <c r="E296" s="812">
        <f>44544.21+768.91+1331.33</f>
        <v>46644.450000000004</v>
      </c>
      <c r="F296" s="813"/>
    </row>
    <row r="297" spans="1:11" ht="12.75" customHeight="1" x14ac:dyDescent="0.2">
      <c r="A297" s="541"/>
      <c r="B297" s="858" t="s">
        <v>680</v>
      </c>
      <c r="C297" s="814"/>
      <c r="D297" s="815">
        <f>476560.48-131554.57</f>
        <v>345005.91</v>
      </c>
      <c r="E297" s="862">
        <f>SUM(D297:D333)</f>
        <v>505900.74</v>
      </c>
      <c r="F297" s="816"/>
      <c r="H297" s="818"/>
    </row>
    <row r="298" spans="1:11" ht="12.75" customHeight="1" x14ac:dyDescent="0.2">
      <c r="A298" s="541"/>
      <c r="B298" s="870" t="s">
        <v>948</v>
      </c>
      <c r="C298" s="1077"/>
      <c r="D298" s="871">
        <v>-69162.39</v>
      </c>
      <c r="E298" s="862"/>
      <c r="F298" s="816"/>
      <c r="H298" s="818"/>
    </row>
    <row r="299" spans="1:11" ht="12.75" customHeight="1" x14ac:dyDescent="0.2">
      <c r="A299" s="541"/>
      <c r="B299" s="870" t="s">
        <v>761</v>
      </c>
      <c r="C299" s="627"/>
      <c r="D299" s="871">
        <f>-268227.84-100174.25</f>
        <v>-368402.09</v>
      </c>
      <c r="E299" s="815"/>
      <c r="F299" s="816"/>
      <c r="H299" s="803" t="s">
        <v>951</v>
      </c>
    </row>
    <row r="300" spans="1:11" ht="12.75" customHeight="1" x14ac:dyDescent="0.2">
      <c r="A300" s="541"/>
      <c r="B300" s="860" t="s">
        <v>681</v>
      </c>
      <c r="C300" s="814"/>
      <c r="D300" s="815"/>
      <c r="E300" s="815"/>
      <c r="F300" s="816"/>
      <c r="G300" s="861" t="s">
        <v>708</v>
      </c>
      <c r="H300" s="818">
        <f>268227.84+69162.39+100174.25</f>
        <v>437564.48000000004</v>
      </c>
      <c r="I300" s="803" t="s">
        <v>952</v>
      </c>
    </row>
    <row r="301" spans="1:11" ht="12.75" customHeight="1" x14ac:dyDescent="0.2">
      <c r="A301" s="541"/>
      <c r="B301" s="860" t="s">
        <v>682</v>
      </c>
      <c r="C301" s="814"/>
      <c r="D301" s="815"/>
      <c r="E301" s="815"/>
      <c r="F301" s="816"/>
      <c r="G301" s="861" t="s">
        <v>709</v>
      </c>
      <c r="H301" s="803" t="s">
        <v>950</v>
      </c>
    </row>
    <row r="302" spans="1:11" ht="12.75" customHeight="1" x14ac:dyDescent="0.2">
      <c r="A302" s="541"/>
      <c r="B302" s="860" t="s">
        <v>683</v>
      </c>
      <c r="C302" s="814"/>
      <c r="D302" s="815"/>
      <c r="E302" s="815"/>
      <c r="F302" s="816"/>
      <c r="G302" s="861" t="s">
        <v>710</v>
      </c>
      <c r="H302" s="803" t="s">
        <v>949</v>
      </c>
    </row>
    <row r="303" spans="1:11" ht="12.75" customHeight="1" x14ac:dyDescent="0.2">
      <c r="A303" s="541"/>
      <c r="B303" s="860" t="s">
        <v>752</v>
      </c>
      <c r="C303" s="814"/>
      <c r="D303" s="815"/>
      <c r="E303" s="815"/>
      <c r="F303" s="816"/>
      <c r="G303" s="861">
        <v>3014</v>
      </c>
    </row>
    <row r="304" spans="1:11" ht="12.75" customHeight="1" x14ac:dyDescent="0.2">
      <c r="A304" s="541"/>
      <c r="B304" s="860" t="s">
        <v>684</v>
      </c>
      <c r="C304" s="814"/>
      <c r="D304" s="815"/>
      <c r="E304" s="815"/>
      <c r="F304" s="816"/>
      <c r="G304" s="861" t="s">
        <v>711</v>
      </c>
    </row>
    <row r="305" spans="1:11" ht="12.75" customHeight="1" x14ac:dyDescent="0.2">
      <c r="A305" s="541"/>
      <c r="B305" s="860" t="s">
        <v>685</v>
      </c>
      <c r="C305" s="814"/>
      <c r="D305" s="815"/>
      <c r="E305" s="815"/>
      <c r="F305" s="816"/>
      <c r="G305" s="861" t="s">
        <v>712</v>
      </c>
      <c r="K305" s="818"/>
    </row>
    <row r="306" spans="1:11" ht="12.75" customHeight="1" x14ac:dyDescent="0.2">
      <c r="A306" s="541"/>
      <c r="B306" s="860" t="s">
        <v>762</v>
      </c>
      <c r="C306" s="814"/>
      <c r="D306" s="815"/>
      <c r="E306" s="815"/>
      <c r="F306" s="816"/>
      <c r="G306" s="861">
        <v>3028</v>
      </c>
    </row>
    <row r="307" spans="1:11" ht="12.75" customHeight="1" x14ac:dyDescent="0.2">
      <c r="A307" s="541"/>
      <c r="B307" s="870" t="s">
        <v>51</v>
      </c>
      <c r="C307" s="814"/>
      <c r="D307" s="815">
        <v>598459.31000000006</v>
      </c>
      <c r="E307" s="815"/>
      <c r="F307" s="816"/>
      <c r="G307" s="861"/>
    </row>
    <row r="308" spans="1:11" ht="12.75" customHeight="1" x14ac:dyDescent="0.2">
      <c r="A308" s="541"/>
      <c r="B308" s="860" t="s">
        <v>686</v>
      </c>
      <c r="C308" s="814"/>
      <c r="D308" s="815"/>
      <c r="E308" s="815"/>
      <c r="F308" s="816"/>
      <c r="G308" s="861" t="s">
        <v>713</v>
      </c>
    </row>
    <row r="309" spans="1:11" ht="12.75" customHeight="1" x14ac:dyDescent="0.2">
      <c r="A309" s="541"/>
      <c r="B309" s="860" t="s">
        <v>687</v>
      </c>
      <c r="C309" s="814"/>
      <c r="D309" s="815"/>
      <c r="E309" s="815"/>
      <c r="F309" s="816"/>
      <c r="G309" s="861" t="s">
        <v>714</v>
      </c>
    </row>
    <row r="310" spans="1:11" ht="12.75" customHeight="1" x14ac:dyDescent="0.2">
      <c r="A310" s="541"/>
      <c r="B310" s="860" t="s">
        <v>737</v>
      </c>
      <c r="C310" s="814"/>
      <c r="D310" s="815"/>
      <c r="E310" s="815"/>
      <c r="F310" s="816"/>
      <c r="G310" s="861">
        <v>3034</v>
      </c>
    </row>
    <row r="311" spans="1:11" ht="12.75" customHeight="1" x14ac:dyDescent="0.2">
      <c r="A311" s="541"/>
      <c r="B311" s="860" t="s">
        <v>688</v>
      </c>
      <c r="C311" s="814"/>
      <c r="D311" s="815"/>
      <c r="E311" s="815"/>
      <c r="F311" s="816"/>
      <c r="G311" s="861" t="s">
        <v>715</v>
      </c>
    </row>
    <row r="312" spans="1:11" ht="12.75" customHeight="1" x14ac:dyDescent="0.2">
      <c r="A312" s="541"/>
      <c r="B312" s="860" t="s">
        <v>689</v>
      </c>
      <c r="C312" s="814"/>
      <c r="D312" s="815"/>
      <c r="E312" s="815"/>
      <c r="F312" s="816"/>
      <c r="G312" s="861" t="s">
        <v>716</v>
      </c>
      <c r="K312" s="836"/>
    </row>
    <row r="313" spans="1:11" ht="12.75" customHeight="1" x14ac:dyDescent="0.2">
      <c r="A313" s="541"/>
      <c r="B313" s="860" t="s">
        <v>690</v>
      </c>
      <c r="C313" s="814"/>
      <c r="D313" s="815"/>
      <c r="E313" s="815"/>
      <c r="F313" s="816"/>
      <c r="G313" s="861" t="s">
        <v>717</v>
      </c>
    </row>
    <row r="314" spans="1:11" ht="12.75" customHeight="1" x14ac:dyDescent="0.2">
      <c r="A314" s="541"/>
      <c r="B314" s="860" t="s">
        <v>691</v>
      </c>
      <c r="C314" s="814"/>
      <c r="D314" s="815"/>
      <c r="E314" s="815"/>
      <c r="F314" s="816"/>
      <c r="G314" s="861" t="s">
        <v>718</v>
      </c>
    </row>
    <row r="315" spans="1:11" ht="12.75" customHeight="1" x14ac:dyDescent="0.2">
      <c r="A315" s="541"/>
      <c r="B315" s="860" t="s">
        <v>692</v>
      </c>
      <c r="C315" s="814"/>
      <c r="D315" s="815"/>
      <c r="E315" s="815"/>
      <c r="F315" s="816"/>
      <c r="G315" s="861" t="s">
        <v>719</v>
      </c>
    </row>
    <row r="316" spans="1:11" ht="12.75" customHeight="1" x14ac:dyDescent="0.2">
      <c r="A316" s="541"/>
      <c r="B316" s="860" t="s">
        <v>693</v>
      </c>
      <c r="C316" s="814"/>
      <c r="D316" s="815"/>
      <c r="E316" s="815"/>
      <c r="F316" s="816"/>
      <c r="G316" s="861" t="s">
        <v>720</v>
      </c>
    </row>
    <row r="317" spans="1:11" ht="12.75" customHeight="1" x14ac:dyDescent="0.2">
      <c r="A317" s="541"/>
      <c r="B317" s="860" t="s">
        <v>694</v>
      </c>
      <c r="C317" s="814"/>
      <c r="D317" s="815"/>
      <c r="E317" s="815"/>
      <c r="F317" s="816"/>
      <c r="G317" s="861" t="s">
        <v>721</v>
      </c>
    </row>
    <row r="318" spans="1:11" ht="12.75" customHeight="1" x14ac:dyDescent="0.2">
      <c r="A318" s="541"/>
      <c r="B318" s="860" t="s">
        <v>695</v>
      </c>
      <c r="C318" s="814"/>
      <c r="D318" s="815"/>
      <c r="E318" s="815"/>
      <c r="F318" s="816"/>
      <c r="G318" s="861" t="s">
        <v>722</v>
      </c>
    </row>
    <row r="319" spans="1:11" ht="12.75" customHeight="1" x14ac:dyDescent="0.2">
      <c r="A319" s="541"/>
      <c r="B319" s="860" t="s">
        <v>696</v>
      </c>
      <c r="C319" s="814"/>
      <c r="D319" s="815"/>
      <c r="E319" s="815"/>
      <c r="F319" s="816"/>
      <c r="G319" s="861" t="s">
        <v>723</v>
      </c>
    </row>
    <row r="320" spans="1:11" ht="12.75" customHeight="1" x14ac:dyDescent="0.2">
      <c r="A320" s="541"/>
      <c r="B320" s="860" t="s">
        <v>738</v>
      </c>
      <c r="C320" s="814"/>
      <c r="D320" s="815"/>
      <c r="E320" s="815"/>
      <c r="F320" s="816"/>
      <c r="G320" s="861">
        <v>3048</v>
      </c>
    </row>
    <row r="321" spans="1:8" ht="12.75" customHeight="1" x14ac:dyDescent="0.2">
      <c r="A321" s="541"/>
      <c r="B321" s="860" t="s">
        <v>697</v>
      </c>
      <c r="C321" s="814"/>
      <c r="D321" s="815"/>
      <c r="E321" s="815"/>
      <c r="F321" s="816"/>
      <c r="G321" s="861" t="s">
        <v>724</v>
      </c>
    </row>
    <row r="322" spans="1:8" ht="12.75" customHeight="1" x14ac:dyDescent="0.2">
      <c r="A322" s="541"/>
      <c r="B322" s="860" t="s">
        <v>698</v>
      </c>
      <c r="C322" s="814"/>
      <c r="D322" s="815"/>
      <c r="E322" s="815"/>
      <c r="F322" s="816"/>
      <c r="G322" s="861" t="s">
        <v>725</v>
      </c>
    </row>
    <row r="323" spans="1:8" ht="12.75" customHeight="1" x14ac:dyDescent="0.2">
      <c r="A323" s="541"/>
      <c r="B323" s="860" t="s">
        <v>759</v>
      </c>
      <c r="C323" s="814"/>
      <c r="D323" s="815"/>
      <c r="E323" s="815"/>
      <c r="F323" s="816"/>
      <c r="G323" s="861">
        <v>3052</v>
      </c>
    </row>
    <row r="324" spans="1:8" ht="12.75" customHeight="1" x14ac:dyDescent="0.2">
      <c r="A324" s="541"/>
      <c r="B324" s="860" t="s">
        <v>699</v>
      </c>
      <c r="C324" s="814"/>
      <c r="D324" s="815"/>
      <c r="E324" s="815"/>
      <c r="F324" s="816"/>
      <c r="G324" s="861" t="s">
        <v>726</v>
      </c>
    </row>
    <row r="325" spans="1:8" ht="12.75" customHeight="1" x14ac:dyDescent="0.2">
      <c r="A325" s="541"/>
      <c r="B325" s="860" t="s">
        <v>700</v>
      </c>
      <c r="C325" s="814"/>
      <c r="D325" s="815"/>
      <c r="E325" s="815"/>
      <c r="F325" s="816"/>
      <c r="G325" s="861" t="s">
        <v>727</v>
      </c>
    </row>
    <row r="326" spans="1:8" ht="12.75" customHeight="1" x14ac:dyDescent="0.2">
      <c r="A326" s="541"/>
      <c r="B326" s="860" t="s">
        <v>701</v>
      </c>
      <c r="C326" s="814"/>
      <c r="D326" s="815"/>
      <c r="E326" s="815"/>
      <c r="F326" s="816"/>
      <c r="G326" s="861" t="s">
        <v>728</v>
      </c>
    </row>
    <row r="327" spans="1:8" ht="12.75" customHeight="1" x14ac:dyDescent="0.2">
      <c r="A327" s="541"/>
      <c r="B327" s="860" t="s">
        <v>702</v>
      </c>
      <c r="C327" s="814"/>
      <c r="D327" s="815"/>
      <c r="E327" s="815"/>
      <c r="F327" s="816"/>
      <c r="G327" s="861" t="s">
        <v>729</v>
      </c>
    </row>
    <row r="328" spans="1:8" ht="12.75" customHeight="1" x14ac:dyDescent="0.2">
      <c r="A328" s="541"/>
      <c r="B328" s="860" t="s">
        <v>739</v>
      </c>
      <c r="C328" s="814"/>
      <c r="D328" s="815"/>
      <c r="E328" s="815"/>
      <c r="F328" s="816"/>
      <c r="G328" s="861">
        <v>3061</v>
      </c>
    </row>
    <row r="329" spans="1:8" ht="12.75" customHeight="1" x14ac:dyDescent="0.2">
      <c r="A329" s="541"/>
      <c r="B329" s="860" t="s">
        <v>703</v>
      </c>
      <c r="C329" s="814"/>
      <c r="D329" s="815"/>
      <c r="E329" s="815"/>
      <c r="F329" s="816"/>
      <c r="G329" s="861" t="s">
        <v>730</v>
      </c>
    </row>
    <row r="330" spans="1:8" ht="12.75" customHeight="1" x14ac:dyDescent="0.2">
      <c r="A330" s="541"/>
      <c r="B330" s="860" t="s">
        <v>704</v>
      </c>
      <c r="C330" s="814"/>
      <c r="D330" s="815"/>
      <c r="E330" s="815"/>
      <c r="F330" s="816"/>
      <c r="G330" s="861" t="s">
        <v>731</v>
      </c>
    </row>
    <row r="331" spans="1:8" ht="12.75" customHeight="1" x14ac:dyDescent="0.2">
      <c r="A331" s="541"/>
      <c r="B331" s="860" t="s">
        <v>705</v>
      </c>
      <c r="C331" s="814"/>
      <c r="D331" s="815"/>
      <c r="E331" s="815"/>
      <c r="F331" s="816"/>
      <c r="G331" s="861" t="s">
        <v>732</v>
      </c>
      <c r="H331" s="818"/>
    </row>
    <row r="332" spans="1:8" ht="12.75" customHeight="1" x14ac:dyDescent="0.2">
      <c r="A332" s="541"/>
      <c r="B332" s="860" t="s">
        <v>706</v>
      </c>
      <c r="C332" s="814"/>
      <c r="D332" s="815"/>
      <c r="E332" s="815"/>
      <c r="F332" s="816"/>
      <c r="G332" s="861" t="s">
        <v>733</v>
      </c>
    </row>
    <row r="333" spans="1:8" ht="12.75" customHeight="1" x14ac:dyDescent="0.2">
      <c r="A333" s="541"/>
      <c r="B333" s="860" t="s">
        <v>707</v>
      </c>
      <c r="C333" s="814"/>
      <c r="D333" s="815"/>
      <c r="E333" s="815"/>
      <c r="F333" s="816"/>
      <c r="G333" s="861" t="s">
        <v>734</v>
      </c>
      <c r="H333" s="818"/>
    </row>
    <row r="334" spans="1:8" ht="12.75" customHeight="1" x14ac:dyDescent="0.2">
      <c r="A334" s="541"/>
      <c r="B334" s="863" t="s">
        <v>319</v>
      </c>
      <c r="C334" s="819"/>
      <c r="D334" s="816">
        <v>203395.53</v>
      </c>
      <c r="E334" s="872">
        <f>SUM(D334)</f>
        <v>203395.53</v>
      </c>
      <c r="F334" s="816"/>
      <c r="G334" s="861">
        <v>3001</v>
      </c>
      <c r="H334" s="818"/>
    </row>
    <row r="335" spans="1:8" ht="12.75" customHeight="1" x14ac:dyDescent="0.2">
      <c r="A335" s="541"/>
      <c r="B335" s="864" t="s">
        <v>465</v>
      </c>
      <c r="C335" s="820"/>
      <c r="D335" s="816"/>
      <c r="E335" s="872">
        <f>SUM(D336:D341)</f>
        <v>831237.25000000012</v>
      </c>
      <c r="F335" s="816"/>
      <c r="H335" s="818"/>
    </row>
    <row r="336" spans="1:8" ht="12.75" customHeight="1" x14ac:dyDescent="0.2">
      <c r="A336" s="541"/>
      <c r="B336" s="817"/>
      <c r="C336" s="819" t="s">
        <v>320</v>
      </c>
      <c r="D336" s="816">
        <v>40923.54</v>
      </c>
      <c r="E336" s="816"/>
      <c r="F336" s="816"/>
      <c r="H336" s="818"/>
    </row>
    <row r="337" spans="1:8" ht="12.75" customHeight="1" x14ac:dyDescent="0.2">
      <c r="A337" s="541"/>
      <c r="B337" s="817"/>
      <c r="C337" s="819" t="s">
        <v>321</v>
      </c>
      <c r="D337" s="815">
        <v>0</v>
      </c>
      <c r="E337" s="815"/>
      <c r="F337" s="816"/>
    </row>
    <row r="338" spans="1:8" ht="12.75" customHeight="1" x14ac:dyDescent="0.2">
      <c r="A338" s="541"/>
      <c r="B338" s="817"/>
      <c r="C338" s="819" t="s">
        <v>322</v>
      </c>
      <c r="D338" s="816">
        <v>676809.02</v>
      </c>
      <c r="E338" s="816"/>
      <c r="F338" s="816"/>
    </row>
    <row r="339" spans="1:8" ht="12.75" customHeight="1" x14ac:dyDescent="0.2">
      <c r="A339" s="541"/>
      <c r="B339" s="817"/>
      <c r="C339" s="819" t="s">
        <v>323</v>
      </c>
      <c r="D339" s="816">
        <v>1543.43</v>
      </c>
      <c r="E339" s="816"/>
      <c r="F339" s="816"/>
    </row>
    <row r="340" spans="1:8" ht="12.75" customHeight="1" x14ac:dyDescent="0.2">
      <c r="A340" s="832"/>
      <c r="B340" s="817"/>
      <c r="C340" s="820" t="s">
        <v>324</v>
      </c>
      <c r="D340" s="816">
        <v>28101.17</v>
      </c>
      <c r="E340" s="816"/>
      <c r="F340" s="816"/>
    </row>
    <row r="341" spans="1:8" ht="12.75" customHeight="1" x14ac:dyDescent="0.2">
      <c r="A341" s="541"/>
      <c r="B341" s="817"/>
      <c r="C341" s="820" t="s">
        <v>131</v>
      </c>
      <c r="D341" s="816">
        <v>83860.09</v>
      </c>
      <c r="E341" s="816"/>
      <c r="F341" s="816"/>
    </row>
    <row r="342" spans="1:8" ht="12.75" customHeight="1" x14ac:dyDescent="0.2">
      <c r="A342" s="541"/>
      <c r="B342" s="822" t="s">
        <v>325</v>
      </c>
      <c r="C342" s="820"/>
      <c r="D342" s="837"/>
      <c r="E342" s="825"/>
      <c r="F342" s="816"/>
      <c r="G342" s="803">
        <v>4005</v>
      </c>
    </row>
    <row r="343" spans="1:8" ht="12.75" customHeight="1" x14ac:dyDescent="0.2">
      <c r="A343" s="541"/>
      <c r="B343" s="866" t="s">
        <v>326</v>
      </c>
      <c r="D343" s="816">
        <v>10892.99</v>
      </c>
      <c r="E343" s="873">
        <f>D343</f>
        <v>10892.99</v>
      </c>
      <c r="F343" s="816"/>
      <c r="H343" s="818"/>
    </row>
    <row r="344" spans="1:8" ht="12.75" customHeight="1" thickBot="1" x14ac:dyDescent="0.25">
      <c r="A344" s="826"/>
      <c r="B344" s="827"/>
      <c r="C344" s="828"/>
      <c r="D344" s="833"/>
      <c r="E344" s="830"/>
      <c r="F344" s="868">
        <f>SUM(E296:E344)</f>
        <v>1598070.9600000002</v>
      </c>
      <c r="H344" s="831">
        <f>'Sched-B1'!B10+'Sched-B2'!E122+'Sched-D1'!F344-9974840.02-598459.31+437564.48</f>
        <v>-131554.56999999844</v>
      </c>
    </row>
    <row r="345" spans="1:8" ht="12.75" customHeight="1" x14ac:dyDescent="0.2">
      <c r="A345" s="808" t="s">
        <v>749</v>
      </c>
      <c r="B345" s="809" t="s">
        <v>50</v>
      </c>
      <c r="C345" s="810"/>
      <c r="D345" s="811"/>
      <c r="E345" s="812"/>
      <c r="F345" s="813"/>
      <c r="G345" s="803">
        <v>2000</v>
      </c>
    </row>
    <row r="346" spans="1:8" ht="12.75" customHeight="1" x14ac:dyDescent="0.2">
      <c r="A346" s="541"/>
      <c r="B346" s="858" t="s">
        <v>680</v>
      </c>
      <c r="C346" s="814"/>
      <c r="D346" s="815">
        <f>140950.39-58853.36</f>
        <v>82097.030000000013</v>
      </c>
      <c r="E346" s="862">
        <f>SUM(D346:D386)</f>
        <v>249096.34000000003</v>
      </c>
      <c r="F346" s="816"/>
    </row>
    <row r="347" spans="1:8" ht="12.75" customHeight="1" x14ac:dyDescent="0.2">
      <c r="A347" s="541"/>
      <c r="B347" s="860" t="s">
        <v>681</v>
      </c>
      <c r="C347" s="814"/>
      <c r="D347" s="815"/>
      <c r="E347" s="815"/>
      <c r="F347" s="816"/>
      <c r="G347" s="861" t="s">
        <v>708</v>
      </c>
    </row>
    <row r="348" spans="1:8" ht="12.75" customHeight="1" x14ac:dyDescent="0.2">
      <c r="A348" s="541"/>
      <c r="B348" s="860" t="s">
        <v>682</v>
      </c>
      <c r="C348" s="814"/>
      <c r="D348" s="815"/>
      <c r="E348" s="815"/>
      <c r="F348" s="816"/>
      <c r="G348" s="861" t="s">
        <v>709</v>
      </c>
    </row>
    <row r="349" spans="1:8" ht="12.75" customHeight="1" x14ac:dyDescent="0.2">
      <c r="A349" s="541"/>
      <c r="B349" s="860" t="s">
        <v>740</v>
      </c>
      <c r="C349" s="814"/>
      <c r="D349" s="815"/>
      <c r="E349" s="815"/>
      <c r="F349" s="816"/>
      <c r="G349" s="861">
        <v>3003</v>
      </c>
    </row>
    <row r="350" spans="1:8" ht="12.75" customHeight="1" x14ac:dyDescent="0.2">
      <c r="A350" s="541"/>
      <c r="B350" s="860" t="s">
        <v>683</v>
      </c>
      <c r="C350" s="814"/>
      <c r="D350" s="815"/>
      <c r="E350" s="815"/>
      <c r="F350" s="816"/>
      <c r="G350" s="861" t="s">
        <v>710</v>
      </c>
    </row>
    <row r="351" spans="1:8" ht="12.75" customHeight="1" x14ac:dyDescent="0.2">
      <c r="A351" s="541"/>
      <c r="B351" s="860" t="s">
        <v>752</v>
      </c>
      <c r="C351" s="814"/>
      <c r="D351" s="815"/>
      <c r="E351" s="815"/>
      <c r="F351" s="816"/>
      <c r="G351" s="861">
        <v>3014</v>
      </c>
    </row>
    <row r="352" spans="1:8" ht="12.75" customHeight="1" x14ac:dyDescent="0.2">
      <c r="A352" s="541"/>
      <c r="B352" s="860" t="s">
        <v>684</v>
      </c>
      <c r="C352" s="814"/>
      <c r="D352" s="815"/>
      <c r="E352" s="815"/>
      <c r="F352" s="816"/>
      <c r="G352" s="861" t="s">
        <v>711</v>
      </c>
    </row>
    <row r="353" spans="1:7" ht="12.75" customHeight="1" x14ac:dyDescent="0.2">
      <c r="A353" s="541"/>
      <c r="B353" s="860" t="s">
        <v>685</v>
      </c>
      <c r="C353" s="814"/>
      <c r="D353" s="815"/>
      <c r="E353" s="815"/>
      <c r="F353" s="816"/>
      <c r="G353" s="861" t="s">
        <v>712</v>
      </c>
    </row>
    <row r="354" spans="1:7" ht="12.75" customHeight="1" x14ac:dyDescent="0.2">
      <c r="A354" s="541"/>
      <c r="B354" s="870" t="s">
        <v>51</v>
      </c>
      <c r="C354" s="814"/>
      <c r="D354" s="815">
        <v>166999.31</v>
      </c>
      <c r="E354" s="815"/>
      <c r="F354" s="816"/>
      <c r="G354" s="861"/>
    </row>
    <row r="355" spans="1:7" ht="12.75" customHeight="1" x14ac:dyDescent="0.2">
      <c r="A355" s="541"/>
      <c r="B355" s="860" t="s">
        <v>745</v>
      </c>
      <c r="C355" s="814"/>
      <c r="D355" s="815"/>
      <c r="E355" s="815"/>
      <c r="F355" s="816"/>
      <c r="G355" s="861">
        <v>3029</v>
      </c>
    </row>
    <row r="356" spans="1:7" ht="12.75" customHeight="1" x14ac:dyDescent="0.2">
      <c r="A356" s="541"/>
      <c r="B356" s="860" t="s">
        <v>686</v>
      </c>
      <c r="C356" s="814"/>
      <c r="D356" s="815"/>
      <c r="E356" s="815"/>
      <c r="F356" s="816"/>
      <c r="G356" s="861" t="s">
        <v>713</v>
      </c>
    </row>
    <row r="357" spans="1:7" ht="12.75" customHeight="1" x14ac:dyDescent="0.2">
      <c r="A357" s="541"/>
      <c r="B357" s="860" t="s">
        <v>687</v>
      </c>
      <c r="C357" s="814"/>
      <c r="D357" s="815"/>
      <c r="E357" s="815"/>
      <c r="F357" s="816"/>
      <c r="G357" s="861" t="s">
        <v>714</v>
      </c>
    </row>
    <row r="358" spans="1:7" ht="12.75" customHeight="1" x14ac:dyDescent="0.2">
      <c r="A358" s="541"/>
      <c r="B358" s="860" t="s">
        <v>737</v>
      </c>
      <c r="C358" s="814"/>
      <c r="D358" s="815"/>
      <c r="E358" s="815"/>
      <c r="F358" s="816"/>
      <c r="G358" s="861">
        <v>3034</v>
      </c>
    </row>
    <row r="359" spans="1:7" ht="12.75" customHeight="1" x14ac:dyDescent="0.2">
      <c r="A359" s="541"/>
      <c r="B359" s="860" t="s">
        <v>688</v>
      </c>
      <c r="C359" s="814"/>
      <c r="D359" s="815"/>
      <c r="E359" s="815"/>
      <c r="F359" s="816"/>
      <c r="G359" s="861" t="s">
        <v>715</v>
      </c>
    </row>
    <row r="360" spans="1:7" ht="12.75" customHeight="1" x14ac:dyDescent="0.2">
      <c r="A360" s="541"/>
      <c r="B360" s="860" t="s">
        <v>689</v>
      </c>
      <c r="C360" s="814"/>
      <c r="D360" s="815"/>
      <c r="E360" s="815"/>
      <c r="F360" s="816"/>
      <c r="G360" s="861" t="s">
        <v>716</v>
      </c>
    </row>
    <row r="361" spans="1:7" ht="12.75" customHeight="1" x14ac:dyDescent="0.2">
      <c r="A361" s="541"/>
      <c r="B361" s="860" t="s">
        <v>690</v>
      </c>
      <c r="C361" s="814"/>
      <c r="D361" s="815"/>
      <c r="E361" s="815"/>
      <c r="F361" s="816"/>
      <c r="G361" s="861" t="s">
        <v>717</v>
      </c>
    </row>
    <row r="362" spans="1:7" ht="12.75" customHeight="1" x14ac:dyDescent="0.2">
      <c r="A362" s="541"/>
      <c r="B362" s="860" t="s">
        <v>691</v>
      </c>
      <c r="C362" s="814"/>
      <c r="D362" s="815"/>
      <c r="E362" s="815"/>
      <c r="F362" s="816"/>
      <c r="G362" s="861" t="s">
        <v>718</v>
      </c>
    </row>
    <row r="363" spans="1:7" ht="12.75" customHeight="1" x14ac:dyDescent="0.2">
      <c r="A363" s="541"/>
      <c r="B363" s="860" t="s">
        <v>692</v>
      </c>
      <c r="C363" s="814"/>
      <c r="D363" s="815"/>
      <c r="E363" s="815"/>
      <c r="F363" s="816"/>
      <c r="G363" s="861" t="s">
        <v>719</v>
      </c>
    </row>
    <row r="364" spans="1:7" ht="12.75" customHeight="1" x14ac:dyDescent="0.2">
      <c r="A364" s="541"/>
      <c r="B364" s="860" t="s">
        <v>693</v>
      </c>
      <c r="C364" s="814"/>
      <c r="D364" s="815"/>
      <c r="E364" s="815"/>
      <c r="F364" s="816"/>
      <c r="G364" s="861" t="s">
        <v>720</v>
      </c>
    </row>
    <row r="365" spans="1:7" ht="12.75" customHeight="1" x14ac:dyDescent="0.2">
      <c r="A365" s="541"/>
      <c r="B365" s="860" t="s">
        <v>747</v>
      </c>
      <c r="C365" s="814"/>
      <c r="D365" s="815"/>
      <c r="E365" s="815"/>
      <c r="F365" s="816"/>
      <c r="G365" s="861">
        <v>3042</v>
      </c>
    </row>
    <row r="366" spans="1:7" ht="12.75" customHeight="1" x14ac:dyDescent="0.2">
      <c r="A366" s="541"/>
      <c r="B366" s="860" t="s">
        <v>694</v>
      </c>
      <c r="C366" s="814"/>
      <c r="D366" s="815"/>
      <c r="E366" s="815"/>
      <c r="F366" s="816"/>
      <c r="G366" s="861" t="s">
        <v>721</v>
      </c>
    </row>
    <row r="367" spans="1:7" ht="12.75" customHeight="1" x14ac:dyDescent="0.2">
      <c r="A367" s="541"/>
      <c r="B367" s="860" t="s">
        <v>695</v>
      </c>
      <c r="C367" s="814"/>
      <c r="D367" s="815"/>
      <c r="E367" s="815"/>
      <c r="F367" s="816"/>
      <c r="G367" s="861" t="s">
        <v>722</v>
      </c>
    </row>
    <row r="368" spans="1:7" ht="12.75" customHeight="1" x14ac:dyDescent="0.2">
      <c r="A368" s="541"/>
      <c r="B368" s="860" t="s">
        <v>696</v>
      </c>
      <c r="C368" s="814"/>
      <c r="D368" s="815"/>
      <c r="E368" s="815"/>
      <c r="F368" s="816"/>
      <c r="G368" s="861" t="s">
        <v>723</v>
      </c>
    </row>
    <row r="369" spans="1:8" ht="12.75" customHeight="1" x14ac:dyDescent="0.2">
      <c r="A369" s="541"/>
      <c r="B369" s="860" t="s">
        <v>738</v>
      </c>
      <c r="C369" s="814"/>
      <c r="D369" s="815"/>
      <c r="E369" s="815"/>
      <c r="F369" s="816"/>
      <c r="G369" s="861">
        <v>3048</v>
      </c>
    </row>
    <row r="370" spans="1:8" ht="12.75" customHeight="1" x14ac:dyDescent="0.2">
      <c r="A370" s="541"/>
      <c r="B370" s="860" t="s">
        <v>697</v>
      </c>
      <c r="C370" s="814"/>
      <c r="D370" s="815"/>
      <c r="E370" s="815"/>
      <c r="F370" s="816"/>
      <c r="G370" s="861" t="s">
        <v>724</v>
      </c>
    </row>
    <row r="371" spans="1:8" ht="12.75" customHeight="1" x14ac:dyDescent="0.2">
      <c r="A371" s="541"/>
      <c r="B371" s="860" t="s">
        <v>698</v>
      </c>
      <c r="C371" s="814"/>
      <c r="D371" s="815"/>
      <c r="E371" s="815"/>
      <c r="F371" s="816"/>
      <c r="G371" s="861" t="s">
        <v>725</v>
      </c>
    </row>
    <row r="372" spans="1:8" ht="12.75" customHeight="1" x14ac:dyDescent="0.2">
      <c r="A372" s="541"/>
      <c r="B372" s="860" t="s">
        <v>741</v>
      </c>
      <c r="C372" s="814"/>
      <c r="D372" s="815"/>
      <c r="E372" s="815"/>
      <c r="F372" s="816"/>
      <c r="G372" s="861">
        <v>3051</v>
      </c>
    </row>
    <row r="373" spans="1:8" ht="12.75" customHeight="1" x14ac:dyDescent="0.2">
      <c r="A373" s="541"/>
      <c r="B373" s="860" t="s">
        <v>699</v>
      </c>
      <c r="C373" s="814"/>
      <c r="D373" s="815"/>
      <c r="E373" s="815"/>
      <c r="F373" s="816"/>
      <c r="G373" s="861" t="s">
        <v>726</v>
      </c>
    </row>
    <row r="374" spans="1:8" ht="12.75" customHeight="1" x14ac:dyDescent="0.2">
      <c r="A374" s="541"/>
      <c r="B374" s="860" t="s">
        <v>742</v>
      </c>
      <c r="C374" s="814"/>
      <c r="D374" s="815"/>
      <c r="E374" s="815"/>
      <c r="F374" s="816"/>
      <c r="G374" s="861">
        <v>3056</v>
      </c>
    </row>
    <row r="375" spans="1:8" ht="12.75" customHeight="1" x14ac:dyDescent="0.2">
      <c r="A375" s="541"/>
      <c r="B375" s="860" t="s">
        <v>700</v>
      </c>
      <c r="C375" s="814"/>
      <c r="D375" s="815"/>
      <c r="E375" s="815"/>
      <c r="F375" s="816"/>
      <c r="G375" s="861">
        <v>3057</v>
      </c>
    </row>
    <row r="376" spans="1:8" ht="12.75" customHeight="1" x14ac:dyDescent="0.2">
      <c r="A376" s="541"/>
      <c r="B376" s="860" t="s">
        <v>701</v>
      </c>
      <c r="C376" s="814"/>
      <c r="D376" s="815"/>
      <c r="E376" s="815"/>
      <c r="F376" s="816"/>
      <c r="G376" s="861" t="s">
        <v>728</v>
      </c>
    </row>
    <row r="377" spans="1:8" ht="12.75" customHeight="1" x14ac:dyDescent="0.2">
      <c r="A377" s="541"/>
      <c r="B377" s="860" t="s">
        <v>702</v>
      </c>
      <c r="C377" s="814"/>
      <c r="D377" s="815"/>
      <c r="E377" s="815"/>
      <c r="F377" s="816"/>
      <c r="G377" s="861" t="s">
        <v>729</v>
      </c>
    </row>
    <row r="378" spans="1:8" ht="12.75" customHeight="1" x14ac:dyDescent="0.2">
      <c r="A378" s="541"/>
      <c r="B378" s="860" t="s">
        <v>739</v>
      </c>
      <c r="C378" s="814"/>
      <c r="D378" s="815"/>
      <c r="E378" s="815"/>
      <c r="F378" s="816"/>
      <c r="G378" s="861">
        <v>3061</v>
      </c>
    </row>
    <row r="379" spans="1:8" ht="12.75" customHeight="1" x14ac:dyDescent="0.2">
      <c r="A379" s="541"/>
      <c r="B379" s="860" t="s">
        <v>748</v>
      </c>
      <c r="C379" s="814"/>
      <c r="D379" s="815"/>
      <c r="E379" s="815"/>
      <c r="F379" s="816"/>
      <c r="G379" s="861">
        <v>3063</v>
      </c>
    </row>
    <row r="380" spans="1:8" ht="12.75" customHeight="1" x14ac:dyDescent="0.2">
      <c r="A380" s="541"/>
      <c r="B380" s="860" t="s">
        <v>703</v>
      </c>
      <c r="C380" s="814"/>
      <c r="D380" s="815"/>
      <c r="E380" s="815"/>
      <c r="F380" s="816"/>
      <c r="G380" s="861" t="s">
        <v>730</v>
      </c>
    </row>
    <row r="381" spans="1:8" ht="12.75" customHeight="1" x14ac:dyDescent="0.2">
      <c r="A381" s="541"/>
      <c r="B381" s="860" t="s">
        <v>753</v>
      </c>
      <c r="C381" s="814"/>
      <c r="D381" s="815"/>
      <c r="E381" s="815"/>
      <c r="F381" s="816"/>
      <c r="G381" s="861">
        <v>3065</v>
      </c>
    </row>
    <row r="382" spans="1:8" ht="12.75" customHeight="1" x14ac:dyDescent="0.2">
      <c r="A382" s="541"/>
      <c r="B382" s="860" t="s">
        <v>704</v>
      </c>
      <c r="C382" s="814"/>
      <c r="D382" s="815"/>
      <c r="E382" s="815"/>
      <c r="F382" s="816"/>
      <c r="G382" s="861" t="s">
        <v>731</v>
      </c>
    </row>
    <row r="383" spans="1:8" ht="12.75" customHeight="1" x14ac:dyDescent="0.2">
      <c r="A383" s="541"/>
      <c r="B383" s="860" t="s">
        <v>705</v>
      </c>
      <c r="C383" s="814"/>
      <c r="D383" s="815"/>
      <c r="E383" s="815"/>
      <c r="F383" s="816"/>
      <c r="G383" s="861" t="s">
        <v>732</v>
      </c>
      <c r="H383" s="818"/>
    </row>
    <row r="384" spans="1:8" ht="12.75" customHeight="1" x14ac:dyDescent="0.2">
      <c r="A384" s="541"/>
      <c r="B384" s="860" t="s">
        <v>706</v>
      </c>
      <c r="C384" s="814"/>
      <c r="D384" s="815">
        <v>0</v>
      </c>
      <c r="E384" s="815"/>
      <c r="F384" s="816"/>
      <c r="G384" s="861">
        <v>3068</v>
      </c>
      <c r="H384" s="818"/>
    </row>
    <row r="385" spans="1:10" ht="12.75" customHeight="1" x14ac:dyDescent="0.2">
      <c r="A385" s="541"/>
      <c r="B385" s="860" t="s">
        <v>707</v>
      </c>
      <c r="C385" s="814"/>
      <c r="D385" s="815">
        <v>0</v>
      </c>
      <c r="E385" s="815"/>
      <c r="F385" s="816"/>
      <c r="G385" s="861">
        <v>3069</v>
      </c>
      <c r="H385" s="818"/>
    </row>
    <row r="386" spans="1:10" ht="12.75" customHeight="1" x14ac:dyDescent="0.2">
      <c r="A386" s="541"/>
      <c r="B386" s="860" t="s">
        <v>743</v>
      </c>
      <c r="C386" s="814"/>
      <c r="D386" s="815">
        <v>0</v>
      </c>
      <c r="E386" s="815"/>
      <c r="F386" s="816"/>
      <c r="G386" s="861">
        <v>3073</v>
      </c>
    </row>
    <row r="387" spans="1:10" ht="12.75" customHeight="1" x14ac:dyDescent="0.2">
      <c r="A387" s="541"/>
      <c r="B387" s="863" t="s">
        <v>319</v>
      </c>
      <c r="D387" s="815">
        <v>127546.45</v>
      </c>
      <c r="E387" s="862">
        <f>SUM(D387)</f>
        <v>127546.45</v>
      </c>
      <c r="F387" s="816"/>
      <c r="G387" s="803">
        <v>3001</v>
      </c>
      <c r="H387" s="818"/>
    </row>
    <row r="388" spans="1:10" ht="12.75" customHeight="1" x14ac:dyDescent="0.2">
      <c r="A388" s="541"/>
      <c r="B388" s="864" t="s">
        <v>465</v>
      </c>
      <c r="C388" s="820"/>
      <c r="D388" s="815"/>
      <c r="E388" s="862">
        <f>SUM(D389:D394)</f>
        <v>351889.79000000004</v>
      </c>
      <c r="F388" s="816"/>
    </row>
    <row r="389" spans="1:10" ht="12.75" customHeight="1" x14ac:dyDescent="0.2">
      <c r="A389" s="541"/>
      <c r="B389" s="817"/>
      <c r="C389" s="819" t="s">
        <v>320</v>
      </c>
      <c r="D389" s="815">
        <v>47486.05</v>
      </c>
      <c r="E389" s="815"/>
      <c r="F389" s="816"/>
      <c r="G389" s="803">
        <v>4000</v>
      </c>
    </row>
    <row r="390" spans="1:10" ht="12.75" customHeight="1" x14ac:dyDescent="0.2">
      <c r="A390" s="541"/>
      <c r="B390" s="817"/>
      <c r="C390" s="819" t="s">
        <v>321</v>
      </c>
      <c r="D390" s="815">
        <v>0</v>
      </c>
      <c r="E390" s="815"/>
      <c r="F390" s="816"/>
      <c r="G390" s="803">
        <v>4001</v>
      </c>
    </row>
    <row r="391" spans="1:10" ht="12.75" customHeight="1" x14ac:dyDescent="0.2">
      <c r="A391" s="541"/>
      <c r="B391" s="817"/>
      <c r="C391" s="819" t="s">
        <v>322</v>
      </c>
      <c r="D391" s="815">
        <v>248249.87</v>
      </c>
      <c r="E391" s="815"/>
      <c r="F391" s="816"/>
    </row>
    <row r="392" spans="1:10" ht="12.75" customHeight="1" x14ac:dyDescent="0.2">
      <c r="A392" s="541"/>
      <c r="B392" s="817"/>
      <c r="C392" s="819" t="s">
        <v>323</v>
      </c>
      <c r="D392" s="815">
        <v>1466.33</v>
      </c>
      <c r="E392" s="815"/>
      <c r="F392" s="816"/>
    </row>
    <row r="393" spans="1:10" ht="12.75" customHeight="1" x14ac:dyDescent="0.2">
      <c r="A393" s="541"/>
      <c r="B393" s="817"/>
      <c r="C393" s="820" t="s">
        <v>324</v>
      </c>
      <c r="D393" s="815">
        <v>10074.57</v>
      </c>
      <c r="E393" s="815"/>
      <c r="F393" s="816"/>
    </row>
    <row r="394" spans="1:10" ht="12.75" customHeight="1" x14ac:dyDescent="0.2">
      <c r="A394" s="541"/>
      <c r="B394" s="817"/>
      <c r="C394" s="820" t="s">
        <v>131</v>
      </c>
      <c r="D394" s="815">
        <v>44612.97</v>
      </c>
      <c r="E394" s="815"/>
      <c r="F394" s="816"/>
    </row>
    <row r="395" spans="1:10" ht="12.75" customHeight="1" x14ac:dyDescent="0.2">
      <c r="A395" s="821"/>
      <c r="B395" s="822" t="s">
        <v>325</v>
      </c>
      <c r="C395" s="867"/>
      <c r="D395" s="815"/>
      <c r="E395" s="824"/>
      <c r="F395" s="825"/>
    </row>
    <row r="396" spans="1:10" ht="12.75" customHeight="1" x14ac:dyDescent="0.2">
      <c r="A396" s="821"/>
      <c r="B396" s="866" t="s">
        <v>326</v>
      </c>
      <c r="D396" s="815"/>
      <c r="E396" s="865">
        <f>D396</f>
        <v>0</v>
      </c>
      <c r="F396" s="825"/>
      <c r="G396" s="803">
        <v>5000</v>
      </c>
    </row>
    <row r="397" spans="1:10" ht="12.75" customHeight="1" thickBot="1" x14ac:dyDescent="0.25">
      <c r="A397" s="826"/>
      <c r="B397" s="827"/>
      <c r="C397" s="828"/>
      <c r="D397" s="829"/>
      <c r="E397" s="830"/>
      <c r="F397" s="868">
        <f>SUM(E345:E396)</f>
        <v>728532.58000000007</v>
      </c>
      <c r="H397" s="831">
        <f>'Sched-B1'!B11+'Sched-B2'!E139+'Sched-D1'!F397-5969342.15-166999.31</f>
        <v>-58853.360000000743</v>
      </c>
    </row>
    <row r="398" spans="1:10" ht="12.75" customHeight="1" x14ac:dyDescent="0.2">
      <c r="A398" s="808" t="s">
        <v>764</v>
      </c>
      <c r="B398" s="809" t="s">
        <v>50</v>
      </c>
      <c r="C398" s="810"/>
      <c r="D398" s="811"/>
      <c r="E398" s="812">
        <v>0</v>
      </c>
      <c r="F398" s="813"/>
    </row>
    <row r="399" spans="1:10" ht="12.75" customHeight="1" x14ac:dyDescent="0.2">
      <c r="A399" s="541"/>
      <c r="B399" s="858" t="s">
        <v>680</v>
      </c>
      <c r="C399" s="814"/>
      <c r="D399" s="815">
        <f>605149.79-296574.77</f>
        <v>308575.02</v>
      </c>
      <c r="E399" s="862">
        <f>SUM(D399:D435)</f>
        <v>754331.48</v>
      </c>
      <c r="F399" s="816"/>
      <c r="H399" s="818"/>
    </row>
    <row r="400" spans="1:10" ht="12.75" customHeight="1" x14ac:dyDescent="0.2">
      <c r="A400" s="541"/>
      <c r="B400" s="860" t="s">
        <v>681</v>
      </c>
      <c r="C400" s="814"/>
      <c r="D400" s="815"/>
      <c r="E400" s="815"/>
      <c r="F400" s="816"/>
      <c r="G400" s="861" t="s">
        <v>708</v>
      </c>
      <c r="H400" s="874">
        <v>29795.4</v>
      </c>
      <c r="I400" s="627" t="s">
        <v>765</v>
      </c>
      <c r="J400" s="627"/>
    </row>
    <row r="401" spans="1:10" ht="12.75" customHeight="1" x14ac:dyDescent="0.2">
      <c r="A401" s="541"/>
      <c r="B401" s="860" t="s">
        <v>682</v>
      </c>
      <c r="C401" s="814"/>
      <c r="D401" s="815"/>
      <c r="E401" s="815"/>
      <c r="F401" s="816"/>
      <c r="G401" s="861" t="s">
        <v>709</v>
      </c>
      <c r="H401" s="627"/>
      <c r="I401" s="627"/>
      <c r="J401" s="627"/>
    </row>
    <row r="402" spans="1:10" ht="12.75" customHeight="1" x14ac:dyDescent="0.2">
      <c r="A402" s="541"/>
      <c r="B402" s="860" t="s">
        <v>683</v>
      </c>
      <c r="C402" s="814"/>
      <c r="D402" s="815"/>
      <c r="E402" s="815"/>
      <c r="F402" s="816"/>
      <c r="G402" s="861" t="s">
        <v>710</v>
      </c>
    </row>
    <row r="403" spans="1:10" ht="12.75" customHeight="1" x14ac:dyDescent="0.2">
      <c r="A403" s="541"/>
      <c r="B403" s="860" t="s">
        <v>752</v>
      </c>
      <c r="C403" s="814"/>
      <c r="D403" s="815"/>
      <c r="E403" s="815"/>
      <c r="F403" s="816"/>
      <c r="G403" s="861">
        <v>3014</v>
      </c>
    </row>
    <row r="404" spans="1:10" ht="12.75" customHeight="1" x14ac:dyDescent="0.2">
      <c r="A404" s="541"/>
      <c r="B404" s="860" t="s">
        <v>684</v>
      </c>
      <c r="C404" s="814"/>
      <c r="D404" s="815"/>
      <c r="E404" s="815"/>
      <c r="F404" s="816"/>
      <c r="G404" s="861" t="s">
        <v>711</v>
      </c>
    </row>
    <row r="405" spans="1:10" ht="12.75" customHeight="1" x14ac:dyDescent="0.2">
      <c r="A405" s="541"/>
      <c r="B405" s="860" t="s">
        <v>685</v>
      </c>
      <c r="C405" s="814"/>
      <c r="D405" s="815"/>
      <c r="E405" s="815"/>
      <c r="F405" s="816"/>
      <c r="G405" s="861" t="s">
        <v>712</v>
      </c>
    </row>
    <row r="406" spans="1:10" ht="12.75" customHeight="1" x14ac:dyDescent="0.2">
      <c r="A406" s="541"/>
      <c r="B406" s="860" t="s">
        <v>762</v>
      </c>
      <c r="C406" s="814"/>
      <c r="D406" s="815"/>
      <c r="E406" s="815"/>
      <c r="F406" s="816"/>
      <c r="G406" s="861">
        <v>3028</v>
      </c>
    </row>
    <row r="407" spans="1:10" ht="12.75" customHeight="1" x14ac:dyDescent="0.2">
      <c r="A407" s="541"/>
      <c r="B407" s="870" t="s">
        <v>51</v>
      </c>
      <c r="C407" s="814"/>
      <c r="D407" s="815">
        <v>445756.46</v>
      </c>
      <c r="E407" s="815"/>
      <c r="F407" s="816"/>
      <c r="G407" s="861"/>
    </row>
    <row r="408" spans="1:10" ht="12.75" customHeight="1" x14ac:dyDescent="0.2">
      <c r="A408" s="541"/>
      <c r="B408" s="860" t="s">
        <v>686</v>
      </c>
      <c r="C408" s="814"/>
      <c r="D408" s="815"/>
      <c r="E408" s="815"/>
      <c r="F408" s="816"/>
      <c r="G408" s="861" t="s">
        <v>713</v>
      </c>
    </row>
    <row r="409" spans="1:10" ht="12.75" customHeight="1" x14ac:dyDescent="0.2">
      <c r="A409" s="541"/>
      <c r="B409" s="860" t="s">
        <v>687</v>
      </c>
      <c r="C409" s="814"/>
      <c r="D409" s="815"/>
      <c r="E409" s="815"/>
      <c r="F409" s="816"/>
      <c r="G409" s="861" t="s">
        <v>714</v>
      </c>
    </row>
    <row r="410" spans="1:10" ht="12.75" customHeight="1" x14ac:dyDescent="0.2">
      <c r="A410" s="541"/>
      <c r="B410" s="860" t="s">
        <v>737</v>
      </c>
      <c r="C410" s="814"/>
      <c r="D410" s="815"/>
      <c r="E410" s="815"/>
      <c r="F410" s="816"/>
      <c r="G410" s="861">
        <v>3034</v>
      </c>
    </row>
    <row r="411" spans="1:10" ht="12.75" customHeight="1" x14ac:dyDescent="0.2">
      <c r="A411" s="541"/>
      <c r="B411" s="860" t="s">
        <v>688</v>
      </c>
      <c r="C411" s="814"/>
      <c r="D411" s="815"/>
      <c r="E411" s="815"/>
      <c r="F411" s="816"/>
      <c r="G411" s="861" t="s">
        <v>715</v>
      </c>
    </row>
    <row r="412" spans="1:10" ht="12.75" customHeight="1" x14ac:dyDescent="0.2">
      <c r="A412" s="541"/>
      <c r="B412" s="860" t="s">
        <v>689</v>
      </c>
      <c r="C412" s="814"/>
      <c r="D412" s="815"/>
      <c r="E412" s="815"/>
      <c r="F412" s="816"/>
      <c r="G412" s="861" t="s">
        <v>716</v>
      </c>
    </row>
    <row r="413" spans="1:10" ht="12.75" customHeight="1" x14ac:dyDescent="0.2">
      <c r="A413" s="541"/>
      <c r="B413" s="860" t="s">
        <v>690</v>
      </c>
      <c r="C413" s="814"/>
      <c r="D413" s="815"/>
      <c r="E413" s="815"/>
      <c r="F413" s="816"/>
      <c r="G413" s="861" t="s">
        <v>717</v>
      </c>
    </row>
    <row r="414" spans="1:10" ht="12.75" customHeight="1" x14ac:dyDescent="0.2">
      <c r="A414" s="541"/>
      <c r="B414" s="860" t="s">
        <v>691</v>
      </c>
      <c r="C414" s="814"/>
      <c r="D414" s="815"/>
      <c r="E414" s="815"/>
      <c r="F414" s="816"/>
      <c r="G414" s="861" t="s">
        <v>718</v>
      </c>
    </row>
    <row r="415" spans="1:10" ht="12.75" customHeight="1" x14ac:dyDescent="0.2">
      <c r="A415" s="541"/>
      <c r="B415" s="860" t="s">
        <v>692</v>
      </c>
      <c r="C415" s="814"/>
      <c r="D415" s="815"/>
      <c r="E415" s="815"/>
      <c r="F415" s="816"/>
      <c r="G415" s="861" t="s">
        <v>719</v>
      </c>
    </row>
    <row r="416" spans="1:10" ht="12.75" customHeight="1" x14ac:dyDescent="0.2">
      <c r="A416" s="541"/>
      <c r="B416" s="860" t="s">
        <v>693</v>
      </c>
      <c r="C416" s="814"/>
      <c r="D416" s="815"/>
      <c r="E416" s="815"/>
      <c r="F416" s="816"/>
      <c r="G416" s="861" t="s">
        <v>720</v>
      </c>
    </row>
    <row r="417" spans="1:7" ht="12.75" customHeight="1" x14ac:dyDescent="0.2">
      <c r="A417" s="541"/>
      <c r="B417" s="860" t="s">
        <v>694</v>
      </c>
      <c r="C417" s="814"/>
      <c r="D417" s="815"/>
      <c r="E417" s="815"/>
      <c r="F417" s="816"/>
      <c r="G417" s="861" t="s">
        <v>721</v>
      </c>
    </row>
    <row r="418" spans="1:7" ht="12.75" customHeight="1" x14ac:dyDescent="0.2">
      <c r="A418" s="541"/>
      <c r="B418" s="860" t="s">
        <v>695</v>
      </c>
      <c r="C418" s="814"/>
      <c r="D418" s="815"/>
      <c r="E418" s="815"/>
      <c r="F418" s="816"/>
      <c r="G418" s="861" t="s">
        <v>722</v>
      </c>
    </row>
    <row r="419" spans="1:7" ht="12.75" customHeight="1" x14ac:dyDescent="0.2">
      <c r="A419" s="541"/>
      <c r="B419" s="860" t="s">
        <v>696</v>
      </c>
      <c r="C419" s="814"/>
      <c r="D419" s="815"/>
      <c r="E419" s="815"/>
      <c r="F419" s="816"/>
      <c r="G419" s="861" t="s">
        <v>723</v>
      </c>
    </row>
    <row r="420" spans="1:7" ht="12.75" customHeight="1" x14ac:dyDescent="0.2">
      <c r="A420" s="541"/>
      <c r="B420" s="860" t="s">
        <v>738</v>
      </c>
      <c r="C420" s="814"/>
      <c r="D420" s="815"/>
      <c r="E420" s="815"/>
      <c r="F420" s="816"/>
      <c r="G420" s="861">
        <v>3048</v>
      </c>
    </row>
    <row r="421" spans="1:7" ht="12.75" customHeight="1" x14ac:dyDescent="0.2">
      <c r="A421" s="541"/>
      <c r="B421" s="860" t="s">
        <v>741</v>
      </c>
      <c r="C421" s="814"/>
      <c r="D421" s="815"/>
      <c r="E421" s="815"/>
      <c r="F421" s="816"/>
      <c r="G421" s="861">
        <v>3051</v>
      </c>
    </row>
    <row r="422" spans="1:7" ht="12.75" customHeight="1" x14ac:dyDescent="0.2">
      <c r="A422" s="541"/>
      <c r="B422" s="860" t="s">
        <v>697</v>
      </c>
      <c r="C422" s="814"/>
      <c r="D422" s="815"/>
      <c r="E422" s="815"/>
      <c r="F422" s="816"/>
      <c r="G422" s="861" t="s">
        <v>724</v>
      </c>
    </row>
    <row r="423" spans="1:7" ht="12.75" customHeight="1" x14ac:dyDescent="0.2">
      <c r="A423" s="541"/>
      <c r="B423" s="860" t="s">
        <v>698</v>
      </c>
      <c r="C423" s="814"/>
      <c r="D423" s="815"/>
      <c r="E423" s="815"/>
      <c r="F423" s="816"/>
      <c r="G423" s="861" t="s">
        <v>725</v>
      </c>
    </row>
    <row r="424" spans="1:7" ht="12.75" customHeight="1" x14ac:dyDescent="0.2">
      <c r="A424" s="541"/>
      <c r="B424" s="860" t="s">
        <v>759</v>
      </c>
      <c r="C424" s="814"/>
      <c r="D424" s="815"/>
      <c r="E424" s="815"/>
      <c r="F424" s="816"/>
      <c r="G424" s="861">
        <v>3052</v>
      </c>
    </row>
    <row r="425" spans="1:7" ht="12.75" customHeight="1" x14ac:dyDescent="0.2">
      <c r="A425" s="541"/>
      <c r="B425" s="860" t="s">
        <v>699</v>
      </c>
      <c r="C425" s="814"/>
      <c r="D425" s="815"/>
      <c r="E425" s="815"/>
      <c r="F425" s="816"/>
      <c r="G425" s="861" t="s">
        <v>726</v>
      </c>
    </row>
    <row r="426" spans="1:7" ht="12.75" customHeight="1" x14ac:dyDescent="0.2">
      <c r="A426" s="541"/>
      <c r="B426" s="860" t="s">
        <v>700</v>
      </c>
      <c r="C426" s="814"/>
      <c r="D426" s="815"/>
      <c r="E426" s="815"/>
      <c r="F426" s="816"/>
      <c r="G426" s="861" t="s">
        <v>727</v>
      </c>
    </row>
    <row r="427" spans="1:7" ht="12.75" customHeight="1" x14ac:dyDescent="0.2">
      <c r="A427" s="541"/>
      <c r="B427" s="860" t="s">
        <v>701</v>
      </c>
      <c r="C427" s="814"/>
      <c r="D427" s="815"/>
      <c r="E427" s="815"/>
      <c r="F427" s="816"/>
      <c r="G427" s="861" t="s">
        <v>728</v>
      </c>
    </row>
    <row r="428" spans="1:7" ht="12.75" customHeight="1" x14ac:dyDescent="0.2">
      <c r="A428" s="541"/>
      <c r="B428" s="860" t="s">
        <v>702</v>
      </c>
      <c r="C428" s="814"/>
      <c r="D428" s="815"/>
      <c r="E428" s="815"/>
      <c r="F428" s="816"/>
      <c r="G428" s="861" t="s">
        <v>729</v>
      </c>
    </row>
    <row r="429" spans="1:7" ht="12.75" customHeight="1" x14ac:dyDescent="0.2">
      <c r="A429" s="541"/>
      <c r="B429" s="860" t="s">
        <v>739</v>
      </c>
      <c r="C429" s="814"/>
      <c r="D429" s="815"/>
      <c r="E429" s="815"/>
      <c r="F429" s="816"/>
      <c r="G429" s="861">
        <v>3061</v>
      </c>
    </row>
    <row r="430" spans="1:7" ht="12.75" customHeight="1" x14ac:dyDescent="0.2">
      <c r="A430" s="541"/>
      <c r="B430" s="860" t="s">
        <v>703</v>
      </c>
      <c r="C430" s="814"/>
      <c r="D430" s="815"/>
      <c r="E430" s="815"/>
      <c r="F430" s="816"/>
      <c r="G430" s="861" t="s">
        <v>730</v>
      </c>
    </row>
    <row r="431" spans="1:7" ht="12.75" customHeight="1" x14ac:dyDescent="0.2">
      <c r="A431" s="541"/>
      <c r="B431" s="860" t="s">
        <v>753</v>
      </c>
      <c r="C431" s="814"/>
      <c r="D431" s="815"/>
      <c r="E431" s="815"/>
      <c r="F431" s="816"/>
      <c r="G431" s="861">
        <v>3065</v>
      </c>
    </row>
    <row r="432" spans="1:7" ht="12.75" customHeight="1" x14ac:dyDescent="0.2">
      <c r="A432" s="541"/>
      <c r="B432" s="860" t="s">
        <v>704</v>
      </c>
      <c r="C432" s="814"/>
      <c r="D432" s="815"/>
      <c r="E432" s="815"/>
      <c r="F432" s="816"/>
      <c r="G432" s="861" t="s">
        <v>731</v>
      </c>
    </row>
    <row r="433" spans="1:8" ht="12.75" customHeight="1" x14ac:dyDescent="0.2">
      <c r="A433" s="541"/>
      <c r="B433" s="860" t="s">
        <v>705</v>
      </c>
      <c r="C433" s="814"/>
      <c r="D433" s="815"/>
      <c r="E433" s="815"/>
      <c r="F433" s="816"/>
      <c r="G433" s="861" t="s">
        <v>732</v>
      </c>
      <c r="H433" s="818"/>
    </row>
    <row r="434" spans="1:8" ht="12.75" customHeight="1" x14ac:dyDescent="0.2">
      <c r="A434" s="541"/>
      <c r="B434" s="860" t="s">
        <v>706</v>
      </c>
      <c r="C434" s="814"/>
      <c r="D434" s="815"/>
      <c r="E434" s="815"/>
      <c r="F434" s="816"/>
      <c r="G434" s="861" t="s">
        <v>733</v>
      </c>
    </row>
    <row r="435" spans="1:8" ht="12.75" customHeight="1" x14ac:dyDescent="0.2">
      <c r="A435" s="541"/>
      <c r="B435" s="860" t="s">
        <v>707</v>
      </c>
      <c r="C435" s="814"/>
      <c r="D435" s="815"/>
      <c r="E435" s="815"/>
      <c r="F435" s="816"/>
      <c r="G435" s="861" t="s">
        <v>734</v>
      </c>
      <c r="H435" s="818"/>
    </row>
    <row r="436" spans="1:8" ht="12.75" customHeight="1" x14ac:dyDescent="0.2">
      <c r="A436" s="541"/>
      <c r="B436" s="863" t="s">
        <v>319</v>
      </c>
      <c r="C436" s="819"/>
      <c r="D436" s="816">
        <f>280371.71+133.25</f>
        <v>280504.96000000002</v>
      </c>
      <c r="E436" s="872">
        <f>SUM(D436)</f>
        <v>280504.96000000002</v>
      </c>
      <c r="F436" s="816"/>
      <c r="G436" s="861">
        <v>3001</v>
      </c>
      <c r="H436" s="818" t="s">
        <v>766</v>
      </c>
    </row>
    <row r="437" spans="1:8" ht="12.75" customHeight="1" x14ac:dyDescent="0.2">
      <c r="A437" s="541"/>
      <c r="B437" s="864" t="s">
        <v>465</v>
      </c>
      <c r="C437" s="820"/>
      <c r="D437" s="816"/>
      <c r="E437" s="872">
        <f>SUM(D438:D443)</f>
        <v>759314.60000000009</v>
      </c>
      <c r="F437" s="816"/>
      <c r="H437" s="818"/>
    </row>
    <row r="438" spans="1:8" ht="12.75" customHeight="1" x14ac:dyDescent="0.2">
      <c r="A438" s="541"/>
      <c r="B438" s="817"/>
      <c r="C438" s="819" t="s">
        <v>320</v>
      </c>
      <c r="D438" s="816">
        <v>28085.040000000001</v>
      </c>
      <c r="E438" s="816"/>
      <c r="F438" s="816"/>
      <c r="G438" s="803">
        <v>4000</v>
      </c>
      <c r="H438" s="818"/>
    </row>
    <row r="439" spans="1:8" ht="12.75" customHeight="1" x14ac:dyDescent="0.2">
      <c r="A439" s="541"/>
      <c r="B439" s="817"/>
      <c r="C439" s="819" t="s">
        <v>321</v>
      </c>
      <c r="D439" s="815">
        <v>170962.93</v>
      </c>
      <c r="E439" s="815"/>
      <c r="F439" s="816"/>
      <c r="G439" s="803">
        <v>4001</v>
      </c>
    </row>
    <row r="440" spans="1:8" ht="12.75" customHeight="1" x14ac:dyDescent="0.2">
      <c r="A440" s="541"/>
      <c r="B440" s="817"/>
      <c r="C440" s="819" t="s">
        <v>322</v>
      </c>
      <c r="D440" s="816">
        <v>422019.32</v>
      </c>
      <c r="E440" s="816"/>
      <c r="F440" s="816"/>
      <c r="G440" s="803">
        <v>4002</v>
      </c>
    </row>
    <row r="441" spans="1:8" ht="12.75" customHeight="1" x14ac:dyDescent="0.2">
      <c r="A441" s="541"/>
      <c r="B441" s="817"/>
      <c r="C441" s="819" t="s">
        <v>323</v>
      </c>
      <c r="D441" s="816">
        <v>1473.86</v>
      </c>
      <c r="E441" s="816"/>
      <c r="F441" s="816"/>
      <c r="G441" s="803">
        <v>4003</v>
      </c>
    </row>
    <row r="442" spans="1:8" ht="12.75" customHeight="1" x14ac:dyDescent="0.2">
      <c r="A442" s="832"/>
      <c r="B442" s="817"/>
      <c r="C442" s="820" t="s">
        <v>324</v>
      </c>
      <c r="D442" s="816">
        <v>1132.5</v>
      </c>
      <c r="E442" s="816"/>
      <c r="F442" s="816"/>
      <c r="G442" s="803">
        <v>4004</v>
      </c>
    </row>
    <row r="443" spans="1:8" ht="12.75" customHeight="1" x14ac:dyDescent="0.2">
      <c r="A443" s="541"/>
      <c r="B443" s="817"/>
      <c r="C443" s="820" t="s">
        <v>131</v>
      </c>
      <c r="D443" s="816">
        <v>135640.95000000001</v>
      </c>
      <c r="E443" s="816"/>
      <c r="F443" s="816"/>
      <c r="G443" s="803">
        <v>4005</v>
      </c>
    </row>
    <row r="444" spans="1:8" ht="12.75" customHeight="1" x14ac:dyDescent="0.2">
      <c r="A444" s="541"/>
      <c r="B444" s="822" t="s">
        <v>325</v>
      </c>
      <c r="C444" s="820"/>
      <c r="D444" s="837"/>
      <c r="E444" s="825"/>
      <c r="F444" s="816"/>
    </row>
    <row r="445" spans="1:8" ht="12.75" customHeight="1" x14ac:dyDescent="0.2">
      <c r="A445" s="541"/>
      <c r="B445" s="866" t="s">
        <v>326</v>
      </c>
      <c r="D445" s="816"/>
      <c r="E445" s="873">
        <f>D445</f>
        <v>0</v>
      </c>
      <c r="F445" s="816"/>
      <c r="G445" s="803">
        <v>5004</v>
      </c>
      <c r="H445" s="818"/>
    </row>
    <row r="446" spans="1:8" ht="12.75" customHeight="1" thickBot="1" x14ac:dyDescent="0.25">
      <c r="A446" s="826"/>
      <c r="B446" s="827"/>
      <c r="C446" s="828"/>
      <c r="D446" s="833"/>
      <c r="E446" s="830"/>
      <c r="F446" s="868">
        <f>SUM(E398:E446)</f>
        <v>1794151.04</v>
      </c>
      <c r="H446" s="831">
        <f>'Sched-B1'!B12+'Sched-B2'!E156+'Sched-D1'!F446-7032740.63-445756.46</f>
        <v>-296574.76999999961</v>
      </c>
    </row>
    <row r="447" spans="1:8" ht="12.75" customHeight="1" x14ac:dyDescent="0.2">
      <c r="A447" s="808" t="s">
        <v>750</v>
      </c>
      <c r="B447" s="809" t="s">
        <v>50</v>
      </c>
      <c r="C447" s="810"/>
      <c r="D447" s="811"/>
      <c r="E447" s="812">
        <f>25545.41+5646.87+2625</f>
        <v>33817.279999999999</v>
      </c>
      <c r="F447" s="813"/>
      <c r="G447" s="803">
        <v>2000</v>
      </c>
    </row>
    <row r="448" spans="1:8" ht="12.75" customHeight="1" x14ac:dyDescent="0.2">
      <c r="A448" s="541"/>
      <c r="B448" s="858" t="s">
        <v>680</v>
      </c>
      <c r="C448" s="814"/>
      <c r="D448" s="815">
        <f>2770842.9-2124677-321385.5</f>
        <v>324780.39999999991</v>
      </c>
      <c r="E448" s="862">
        <f>SUM(D448:D489)</f>
        <v>1462334.7</v>
      </c>
      <c r="F448" s="816"/>
    </row>
    <row r="449" spans="1:7" ht="12.75" customHeight="1" x14ac:dyDescent="0.2">
      <c r="A449" s="541"/>
      <c r="B449" s="860" t="s">
        <v>681</v>
      </c>
      <c r="C449" s="814"/>
      <c r="D449" s="815"/>
      <c r="E449" s="815"/>
      <c r="F449" s="816"/>
      <c r="G449" s="861" t="s">
        <v>708</v>
      </c>
    </row>
    <row r="450" spans="1:7" ht="12.75" customHeight="1" x14ac:dyDescent="0.2">
      <c r="A450" s="541"/>
      <c r="B450" s="860" t="s">
        <v>682</v>
      </c>
      <c r="C450" s="814"/>
      <c r="D450" s="815"/>
      <c r="E450" s="815"/>
      <c r="F450" s="816"/>
      <c r="G450" s="861" t="s">
        <v>709</v>
      </c>
    </row>
    <row r="451" spans="1:7" ht="12.75" customHeight="1" x14ac:dyDescent="0.2">
      <c r="A451" s="541"/>
      <c r="B451" s="860" t="s">
        <v>740</v>
      </c>
      <c r="C451" s="814"/>
      <c r="D451" s="815"/>
      <c r="E451" s="815"/>
      <c r="F451" s="816"/>
      <c r="G451" s="861">
        <v>3003</v>
      </c>
    </row>
    <row r="452" spans="1:7" ht="12.75" customHeight="1" x14ac:dyDescent="0.2">
      <c r="A452" s="541"/>
      <c r="B452" s="860" t="s">
        <v>754</v>
      </c>
      <c r="C452" s="814"/>
      <c r="D452" s="815"/>
      <c r="E452" s="815"/>
      <c r="F452" s="816"/>
      <c r="G452" s="861">
        <v>3010</v>
      </c>
    </row>
    <row r="453" spans="1:7" ht="12.75" customHeight="1" x14ac:dyDescent="0.2">
      <c r="A453" s="541"/>
      <c r="B453" s="860" t="s">
        <v>683</v>
      </c>
      <c r="C453" s="814"/>
      <c r="D453" s="815"/>
      <c r="E453" s="815"/>
      <c r="F453" s="816"/>
      <c r="G453" s="861" t="s">
        <v>710</v>
      </c>
    </row>
    <row r="454" spans="1:7" ht="12.75" customHeight="1" x14ac:dyDescent="0.2">
      <c r="A454" s="541"/>
      <c r="B454" s="860" t="s">
        <v>752</v>
      </c>
      <c r="C454" s="814"/>
      <c r="D454" s="815"/>
      <c r="E454" s="815"/>
      <c r="F454" s="816"/>
      <c r="G454" s="861">
        <v>3014</v>
      </c>
    </row>
    <row r="455" spans="1:7" ht="12.75" customHeight="1" x14ac:dyDescent="0.2">
      <c r="A455" s="541"/>
      <c r="B455" s="860" t="s">
        <v>684</v>
      </c>
      <c r="C455" s="814"/>
      <c r="D455" s="815"/>
      <c r="E455" s="815"/>
      <c r="F455" s="816"/>
      <c r="G455" s="861" t="s">
        <v>711</v>
      </c>
    </row>
    <row r="456" spans="1:7" ht="12.75" customHeight="1" x14ac:dyDescent="0.2">
      <c r="A456" s="541"/>
      <c r="B456" s="860" t="s">
        <v>685</v>
      </c>
      <c r="C456" s="814"/>
      <c r="D456" s="815"/>
      <c r="E456" s="815"/>
      <c r="F456" s="816"/>
      <c r="G456" s="861" t="s">
        <v>712</v>
      </c>
    </row>
    <row r="457" spans="1:7" ht="12.75" customHeight="1" x14ac:dyDescent="0.2">
      <c r="A457" s="541"/>
      <c r="B457" s="870" t="s">
        <v>51</v>
      </c>
      <c r="C457" s="814"/>
      <c r="D457" s="815">
        <v>1137554.3</v>
      </c>
      <c r="E457" s="815"/>
      <c r="F457" s="816"/>
      <c r="G457" s="861"/>
    </row>
    <row r="458" spans="1:7" ht="12.75" customHeight="1" x14ac:dyDescent="0.2">
      <c r="A458" s="541"/>
      <c r="B458" s="860" t="s">
        <v>745</v>
      </c>
      <c r="C458" s="814"/>
      <c r="D458" s="815"/>
      <c r="E458" s="815"/>
      <c r="F458" s="816"/>
      <c r="G458" s="861">
        <v>3029</v>
      </c>
    </row>
    <row r="459" spans="1:7" ht="12.75" customHeight="1" x14ac:dyDescent="0.2">
      <c r="A459" s="541"/>
      <c r="B459" s="860" t="s">
        <v>686</v>
      </c>
      <c r="C459" s="814"/>
      <c r="D459" s="815"/>
      <c r="E459" s="815"/>
      <c r="F459" s="816"/>
      <c r="G459" s="861" t="s">
        <v>713</v>
      </c>
    </row>
    <row r="460" spans="1:7" ht="12.75" customHeight="1" x14ac:dyDescent="0.2">
      <c r="A460" s="541"/>
      <c r="B460" s="860" t="s">
        <v>687</v>
      </c>
      <c r="C460" s="814"/>
      <c r="D460" s="815"/>
      <c r="E460" s="815"/>
      <c r="F460" s="816"/>
      <c r="G460" s="861" t="s">
        <v>714</v>
      </c>
    </row>
    <row r="461" spans="1:7" ht="12.75" customHeight="1" x14ac:dyDescent="0.2">
      <c r="A461" s="541"/>
      <c r="B461" s="860" t="s">
        <v>737</v>
      </c>
      <c r="C461" s="814"/>
      <c r="D461" s="815"/>
      <c r="E461" s="815"/>
      <c r="F461" s="816"/>
      <c r="G461" s="861">
        <v>3034</v>
      </c>
    </row>
    <row r="462" spans="1:7" ht="12.75" customHeight="1" x14ac:dyDescent="0.2">
      <c r="A462" s="541"/>
      <c r="B462" s="860" t="s">
        <v>688</v>
      </c>
      <c r="C462" s="814"/>
      <c r="D462" s="815"/>
      <c r="E462" s="815"/>
      <c r="F462" s="816"/>
      <c r="G462" s="861" t="s">
        <v>715</v>
      </c>
    </row>
    <row r="463" spans="1:7" ht="12.75" customHeight="1" x14ac:dyDescent="0.2">
      <c r="A463" s="541"/>
      <c r="B463" s="860" t="s">
        <v>689</v>
      </c>
      <c r="C463" s="814"/>
      <c r="D463" s="815"/>
      <c r="E463" s="815"/>
      <c r="F463" s="816"/>
      <c r="G463" s="861" t="s">
        <v>716</v>
      </c>
    </row>
    <row r="464" spans="1:7" ht="12.75" customHeight="1" x14ac:dyDescent="0.2">
      <c r="A464" s="541"/>
      <c r="B464" s="860" t="s">
        <v>690</v>
      </c>
      <c r="C464" s="814"/>
      <c r="D464" s="815"/>
      <c r="E464" s="815"/>
      <c r="F464" s="816"/>
      <c r="G464" s="861" t="s">
        <v>717</v>
      </c>
    </row>
    <row r="465" spans="1:7" ht="12.75" customHeight="1" x14ac:dyDescent="0.2">
      <c r="A465" s="541"/>
      <c r="B465" s="860" t="s">
        <v>691</v>
      </c>
      <c r="C465" s="814"/>
      <c r="D465" s="815"/>
      <c r="E465" s="815"/>
      <c r="F465" s="816"/>
      <c r="G465" s="861" t="s">
        <v>718</v>
      </c>
    </row>
    <row r="466" spans="1:7" ht="12.75" customHeight="1" x14ac:dyDescent="0.2">
      <c r="A466" s="541"/>
      <c r="B466" s="860" t="s">
        <v>755</v>
      </c>
      <c r="C466" s="814"/>
      <c r="D466" s="815"/>
      <c r="E466" s="815"/>
      <c r="F466" s="816"/>
      <c r="G466" s="861">
        <v>3039</v>
      </c>
    </row>
    <row r="467" spans="1:7" ht="12.75" customHeight="1" x14ac:dyDescent="0.2">
      <c r="A467" s="541"/>
      <c r="B467" s="860" t="s">
        <v>692</v>
      </c>
      <c r="C467" s="814"/>
      <c r="D467" s="815">
        <v>0</v>
      </c>
      <c r="E467" s="815"/>
      <c r="F467" s="816"/>
      <c r="G467" s="861" t="s">
        <v>719</v>
      </c>
    </row>
    <row r="468" spans="1:7" ht="12.75" customHeight="1" x14ac:dyDescent="0.2">
      <c r="A468" s="541"/>
      <c r="B468" s="860" t="s">
        <v>693</v>
      </c>
      <c r="C468" s="814"/>
      <c r="D468" s="815">
        <v>0</v>
      </c>
      <c r="E468" s="815"/>
      <c r="F468" s="816"/>
      <c r="G468" s="861" t="s">
        <v>720</v>
      </c>
    </row>
    <row r="469" spans="1:7" ht="12.75" customHeight="1" x14ac:dyDescent="0.2">
      <c r="A469" s="541"/>
      <c r="B469" s="860" t="s">
        <v>747</v>
      </c>
      <c r="C469" s="814"/>
      <c r="D469" s="815">
        <v>0</v>
      </c>
      <c r="E469" s="815"/>
      <c r="F469" s="816"/>
      <c r="G469" s="861">
        <v>3042</v>
      </c>
    </row>
    <row r="470" spans="1:7" ht="12.75" customHeight="1" x14ac:dyDescent="0.2">
      <c r="A470" s="541"/>
      <c r="B470" s="860" t="s">
        <v>694</v>
      </c>
      <c r="C470" s="814"/>
      <c r="D470" s="815"/>
      <c r="E470" s="815"/>
      <c r="F470" s="816"/>
      <c r="G470" s="861" t="s">
        <v>721</v>
      </c>
    </row>
    <row r="471" spans="1:7" ht="12.75" customHeight="1" x14ac:dyDescent="0.2">
      <c r="A471" s="541"/>
      <c r="B471" s="860" t="s">
        <v>695</v>
      </c>
      <c r="C471" s="814"/>
      <c r="D471" s="815"/>
      <c r="E471" s="815"/>
      <c r="F471" s="816"/>
      <c r="G471" s="861" t="s">
        <v>722</v>
      </c>
    </row>
    <row r="472" spans="1:7" ht="12.75" customHeight="1" x14ac:dyDescent="0.2">
      <c r="A472" s="541"/>
      <c r="B472" s="860" t="s">
        <v>696</v>
      </c>
      <c r="C472" s="814"/>
      <c r="D472" s="815"/>
      <c r="E472" s="815"/>
      <c r="F472" s="816"/>
      <c r="G472" s="861" t="s">
        <v>723</v>
      </c>
    </row>
    <row r="473" spans="1:7" ht="12.75" customHeight="1" x14ac:dyDescent="0.2">
      <c r="A473" s="541"/>
      <c r="B473" s="860" t="s">
        <v>738</v>
      </c>
      <c r="C473" s="814"/>
      <c r="D473" s="815"/>
      <c r="E473" s="815"/>
      <c r="F473" s="816"/>
      <c r="G473" s="861">
        <v>3048</v>
      </c>
    </row>
    <row r="474" spans="1:7" ht="12.75" customHeight="1" x14ac:dyDescent="0.2">
      <c r="A474" s="541"/>
      <c r="B474" s="860" t="s">
        <v>697</v>
      </c>
      <c r="C474" s="814"/>
      <c r="D474" s="815"/>
      <c r="E474" s="815"/>
      <c r="F474" s="816"/>
      <c r="G474" s="861" t="s">
        <v>724</v>
      </c>
    </row>
    <row r="475" spans="1:7" ht="12.75" customHeight="1" x14ac:dyDescent="0.2">
      <c r="A475" s="541"/>
      <c r="B475" s="860" t="s">
        <v>698</v>
      </c>
      <c r="C475" s="814"/>
      <c r="D475" s="815"/>
      <c r="E475" s="815"/>
      <c r="F475" s="816"/>
      <c r="G475" s="861" t="s">
        <v>725</v>
      </c>
    </row>
    <row r="476" spans="1:7" ht="12.75" customHeight="1" x14ac:dyDescent="0.2">
      <c r="A476" s="541"/>
      <c r="B476" s="860" t="s">
        <v>741</v>
      </c>
      <c r="C476" s="814"/>
      <c r="D476" s="815"/>
      <c r="E476" s="815"/>
      <c r="F476" s="816"/>
      <c r="G476" s="861">
        <v>3051</v>
      </c>
    </row>
    <row r="477" spans="1:7" ht="12.75" customHeight="1" x14ac:dyDescent="0.2">
      <c r="A477" s="541"/>
      <c r="B477" s="860" t="s">
        <v>699</v>
      </c>
      <c r="C477" s="814"/>
      <c r="D477" s="815"/>
      <c r="E477" s="815"/>
      <c r="F477" s="816"/>
      <c r="G477" s="861" t="s">
        <v>726</v>
      </c>
    </row>
    <row r="478" spans="1:7" ht="12.75" customHeight="1" x14ac:dyDescent="0.2">
      <c r="A478" s="541"/>
      <c r="B478" s="860" t="s">
        <v>742</v>
      </c>
      <c r="C478" s="814"/>
      <c r="D478" s="815"/>
      <c r="E478" s="815"/>
      <c r="F478" s="816"/>
      <c r="G478" s="861">
        <v>3056</v>
      </c>
    </row>
    <row r="479" spans="1:7" ht="12.75" customHeight="1" x14ac:dyDescent="0.2">
      <c r="A479" s="541"/>
      <c r="B479" s="860" t="s">
        <v>700</v>
      </c>
      <c r="C479" s="814"/>
      <c r="D479" s="815"/>
      <c r="E479" s="815"/>
      <c r="F479" s="816"/>
      <c r="G479" s="861">
        <v>3057</v>
      </c>
    </row>
    <row r="480" spans="1:7" ht="12.75" customHeight="1" x14ac:dyDescent="0.2">
      <c r="A480" s="541"/>
      <c r="B480" s="860" t="s">
        <v>701</v>
      </c>
      <c r="C480" s="814"/>
      <c r="D480" s="815"/>
      <c r="E480" s="815"/>
      <c r="F480" s="816"/>
      <c r="G480" s="861" t="s">
        <v>728</v>
      </c>
    </row>
    <row r="481" spans="1:14" ht="12.75" customHeight="1" x14ac:dyDescent="0.2">
      <c r="A481" s="541"/>
      <c r="B481" s="860" t="s">
        <v>702</v>
      </c>
      <c r="C481" s="814"/>
      <c r="D481" s="815"/>
      <c r="E481" s="815"/>
      <c r="F481" s="816"/>
      <c r="G481" s="861" t="s">
        <v>729</v>
      </c>
    </row>
    <row r="482" spans="1:14" ht="12.75" customHeight="1" x14ac:dyDescent="0.2">
      <c r="A482" s="541"/>
      <c r="B482" s="860" t="s">
        <v>739</v>
      </c>
      <c r="C482" s="814"/>
      <c r="D482" s="815"/>
      <c r="E482" s="815"/>
      <c r="F482" s="816"/>
      <c r="G482" s="861">
        <v>3061</v>
      </c>
    </row>
    <row r="483" spans="1:14" ht="12.75" customHeight="1" x14ac:dyDescent="0.2">
      <c r="A483" s="541"/>
      <c r="B483" s="860" t="s">
        <v>748</v>
      </c>
      <c r="C483" s="814"/>
      <c r="D483" s="815">
        <v>0</v>
      </c>
      <c r="E483" s="815"/>
      <c r="F483" s="816"/>
      <c r="G483" s="861">
        <v>3063</v>
      </c>
      <c r="N483" s="815">
        <f>23515300-18680000</f>
        <v>4835300</v>
      </c>
    </row>
    <row r="484" spans="1:14" ht="12.75" customHeight="1" x14ac:dyDescent="0.2">
      <c r="A484" s="541"/>
      <c r="B484" s="860" t="s">
        <v>703</v>
      </c>
      <c r="C484" s="814"/>
      <c r="D484" s="815">
        <v>0</v>
      </c>
      <c r="E484" s="815"/>
      <c r="F484" s="816"/>
      <c r="G484" s="861" t="s">
        <v>730</v>
      </c>
      <c r="N484" s="815">
        <f>N483-5972684.02</f>
        <v>-1137384.0199999996</v>
      </c>
    </row>
    <row r="485" spans="1:14" ht="12.75" customHeight="1" x14ac:dyDescent="0.2">
      <c r="A485" s="541"/>
      <c r="B485" s="860" t="s">
        <v>704</v>
      </c>
      <c r="C485" s="814"/>
      <c r="D485" s="815">
        <v>0</v>
      </c>
      <c r="E485" s="815"/>
      <c r="F485" s="816"/>
      <c r="G485" s="861" t="s">
        <v>731</v>
      </c>
      <c r="N485" s="818">
        <f>N484+D457</f>
        <v>170.2800000004936</v>
      </c>
    </row>
    <row r="486" spans="1:14" ht="12.75" customHeight="1" x14ac:dyDescent="0.2">
      <c r="A486" s="541"/>
      <c r="B486" s="860" t="s">
        <v>705</v>
      </c>
      <c r="C486" s="814"/>
      <c r="D486" s="815"/>
      <c r="E486" s="815"/>
      <c r="F486" s="816"/>
      <c r="G486" s="861" t="s">
        <v>732</v>
      </c>
      <c r="H486" s="818"/>
    </row>
    <row r="487" spans="1:14" ht="12.75" customHeight="1" x14ac:dyDescent="0.2">
      <c r="A487" s="541"/>
      <c r="B487" s="860" t="s">
        <v>706</v>
      </c>
      <c r="C487" s="814"/>
      <c r="D487" s="815">
        <v>0</v>
      </c>
      <c r="E487" s="815"/>
      <c r="F487" s="816"/>
      <c r="G487" s="861">
        <v>3068</v>
      </c>
      <c r="H487" s="818"/>
    </row>
    <row r="488" spans="1:14" ht="12.75" customHeight="1" x14ac:dyDescent="0.2">
      <c r="A488" s="541"/>
      <c r="B488" s="860" t="s">
        <v>707</v>
      </c>
      <c r="C488" s="814"/>
      <c r="D488" s="815"/>
      <c r="E488" s="815"/>
      <c r="F488" s="816"/>
      <c r="G488" s="861">
        <v>3069</v>
      </c>
      <c r="H488" s="818"/>
    </row>
    <row r="489" spans="1:14" ht="12.75" customHeight="1" x14ac:dyDescent="0.2">
      <c r="A489" s="541"/>
      <c r="B489" s="860" t="s">
        <v>743</v>
      </c>
      <c r="C489" s="814"/>
      <c r="D489" s="815">
        <v>0</v>
      </c>
      <c r="E489" s="815"/>
      <c r="F489" s="816"/>
      <c r="G489" s="861">
        <v>3073</v>
      </c>
    </row>
    <row r="490" spans="1:14" ht="12.75" customHeight="1" x14ac:dyDescent="0.2">
      <c r="A490" s="541"/>
      <c r="B490" s="863" t="s">
        <v>319</v>
      </c>
      <c r="D490" s="815">
        <v>327337.65000000002</v>
      </c>
      <c r="E490" s="862">
        <f>SUM(D490)</f>
        <v>327337.65000000002</v>
      </c>
      <c r="F490" s="816"/>
      <c r="G490" s="803">
        <v>3001</v>
      </c>
      <c r="H490" s="818"/>
    </row>
    <row r="491" spans="1:14" ht="12.75" customHeight="1" x14ac:dyDescent="0.2">
      <c r="A491" s="541"/>
      <c r="B491" s="864" t="s">
        <v>465</v>
      </c>
      <c r="C491" s="820"/>
      <c r="D491" s="815"/>
      <c r="E491" s="862">
        <f>SUM(D492:D497)</f>
        <v>1703131.8900000001</v>
      </c>
      <c r="F491" s="816"/>
    </row>
    <row r="492" spans="1:14" ht="12.75" customHeight="1" x14ac:dyDescent="0.2">
      <c r="A492" s="541"/>
      <c r="B492" s="817"/>
      <c r="C492" s="819" t="s">
        <v>320</v>
      </c>
      <c r="D492" s="815">
        <v>64294.6</v>
      </c>
      <c r="E492" s="815"/>
      <c r="F492" s="816"/>
      <c r="G492" s="803">
        <v>4000</v>
      </c>
    </row>
    <row r="493" spans="1:14" ht="12.75" customHeight="1" x14ac:dyDescent="0.2">
      <c r="A493" s="541"/>
      <c r="B493" s="817"/>
      <c r="C493" s="819" t="s">
        <v>321</v>
      </c>
      <c r="D493" s="815">
        <v>0</v>
      </c>
      <c r="E493" s="815"/>
      <c r="F493" s="816"/>
      <c r="G493" s="803">
        <v>4001</v>
      </c>
      <c r="I493" s="803">
        <v>33.9</v>
      </c>
    </row>
    <row r="494" spans="1:14" ht="12.75" customHeight="1" x14ac:dyDescent="0.2">
      <c r="A494" s="541"/>
      <c r="B494" s="817"/>
      <c r="C494" s="819" t="s">
        <v>322</v>
      </c>
      <c r="D494" s="815">
        <v>1422440.51</v>
      </c>
      <c r="E494" s="815"/>
      <c r="F494" s="816"/>
      <c r="I494" s="803">
        <v>3098.1</v>
      </c>
    </row>
    <row r="495" spans="1:14" ht="12.75" customHeight="1" x14ac:dyDescent="0.2">
      <c r="A495" s="541"/>
      <c r="B495" s="817"/>
      <c r="C495" s="819" t="s">
        <v>323</v>
      </c>
      <c r="D495" s="815">
        <v>4670.82</v>
      </c>
      <c r="E495" s="815"/>
      <c r="F495" s="816"/>
      <c r="I495" s="803">
        <v>1703.3</v>
      </c>
      <c r="M495" s="803">
        <v>3204662</v>
      </c>
    </row>
    <row r="496" spans="1:14" ht="12.75" customHeight="1" x14ac:dyDescent="0.2">
      <c r="A496" s="541"/>
      <c r="B496" s="817"/>
      <c r="C496" s="820" t="s">
        <v>324</v>
      </c>
      <c r="D496" s="815">
        <v>50678.49</v>
      </c>
      <c r="E496" s="815"/>
      <c r="F496" s="816"/>
      <c r="I496" s="803">
        <f>SUM(I493:I495)</f>
        <v>4835.3</v>
      </c>
      <c r="M496" s="803">
        <v>-227373.63</v>
      </c>
    </row>
    <row r="497" spans="1:13" ht="12.75" customHeight="1" x14ac:dyDescent="0.2">
      <c r="A497" s="541"/>
      <c r="B497" s="817"/>
      <c r="C497" s="820" t="s">
        <v>131</v>
      </c>
      <c r="D497" s="815">
        <v>161047.47</v>
      </c>
      <c r="E497" s="815"/>
      <c r="F497" s="816"/>
      <c r="M497" s="803">
        <v>-235381.44</v>
      </c>
    </row>
    <row r="498" spans="1:13" ht="12.75" customHeight="1" x14ac:dyDescent="0.2">
      <c r="A498" s="821"/>
      <c r="B498" s="822" t="s">
        <v>325</v>
      </c>
      <c r="C498" s="867"/>
      <c r="D498" s="815"/>
      <c r="E498" s="824"/>
      <c r="F498" s="825"/>
      <c r="M498" s="803">
        <f>SUM(M495:M497)</f>
        <v>2741906.93</v>
      </c>
    </row>
    <row r="499" spans="1:13" ht="12.75" customHeight="1" x14ac:dyDescent="0.2">
      <c r="A499" s="821"/>
      <c r="B499" s="866" t="s">
        <v>326</v>
      </c>
      <c r="D499" s="815">
        <v>0</v>
      </c>
      <c r="E499" s="865">
        <f>D499</f>
        <v>0</v>
      </c>
      <c r="F499" s="825"/>
      <c r="G499" s="803">
        <v>5000</v>
      </c>
    </row>
    <row r="500" spans="1:13" ht="12.75" customHeight="1" thickBot="1" x14ac:dyDescent="0.25">
      <c r="A500" s="826"/>
      <c r="B500" s="827"/>
      <c r="C500" s="828"/>
      <c r="D500" s="829"/>
      <c r="E500" s="830"/>
      <c r="F500" s="868">
        <f>SUM(E447:E499)</f>
        <v>3526621.52</v>
      </c>
      <c r="H500" s="831">
        <f>'Sched-B1'!B13+'Sched-B2'!E173+'Sched-D1'!F500-23515178.68-1137554.3</f>
        <v>-2446062.4999999991</v>
      </c>
      <c r="M500" s="803">
        <f>1825000+295109.78</f>
        <v>2120109.7800000003</v>
      </c>
    </row>
    <row r="501" spans="1:13" ht="12.75" customHeight="1" x14ac:dyDescent="0.2">
      <c r="A501" s="808" t="s">
        <v>751</v>
      </c>
      <c r="B501" s="809" t="s">
        <v>50</v>
      </c>
      <c r="C501" s="810"/>
      <c r="D501" s="811"/>
      <c r="E501" s="812">
        <v>9384.56</v>
      </c>
      <c r="F501" s="813"/>
      <c r="G501" s="803">
        <v>2000</v>
      </c>
    </row>
    <row r="502" spans="1:13" ht="12.75" customHeight="1" x14ac:dyDescent="0.2">
      <c r="A502" s="541"/>
      <c r="B502" s="858" t="s">
        <v>680</v>
      </c>
      <c r="C502" s="814"/>
      <c r="D502" s="815">
        <f>568673.43-218680.62</f>
        <v>349992.81000000006</v>
      </c>
      <c r="E502" s="862">
        <f>SUM(D502:D543)</f>
        <v>1394046.83</v>
      </c>
      <c r="F502" s="816"/>
    </row>
    <row r="503" spans="1:13" ht="12.75" customHeight="1" x14ac:dyDescent="0.2">
      <c r="A503" s="541"/>
      <c r="B503" s="860" t="s">
        <v>681</v>
      </c>
      <c r="C503" s="814"/>
      <c r="D503" s="815"/>
      <c r="E503" s="815"/>
      <c r="F503" s="816"/>
      <c r="G503" s="861" t="s">
        <v>708</v>
      </c>
    </row>
    <row r="504" spans="1:13" ht="12.75" customHeight="1" x14ac:dyDescent="0.2">
      <c r="A504" s="541"/>
      <c r="B504" s="860" t="s">
        <v>682</v>
      </c>
      <c r="C504" s="814"/>
      <c r="D504" s="815"/>
      <c r="E504" s="815"/>
      <c r="F504" s="816"/>
      <c r="G504" s="861" t="s">
        <v>709</v>
      </c>
    </row>
    <row r="505" spans="1:13" ht="12.75" customHeight="1" x14ac:dyDescent="0.2">
      <c r="A505" s="541"/>
      <c r="B505" s="860" t="s">
        <v>740</v>
      </c>
      <c r="C505" s="814"/>
      <c r="D505" s="815"/>
      <c r="E505" s="815"/>
      <c r="F505" s="816"/>
      <c r="G505" s="861">
        <v>3003</v>
      </c>
    </row>
    <row r="506" spans="1:13" ht="12.75" customHeight="1" x14ac:dyDescent="0.2">
      <c r="A506" s="541"/>
      <c r="B506" s="860" t="s">
        <v>683</v>
      </c>
      <c r="C506" s="814"/>
      <c r="D506" s="815"/>
      <c r="E506" s="815"/>
      <c r="F506" s="816"/>
      <c r="G506" s="861" t="s">
        <v>710</v>
      </c>
    </row>
    <row r="507" spans="1:13" ht="12.75" customHeight="1" x14ac:dyDescent="0.2">
      <c r="A507" s="541"/>
      <c r="B507" s="860" t="s">
        <v>752</v>
      </c>
      <c r="C507" s="814"/>
      <c r="D507" s="815"/>
      <c r="E507" s="815"/>
      <c r="F507" s="816"/>
      <c r="G507" s="861">
        <v>3014</v>
      </c>
    </row>
    <row r="508" spans="1:13" ht="12.75" customHeight="1" x14ac:dyDescent="0.2">
      <c r="A508" s="541"/>
      <c r="B508" s="860" t="s">
        <v>684</v>
      </c>
      <c r="C508" s="814"/>
      <c r="D508" s="815"/>
      <c r="E508" s="815"/>
      <c r="F508" s="816"/>
      <c r="G508" s="861" t="s">
        <v>711</v>
      </c>
    </row>
    <row r="509" spans="1:13" ht="12.75" customHeight="1" x14ac:dyDescent="0.2">
      <c r="A509" s="541"/>
      <c r="B509" s="860" t="s">
        <v>685</v>
      </c>
      <c r="C509" s="814"/>
      <c r="D509" s="815"/>
      <c r="E509" s="815"/>
      <c r="F509" s="816"/>
      <c r="G509" s="861" t="s">
        <v>712</v>
      </c>
    </row>
    <row r="510" spans="1:13" ht="12.75" customHeight="1" x14ac:dyDescent="0.2">
      <c r="A510" s="541"/>
      <c r="B510" s="870" t="s">
        <v>51</v>
      </c>
      <c r="C510" s="814"/>
      <c r="D510" s="815">
        <v>1044054.02</v>
      </c>
      <c r="E510" s="815"/>
      <c r="F510" s="816"/>
      <c r="G510" s="861"/>
    </row>
    <row r="511" spans="1:13" ht="12.75" customHeight="1" x14ac:dyDescent="0.2">
      <c r="A511" s="541"/>
      <c r="B511" s="860" t="s">
        <v>756</v>
      </c>
      <c r="C511" s="814"/>
      <c r="D511" s="815"/>
      <c r="E511" s="815"/>
      <c r="F511" s="816"/>
      <c r="G511" s="861">
        <v>3027</v>
      </c>
    </row>
    <row r="512" spans="1:13" ht="12.75" customHeight="1" x14ac:dyDescent="0.2">
      <c r="A512" s="541"/>
      <c r="B512" s="860" t="s">
        <v>745</v>
      </c>
      <c r="C512" s="814"/>
      <c r="D512" s="815"/>
      <c r="E512" s="815"/>
      <c r="F512" s="816"/>
      <c r="G512" s="861">
        <v>3029</v>
      </c>
    </row>
    <row r="513" spans="1:7" ht="12.75" customHeight="1" x14ac:dyDescent="0.2">
      <c r="A513" s="541"/>
      <c r="B513" s="860" t="s">
        <v>686</v>
      </c>
      <c r="C513" s="814"/>
      <c r="D513" s="815"/>
      <c r="E513" s="815"/>
      <c r="F513" s="816"/>
      <c r="G513" s="861" t="s">
        <v>713</v>
      </c>
    </row>
    <row r="514" spans="1:7" ht="12.75" customHeight="1" x14ac:dyDescent="0.2">
      <c r="A514" s="541"/>
      <c r="B514" s="860" t="s">
        <v>687</v>
      </c>
      <c r="C514" s="814"/>
      <c r="D514" s="815"/>
      <c r="E514" s="815"/>
      <c r="F514" s="816"/>
      <c r="G514" s="861" t="s">
        <v>714</v>
      </c>
    </row>
    <row r="515" spans="1:7" ht="12.75" customHeight="1" x14ac:dyDescent="0.2">
      <c r="A515" s="541"/>
      <c r="B515" s="860" t="s">
        <v>737</v>
      </c>
      <c r="C515" s="814"/>
      <c r="D515" s="815"/>
      <c r="E515" s="815"/>
      <c r="F515" s="816"/>
      <c r="G515" s="861">
        <v>3034</v>
      </c>
    </row>
    <row r="516" spans="1:7" ht="12.75" customHeight="1" x14ac:dyDescent="0.2">
      <c r="A516" s="541"/>
      <c r="B516" s="860" t="s">
        <v>688</v>
      </c>
      <c r="C516" s="814"/>
      <c r="D516" s="815"/>
      <c r="E516" s="815"/>
      <c r="F516" s="816"/>
      <c r="G516" s="861" t="s">
        <v>715</v>
      </c>
    </row>
    <row r="517" spans="1:7" ht="12.75" customHeight="1" x14ac:dyDescent="0.2">
      <c r="A517" s="541"/>
      <c r="B517" s="860" t="s">
        <v>689</v>
      </c>
      <c r="C517" s="814"/>
      <c r="D517" s="815"/>
      <c r="E517" s="815"/>
      <c r="F517" s="816"/>
      <c r="G517" s="861" t="s">
        <v>716</v>
      </c>
    </row>
    <row r="518" spans="1:7" ht="12.75" customHeight="1" x14ac:dyDescent="0.2">
      <c r="A518" s="541"/>
      <c r="B518" s="860" t="s">
        <v>690</v>
      </c>
      <c r="C518" s="814"/>
      <c r="D518" s="815"/>
      <c r="E518" s="815"/>
      <c r="F518" s="816"/>
      <c r="G518" s="861" t="s">
        <v>717</v>
      </c>
    </row>
    <row r="519" spans="1:7" ht="12.75" customHeight="1" x14ac:dyDescent="0.2">
      <c r="A519" s="541"/>
      <c r="B519" s="860" t="s">
        <v>691</v>
      </c>
      <c r="C519" s="814"/>
      <c r="D519" s="815"/>
      <c r="E519" s="815"/>
      <c r="F519" s="816"/>
      <c r="G519" s="861" t="s">
        <v>718</v>
      </c>
    </row>
    <row r="520" spans="1:7" ht="12.75" customHeight="1" x14ac:dyDescent="0.2">
      <c r="A520" s="541"/>
      <c r="B520" s="860" t="s">
        <v>692</v>
      </c>
      <c r="C520" s="814"/>
      <c r="D520" s="815"/>
      <c r="E520" s="815"/>
      <c r="F520" s="816"/>
      <c r="G520" s="861" t="s">
        <v>719</v>
      </c>
    </row>
    <row r="521" spans="1:7" ht="12.75" customHeight="1" x14ac:dyDescent="0.2">
      <c r="A521" s="541"/>
      <c r="B521" s="860" t="s">
        <v>693</v>
      </c>
      <c r="C521" s="814"/>
      <c r="D521" s="815"/>
      <c r="E521" s="815"/>
      <c r="F521" s="816"/>
      <c r="G521" s="861" t="s">
        <v>720</v>
      </c>
    </row>
    <row r="522" spans="1:7" ht="12.75" customHeight="1" x14ac:dyDescent="0.2">
      <c r="A522" s="541"/>
      <c r="B522" s="860" t="s">
        <v>747</v>
      </c>
      <c r="C522" s="814"/>
      <c r="D522" s="815"/>
      <c r="E522" s="815"/>
      <c r="F522" s="816"/>
      <c r="G522" s="861">
        <v>3042</v>
      </c>
    </row>
    <row r="523" spans="1:7" ht="12.75" customHeight="1" x14ac:dyDescent="0.2">
      <c r="A523" s="541"/>
      <c r="B523" s="860" t="s">
        <v>694</v>
      </c>
      <c r="C523" s="814"/>
      <c r="D523" s="815"/>
      <c r="E523" s="815"/>
      <c r="F523" s="816"/>
      <c r="G523" s="861" t="s">
        <v>721</v>
      </c>
    </row>
    <row r="524" spans="1:7" ht="12.75" customHeight="1" x14ac:dyDescent="0.2">
      <c r="A524" s="541"/>
      <c r="B524" s="860" t="s">
        <v>695</v>
      </c>
      <c r="C524" s="814"/>
      <c r="D524" s="815"/>
      <c r="E524" s="815"/>
      <c r="F524" s="816"/>
      <c r="G524" s="861" t="s">
        <v>722</v>
      </c>
    </row>
    <row r="525" spans="1:7" ht="12.75" customHeight="1" x14ac:dyDescent="0.2">
      <c r="A525" s="541"/>
      <c r="B525" s="860" t="s">
        <v>696</v>
      </c>
      <c r="C525" s="814"/>
      <c r="D525" s="815"/>
      <c r="E525" s="815"/>
      <c r="F525" s="816"/>
      <c r="G525" s="861" t="s">
        <v>723</v>
      </c>
    </row>
    <row r="526" spans="1:7" ht="12.75" customHeight="1" x14ac:dyDescent="0.2">
      <c r="A526" s="541"/>
      <c r="B526" s="860" t="s">
        <v>738</v>
      </c>
      <c r="C526" s="814"/>
      <c r="D526" s="815"/>
      <c r="E526" s="815"/>
      <c r="F526" s="816"/>
      <c r="G526" s="861">
        <v>3048</v>
      </c>
    </row>
    <row r="527" spans="1:7" ht="12.75" customHeight="1" x14ac:dyDescent="0.2">
      <c r="A527" s="541"/>
      <c r="B527" s="860" t="s">
        <v>697</v>
      </c>
      <c r="C527" s="814"/>
      <c r="D527" s="815"/>
      <c r="E527" s="815"/>
      <c r="F527" s="816"/>
      <c r="G527" s="861" t="s">
        <v>724</v>
      </c>
    </row>
    <row r="528" spans="1:7" ht="12.75" customHeight="1" x14ac:dyDescent="0.2">
      <c r="A528" s="541"/>
      <c r="B528" s="860" t="s">
        <v>698</v>
      </c>
      <c r="C528" s="814"/>
      <c r="D528" s="815"/>
      <c r="E528" s="815"/>
      <c r="F528" s="816"/>
      <c r="G528" s="861" t="s">
        <v>725</v>
      </c>
    </row>
    <row r="529" spans="1:8" ht="12.75" customHeight="1" x14ac:dyDescent="0.2">
      <c r="A529" s="541"/>
      <c r="B529" s="860" t="s">
        <v>741</v>
      </c>
      <c r="C529" s="814"/>
      <c r="D529" s="815"/>
      <c r="E529" s="815"/>
      <c r="F529" s="816"/>
      <c r="G529" s="861">
        <v>3051</v>
      </c>
    </row>
    <row r="530" spans="1:8" ht="12.75" customHeight="1" x14ac:dyDescent="0.2">
      <c r="A530" s="541"/>
      <c r="B530" s="860" t="s">
        <v>699</v>
      </c>
      <c r="C530" s="814"/>
      <c r="D530" s="815"/>
      <c r="E530" s="815"/>
      <c r="F530" s="816"/>
      <c r="G530" s="861" t="s">
        <v>726</v>
      </c>
    </row>
    <row r="531" spans="1:8" ht="12.75" customHeight="1" x14ac:dyDescent="0.2">
      <c r="A531" s="541"/>
      <c r="B531" s="860" t="s">
        <v>742</v>
      </c>
      <c r="C531" s="814"/>
      <c r="D531" s="815"/>
      <c r="E531" s="815"/>
      <c r="F531" s="816"/>
      <c r="G531" s="861">
        <v>3056</v>
      </c>
    </row>
    <row r="532" spans="1:8" ht="12.75" customHeight="1" x14ac:dyDescent="0.2">
      <c r="A532" s="541"/>
      <c r="B532" s="860" t="s">
        <v>700</v>
      </c>
      <c r="C532" s="814"/>
      <c r="D532" s="815"/>
      <c r="E532" s="815"/>
      <c r="F532" s="816"/>
      <c r="G532" s="861">
        <v>3057</v>
      </c>
    </row>
    <row r="533" spans="1:8" ht="12.75" customHeight="1" x14ac:dyDescent="0.2">
      <c r="A533" s="541"/>
      <c r="B533" s="860" t="s">
        <v>701</v>
      </c>
      <c r="C533" s="814"/>
      <c r="D533" s="815"/>
      <c r="E533" s="815"/>
      <c r="F533" s="816"/>
      <c r="G533" s="861" t="s">
        <v>728</v>
      </c>
    </row>
    <row r="534" spans="1:8" ht="12.75" customHeight="1" x14ac:dyDescent="0.2">
      <c r="A534" s="541"/>
      <c r="B534" s="860" t="s">
        <v>702</v>
      </c>
      <c r="C534" s="814"/>
      <c r="D534" s="815"/>
      <c r="E534" s="815"/>
      <c r="F534" s="816"/>
      <c r="G534" s="861" t="s">
        <v>729</v>
      </c>
    </row>
    <row r="535" spans="1:8" ht="12.75" customHeight="1" x14ac:dyDescent="0.2">
      <c r="A535" s="541"/>
      <c r="B535" s="860" t="s">
        <v>739</v>
      </c>
      <c r="C535" s="814"/>
      <c r="D535" s="815"/>
      <c r="E535" s="815"/>
      <c r="F535" s="816"/>
      <c r="G535" s="861">
        <v>3061</v>
      </c>
    </row>
    <row r="536" spans="1:8" ht="12.75" customHeight="1" x14ac:dyDescent="0.2">
      <c r="A536" s="541"/>
      <c r="B536" s="860" t="s">
        <v>748</v>
      </c>
      <c r="C536" s="814"/>
      <c r="D536" s="815">
        <v>0</v>
      </c>
      <c r="E536" s="815"/>
      <c r="F536" s="816"/>
      <c r="G536" s="861">
        <v>3063</v>
      </c>
    </row>
    <row r="537" spans="1:8" ht="12.75" customHeight="1" x14ac:dyDescent="0.2">
      <c r="A537" s="541"/>
      <c r="B537" s="860" t="s">
        <v>703</v>
      </c>
      <c r="C537" s="814"/>
      <c r="D537" s="815">
        <v>0</v>
      </c>
      <c r="E537" s="815"/>
      <c r="F537" s="816"/>
      <c r="G537" s="861" t="s">
        <v>730</v>
      </c>
    </row>
    <row r="538" spans="1:8" ht="12.75" customHeight="1" x14ac:dyDescent="0.2">
      <c r="A538" s="541"/>
      <c r="B538" s="860" t="s">
        <v>753</v>
      </c>
      <c r="C538" s="814"/>
      <c r="D538" s="815"/>
      <c r="E538" s="815"/>
      <c r="F538" s="816"/>
      <c r="G538" s="861">
        <v>3065</v>
      </c>
    </row>
    <row r="539" spans="1:8" ht="12.75" customHeight="1" x14ac:dyDescent="0.2">
      <c r="A539" s="541"/>
      <c r="B539" s="860" t="s">
        <v>704</v>
      </c>
      <c r="C539" s="814"/>
      <c r="D539" s="815"/>
      <c r="E539" s="815"/>
      <c r="F539" s="816"/>
      <c r="G539" s="861">
        <v>3066</v>
      </c>
    </row>
    <row r="540" spans="1:8" ht="12.75" customHeight="1" x14ac:dyDescent="0.2">
      <c r="A540" s="541"/>
      <c r="B540" s="860" t="s">
        <v>705</v>
      </c>
      <c r="C540" s="814"/>
      <c r="D540" s="815"/>
      <c r="E540" s="815"/>
      <c r="F540" s="816"/>
      <c r="G540" s="861" t="s">
        <v>732</v>
      </c>
      <c r="H540" s="818"/>
    </row>
    <row r="541" spans="1:8" ht="12.75" customHeight="1" x14ac:dyDescent="0.2">
      <c r="A541" s="541"/>
      <c r="B541" s="860" t="s">
        <v>706</v>
      </c>
      <c r="C541" s="814"/>
      <c r="D541" s="815"/>
      <c r="E541" s="815"/>
      <c r="F541" s="816"/>
      <c r="G541" s="861">
        <v>3068</v>
      </c>
      <c r="H541" s="818"/>
    </row>
    <row r="542" spans="1:8" ht="12.75" customHeight="1" x14ac:dyDescent="0.2">
      <c r="A542" s="541"/>
      <c r="B542" s="860" t="s">
        <v>707</v>
      </c>
      <c r="C542" s="814"/>
      <c r="D542" s="815"/>
      <c r="E542" s="815"/>
      <c r="F542" s="816"/>
      <c r="G542" s="861">
        <v>3069</v>
      </c>
      <c r="H542" s="818"/>
    </row>
    <row r="543" spans="1:8" ht="12.75" customHeight="1" x14ac:dyDescent="0.2">
      <c r="A543" s="541"/>
      <c r="B543" s="860" t="s">
        <v>743</v>
      </c>
      <c r="C543" s="814"/>
      <c r="D543" s="815"/>
      <c r="E543" s="815"/>
      <c r="F543" s="816"/>
      <c r="G543" s="861">
        <v>3073</v>
      </c>
    </row>
    <row r="544" spans="1:8" ht="12.75" customHeight="1" x14ac:dyDescent="0.2">
      <c r="A544" s="541"/>
      <c r="B544" s="863" t="s">
        <v>319</v>
      </c>
      <c r="D544" s="815">
        <v>246210.58</v>
      </c>
      <c r="E544" s="862">
        <f>SUM(D544)</f>
        <v>246210.58</v>
      </c>
      <c r="F544" s="816"/>
      <c r="G544" s="803">
        <v>3001</v>
      </c>
      <c r="H544" s="818"/>
    </row>
    <row r="545" spans="1:8" ht="12.75" customHeight="1" x14ac:dyDescent="0.2">
      <c r="A545" s="541"/>
      <c r="B545" s="864" t="s">
        <v>465</v>
      </c>
      <c r="C545" s="820"/>
      <c r="D545" s="815"/>
      <c r="E545" s="862">
        <f>SUM(D546:D551)</f>
        <v>1116619.1399999999</v>
      </c>
      <c r="F545" s="816"/>
    </row>
    <row r="546" spans="1:8" ht="12.75" customHeight="1" x14ac:dyDescent="0.2">
      <c r="A546" s="541"/>
      <c r="B546" s="817"/>
      <c r="C546" s="819" t="s">
        <v>320</v>
      </c>
      <c r="D546" s="815">
        <v>52214.080000000002</v>
      </c>
      <c r="E546" s="815"/>
      <c r="F546" s="816"/>
      <c r="G546" s="803">
        <v>4000</v>
      </c>
    </row>
    <row r="547" spans="1:8" ht="12.75" customHeight="1" x14ac:dyDescent="0.2">
      <c r="A547" s="541"/>
      <c r="B547" s="817"/>
      <c r="C547" s="819" t="s">
        <v>321</v>
      </c>
      <c r="D547" s="815">
        <v>4837.87</v>
      </c>
      <c r="E547" s="815"/>
      <c r="F547" s="816"/>
      <c r="G547" s="803">
        <v>4001</v>
      </c>
    </row>
    <row r="548" spans="1:8" ht="12.75" customHeight="1" x14ac:dyDescent="0.2">
      <c r="A548" s="541"/>
      <c r="B548" s="817"/>
      <c r="C548" s="819" t="s">
        <v>322</v>
      </c>
      <c r="D548" s="815">
        <v>837447.21</v>
      </c>
      <c r="E548" s="815"/>
      <c r="F548" s="816"/>
    </row>
    <row r="549" spans="1:8" ht="12.75" customHeight="1" x14ac:dyDescent="0.2">
      <c r="A549" s="541"/>
      <c r="B549" s="817"/>
      <c r="C549" s="819" t="s">
        <v>323</v>
      </c>
      <c r="D549" s="815">
        <v>13652.75</v>
      </c>
      <c r="E549" s="815"/>
      <c r="F549" s="816"/>
    </row>
    <row r="550" spans="1:8" ht="12.75" customHeight="1" x14ac:dyDescent="0.2">
      <c r="A550" s="541"/>
      <c r="B550" s="817"/>
      <c r="C550" s="820" t="s">
        <v>324</v>
      </c>
      <c r="D550" s="815">
        <v>29504.71</v>
      </c>
      <c r="E550" s="815"/>
      <c r="F550" s="816"/>
    </row>
    <row r="551" spans="1:8" ht="12.75" customHeight="1" x14ac:dyDescent="0.2">
      <c r="A551" s="541"/>
      <c r="B551" s="817"/>
      <c r="C551" s="820" t="s">
        <v>131</v>
      </c>
      <c r="D551" s="815">
        <v>178962.52</v>
      </c>
      <c r="E551" s="815"/>
      <c r="F551" s="816"/>
    </row>
    <row r="552" spans="1:8" ht="12.75" customHeight="1" x14ac:dyDescent="0.2">
      <c r="A552" s="821"/>
      <c r="B552" s="822" t="s">
        <v>325</v>
      </c>
      <c r="C552" s="867"/>
      <c r="D552" s="815"/>
      <c r="E552" s="824"/>
      <c r="F552" s="825"/>
    </row>
    <row r="553" spans="1:8" ht="12.75" customHeight="1" x14ac:dyDescent="0.2">
      <c r="A553" s="821"/>
      <c r="B553" s="866" t="s">
        <v>326</v>
      </c>
      <c r="D553" s="815">
        <v>0</v>
      </c>
      <c r="E553" s="865">
        <f>D553</f>
        <v>0</v>
      </c>
      <c r="F553" s="825"/>
      <c r="G553" s="803">
        <v>5000</v>
      </c>
    </row>
    <row r="554" spans="1:8" ht="12.75" customHeight="1" thickBot="1" x14ac:dyDescent="0.25">
      <c r="A554" s="826"/>
      <c r="B554" s="827"/>
      <c r="C554" s="828"/>
      <c r="D554" s="829"/>
      <c r="E554" s="830"/>
      <c r="F554" s="868">
        <f>SUM(E501:E553)</f>
        <v>2766261.1100000003</v>
      </c>
      <c r="H554" s="831">
        <f>'Sched-B1'!B14+'Sched-B2'!E190+'Sched-D1'!F554-14132198.05-1044054.02</f>
        <v>-218680.62000000151</v>
      </c>
    </row>
    <row r="555" spans="1:8" ht="12.75" customHeight="1" x14ac:dyDescent="0.2">
      <c r="A555" s="808" t="s">
        <v>81</v>
      </c>
      <c r="B555" s="809" t="s">
        <v>50</v>
      </c>
      <c r="C555" s="810"/>
      <c r="D555" s="811"/>
      <c r="E555" s="812">
        <v>31263.69</v>
      </c>
      <c r="F555" s="813"/>
    </row>
    <row r="556" spans="1:8" ht="12.75" customHeight="1" x14ac:dyDescent="0.2">
      <c r="A556" s="541"/>
      <c r="B556" s="858" t="s">
        <v>680</v>
      </c>
      <c r="C556" s="814"/>
      <c r="D556" s="815">
        <f>230520.18-75586.18</f>
        <v>154934</v>
      </c>
      <c r="E556" s="862">
        <f>SUM(D556:D593)</f>
        <v>639469.02</v>
      </c>
      <c r="F556" s="816"/>
      <c r="H556" s="818"/>
    </row>
    <row r="557" spans="1:8" ht="12.75" customHeight="1" x14ac:dyDescent="0.2">
      <c r="A557" s="541"/>
      <c r="B557" s="875" t="s">
        <v>246</v>
      </c>
      <c r="C557" s="627"/>
      <c r="D557" s="871">
        <v>-42664.97</v>
      </c>
      <c r="E557" s="815"/>
      <c r="F557" s="816"/>
      <c r="H557" s="803" t="s">
        <v>953</v>
      </c>
    </row>
    <row r="558" spans="1:8" ht="12.75" customHeight="1" x14ac:dyDescent="0.2">
      <c r="A558" s="541"/>
      <c r="B558" s="860" t="s">
        <v>681</v>
      </c>
      <c r="C558" s="814"/>
      <c r="D558" s="815"/>
      <c r="E558" s="815"/>
      <c r="F558" s="816"/>
      <c r="G558" s="861" t="s">
        <v>708</v>
      </c>
      <c r="H558" s="818"/>
    </row>
    <row r="559" spans="1:8" ht="12.75" customHeight="1" x14ac:dyDescent="0.2">
      <c r="A559" s="541"/>
      <c r="B559" s="860" t="s">
        <v>682</v>
      </c>
      <c r="C559" s="814"/>
      <c r="D559" s="815"/>
      <c r="E559" s="815"/>
      <c r="F559" s="816"/>
      <c r="G559" s="861" t="s">
        <v>709</v>
      </c>
    </row>
    <row r="560" spans="1:8" ht="12.75" customHeight="1" x14ac:dyDescent="0.2">
      <c r="A560" s="541"/>
      <c r="B560" s="860" t="s">
        <v>683</v>
      </c>
      <c r="C560" s="814"/>
      <c r="D560" s="815"/>
      <c r="E560" s="815"/>
      <c r="F560" s="816"/>
      <c r="G560" s="861" t="s">
        <v>710</v>
      </c>
    </row>
    <row r="561" spans="1:7" ht="12.75" customHeight="1" x14ac:dyDescent="0.2">
      <c r="A561" s="541"/>
      <c r="B561" s="860" t="s">
        <v>752</v>
      </c>
      <c r="C561" s="814"/>
      <c r="D561" s="815"/>
      <c r="E561" s="815"/>
      <c r="F561" s="816"/>
      <c r="G561" s="861">
        <v>3014</v>
      </c>
    </row>
    <row r="562" spans="1:7" ht="12.75" customHeight="1" x14ac:dyDescent="0.2">
      <c r="A562" s="541"/>
      <c r="B562" s="860" t="s">
        <v>684</v>
      </c>
      <c r="C562" s="814"/>
      <c r="D562" s="815"/>
      <c r="E562" s="815"/>
      <c r="F562" s="816"/>
      <c r="G562" s="861" t="s">
        <v>711</v>
      </c>
    </row>
    <row r="563" spans="1:7" ht="12.75" customHeight="1" x14ac:dyDescent="0.2">
      <c r="A563" s="541"/>
      <c r="B563" s="860" t="s">
        <v>685</v>
      </c>
      <c r="C563" s="814"/>
      <c r="D563" s="815"/>
      <c r="E563" s="815"/>
      <c r="F563" s="816"/>
      <c r="G563" s="861" t="s">
        <v>712</v>
      </c>
    </row>
    <row r="564" spans="1:7" ht="12.75" customHeight="1" x14ac:dyDescent="0.2">
      <c r="A564" s="541"/>
      <c r="B564" s="860" t="s">
        <v>762</v>
      </c>
      <c r="C564" s="814"/>
      <c r="D564" s="815"/>
      <c r="E564" s="815"/>
      <c r="F564" s="816"/>
      <c r="G564" s="861">
        <v>3028</v>
      </c>
    </row>
    <row r="565" spans="1:7" ht="12.75" customHeight="1" x14ac:dyDescent="0.2">
      <c r="A565" s="541"/>
      <c r="B565" s="870" t="s">
        <v>51</v>
      </c>
      <c r="C565" s="814"/>
      <c r="D565" s="815">
        <v>527199.99</v>
      </c>
      <c r="E565" s="815"/>
      <c r="F565" s="816"/>
      <c r="G565" s="861"/>
    </row>
    <row r="566" spans="1:7" ht="12.75" customHeight="1" x14ac:dyDescent="0.2">
      <c r="A566" s="541"/>
      <c r="B566" s="860" t="s">
        <v>745</v>
      </c>
      <c r="C566" s="814"/>
      <c r="D566" s="815"/>
      <c r="E566" s="815"/>
      <c r="F566" s="816"/>
      <c r="G566" s="861">
        <v>3031</v>
      </c>
    </row>
    <row r="567" spans="1:7" ht="12.75" customHeight="1" x14ac:dyDescent="0.2">
      <c r="A567" s="541"/>
      <c r="B567" s="860" t="s">
        <v>686</v>
      </c>
      <c r="C567" s="814"/>
      <c r="D567" s="815"/>
      <c r="E567" s="815"/>
      <c r="F567" s="816"/>
      <c r="G567" s="861" t="s">
        <v>713</v>
      </c>
    </row>
    <row r="568" spans="1:7" ht="12.75" customHeight="1" x14ac:dyDescent="0.2">
      <c r="A568" s="541"/>
      <c r="B568" s="860" t="s">
        <v>687</v>
      </c>
      <c r="C568" s="814"/>
      <c r="D568" s="815"/>
      <c r="E568" s="815"/>
      <c r="F568" s="816"/>
      <c r="G568" s="861" t="s">
        <v>714</v>
      </c>
    </row>
    <row r="569" spans="1:7" ht="12.75" customHeight="1" x14ac:dyDescent="0.2">
      <c r="A569" s="541"/>
      <c r="B569" s="860" t="s">
        <v>737</v>
      </c>
      <c r="C569" s="814"/>
      <c r="D569" s="815"/>
      <c r="E569" s="815"/>
      <c r="F569" s="816"/>
      <c r="G569" s="861">
        <v>3034</v>
      </c>
    </row>
    <row r="570" spans="1:7" ht="12.75" customHeight="1" x14ac:dyDescent="0.2">
      <c r="A570" s="541"/>
      <c r="B570" s="860" t="s">
        <v>688</v>
      </c>
      <c r="C570" s="814"/>
      <c r="D570" s="815"/>
      <c r="E570" s="815"/>
      <c r="F570" s="816"/>
      <c r="G570" s="861" t="s">
        <v>715</v>
      </c>
    </row>
    <row r="571" spans="1:7" ht="12.75" customHeight="1" x14ac:dyDescent="0.2">
      <c r="A571" s="541"/>
      <c r="B571" s="860" t="s">
        <v>689</v>
      </c>
      <c r="C571" s="814"/>
      <c r="D571" s="815"/>
      <c r="E571" s="815"/>
      <c r="F571" s="816"/>
      <c r="G571" s="861" t="s">
        <v>716</v>
      </c>
    </row>
    <row r="572" spans="1:7" ht="12.75" customHeight="1" x14ac:dyDescent="0.2">
      <c r="A572" s="541"/>
      <c r="B572" s="860" t="s">
        <v>690</v>
      </c>
      <c r="C572" s="814"/>
      <c r="D572" s="815"/>
      <c r="E572" s="815"/>
      <c r="F572" s="816"/>
      <c r="G572" s="861" t="s">
        <v>717</v>
      </c>
    </row>
    <row r="573" spans="1:7" ht="12.75" customHeight="1" x14ac:dyDescent="0.2">
      <c r="A573" s="541"/>
      <c r="B573" s="860" t="s">
        <v>691</v>
      </c>
      <c r="C573" s="814"/>
      <c r="D573" s="815"/>
      <c r="E573" s="815"/>
      <c r="F573" s="816"/>
      <c r="G573" s="861" t="s">
        <v>718</v>
      </c>
    </row>
    <row r="574" spans="1:7" ht="12.75" customHeight="1" x14ac:dyDescent="0.2">
      <c r="A574" s="541"/>
      <c r="B574" s="860" t="s">
        <v>692</v>
      </c>
      <c r="C574" s="814"/>
      <c r="D574" s="815">
        <v>0</v>
      </c>
      <c r="E574" s="815"/>
      <c r="F574" s="816"/>
      <c r="G574" s="861" t="s">
        <v>719</v>
      </c>
    </row>
    <row r="575" spans="1:7" ht="12.75" customHeight="1" x14ac:dyDescent="0.2">
      <c r="A575" s="541"/>
      <c r="B575" s="860" t="s">
        <v>693</v>
      </c>
      <c r="C575" s="814"/>
      <c r="D575" s="815">
        <v>0</v>
      </c>
      <c r="E575" s="815"/>
      <c r="F575" s="816"/>
      <c r="G575" s="861" t="s">
        <v>720</v>
      </c>
    </row>
    <row r="576" spans="1:7" ht="12.75" customHeight="1" x14ac:dyDescent="0.2">
      <c r="A576" s="541"/>
      <c r="B576" s="860" t="s">
        <v>694</v>
      </c>
      <c r="C576" s="814"/>
      <c r="D576" s="815"/>
      <c r="E576" s="815"/>
      <c r="F576" s="816"/>
      <c r="G576" s="861" t="s">
        <v>721</v>
      </c>
    </row>
    <row r="577" spans="1:8" ht="12.75" customHeight="1" x14ac:dyDescent="0.2">
      <c r="A577" s="541"/>
      <c r="B577" s="860" t="s">
        <v>695</v>
      </c>
      <c r="C577" s="814"/>
      <c r="D577" s="815"/>
      <c r="E577" s="815"/>
      <c r="F577" s="816"/>
      <c r="G577" s="861" t="s">
        <v>722</v>
      </c>
    </row>
    <row r="578" spans="1:8" ht="12.75" customHeight="1" x14ac:dyDescent="0.2">
      <c r="A578" s="541"/>
      <c r="B578" s="860" t="s">
        <v>696</v>
      </c>
      <c r="C578" s="814"/>
      <c r="D578" s="815"/>
      <c r="E578" s="815"/>
      <c r="F578" s="816"/>
      <c r="G578" s="861" t="s">
        <v>723</v>
      </c>
    </row>
    <row r="579" spans="1:8" ht="12.75" customHeight="1" x14ac:dyDescent="0.2">
      <c r="A579" s="541"/>
      <c r="B579" s="860" t="s">
        <v>738</v>
      </c>
      <c r="C579" s="814"/>
      <c r="D579" s="815"/>
      <c r="E579" s="815"/>
      <c r="F579" s="816"/>
      <c r="G579" s="861">
        <v>3048</v>
      </c>
    </row>
    <row r="580" spans="1:8" ht="12.75" customHeight="1" x14ac:dyDescent="0.2">
      <c r="A580" s="541"/>
      <c r="B580" s="860" t="s">
        <v>697</v>
      </c>
      <c r="C580" s="814"/>
      <c r="D580" s="815"/>
      <c r="E580" s="815"/>
      <c r="F580" s="816"/>
      <c r="G580" s="861" t="s">
        <v>724</v>
      </c>
    </row>
    <row r="581" spans="1:8" ht="12.75" customHeight="1" x14ac:dyDescent="0.2">
      <c r="A581" s="541"/>
      <c r="B581" s="860" t="s">
        <v>698</v>
      </c>
      <c r="C581" s="814"/>
      <c r="D581" s="815"/>
      <c r="E581" s="815"/>
      <c r="F581" s="816"/>
      <c r="G581" s="861" t="s">
        <v>725</v>
      </c>
    </row>
    <row r="582" spans="1:8" ht="12.75" customHeight="1" x14ac:dyDescent="0.2">
      <c r="A582" s="541"/>
      <c r="B582" s="860" t="s">
        <v>759</v>
      </c>
      <c r="C582" s="814"/>
      <c r="D582" s="815"/>
      <c r="E582" s="815"/>
      <c r="F582" s="816"/>
      <c r="G582" s="861">
        <v>3052</v>
      </c>
    </row>
    <row r="583" spans="1:8" ht="12.75" customHeight="1" x14ac:dyDescent="0.2">
      <c r="A583" s="541"/>
      <c r="B583" s="860" t="s">
        <v>699</v>
      </c>
      <c r="C583" s="814"/>
      <c r="D583" s="815"/>
      <c r="E583" s="815"/>
      <c r="F583" s="816"/>
      <c r="G583" s="861" t="s">
        <v>726</v>
      </c>
    </row>
    <row r="584" spans="1:8" ht="12.75" customHeight="1" x14ac:dyDescent="0.2">
      <c r="A584" s="541"/>
      <c r="B584" s="860" t="s">
        <v>742</v>
      </c>
      <c r="C584" s="814"/>
      <c r="D584" s="815"/>
      <c r="E584" s="815"/>
      <c r="F584" s="816"/>
      <c r="G584" s="861">
        <v>3056</v>
      </c>
    </row>
    <row r="585" spans="1:8" ht="12.75" customHeight="1" x14ac:dyDescent="0.2">
      <c r="A585" s="541"/>
      <c r="B585" s="860" t="s">
        <v>700</v>
      </c>
      <c r="C585" s="814"/>
      <c r="D585" s="815"/>
      <c r="E585" s="815"/>
      <c r="F585" s="816"/>
      <c r="G585" s="861" t="s">
        <v>727</v>
      </c>
    </row>
    <row r="586" spans="1:8" ht="12.75" customHeight="1" x14ac:dyDescent="0.2">
      <c r="A586" s="541"/>
      <c r="B586" s="860" t="s">
        <v>701</v>
      </c>
      <c r="C586" s="814"/>
      <c r="D586" s="815"/>
      <c r="E586" s="815"/>
      <c r="F586" s="816"/>
      <c r="G586" s="861" t="s">
        <v>728</v>
      </c>
    </row>
    <row r="587" spans="1:8" ht="12.75" customHeight="1" x14ac:dyDescent="0.2">
      <c r="A587" s="541"/>
      <c r="B587" s="860" t="s">
        <v>702</v>
      </c>
      <c r="C587" s="814"/>
      <c r="D587" s="815"/>
      <c r="E587" s="815"/>
      <c r="F587" s="816"/>
      <c r="G587" s="861" t="s">
        <v>729</v>
      </c>
    </row>
    <row r="588" spans="1:8" ht="12.75" customHeight="1" x14ac:dyDescent="0.2">
      <c r="A588" s="541"/>
      <c r="B588" s="860" t="s">
        <v>739</v>
      </c>
      <c r="C588" s="814"/>
      <c r="D588" s="815">
        <v>0</v>
      </c>
      <c r="E588" s="815"/>
      <c r="F588" s="816"/>
      <c r="G588" s="861">
        <v>3061</v>
      </c>
    </row>
    <row r="589" spans="1:8" ht="12.75" customHeight="1" x14ac:dyDescent="0.2">
      <c r="A589" s="541"/>
      <c r="B589" s="860" t="s">
        <v>703</v>
      </c>
      <c r="C589" s="814"/>
      <c r="D589" s="815">
        <v>0</v>
      </c>
      <c r="E589" s="815"/>
      <c r="F589" s="816"/>
      <c r="G589" s="861" t="s">
        <v>730</v>
      </c>
    </row>
    <row r="590" spans="1:8" ht="12.75" customHeight="1" x14ac:dyDescent="0.2">
      <c r="A590" s="541"/>
      <c r="B590" s="860" t="s">
        <v>704</v>
      </c>
      <c r="C590" s="814"/>
      <c r="D590" s="815"/>
      <c r="E590" s="815"/>
      <c r="F590" s="816"/>
      <c r="G590" s="861" t="s">
        <v>731</v>
      </c>
    </row>
    <row r="591" spans="1:8" ht="12.75" customHeight="1" x14ac:dyDescent="0.2">
      <c r="A591" s="541"/>
      <c r="B591" s="860" t="s">
        <v>705</v>
      </c>
      <c r="C591" s="814"/>
      <c r="D591" s="815"/>
      <c r="E591" s="815"/>
      <c r="F591" s="816"/>
      <c r="G591" s="861" t="s">
        <v>732</v>
      </c>
      <c r="H591" s="818"/>
    </row>
    <row r="592" spans="1:8" ht="12.75" customHeight="1" x14ac:dyDescent="0.2">
      <c r="A592" s="541"/>
      <c r="B592" s="860" t="s">
        <v>706</v>
      </c>
      <c r="C592" s="814"/>
      <c r="D592" s="815"/>
      <c r="E592" s="815"/>
      <c r="F592" s="816"/>
      <c r="G592" s="861" t="s">
        <v>733</v>
      </c>
    </row>
    <row r="593" spans="1:8" ht="12.75" customHeight="1" x14ac:dyDescent="0.2">
      <c r="A593" s="541"/>
      <c r="B593" s="860" t="s">
        <v>707</v>
      </c>
      <c r="C593" s="814"/>
      <c r="D593" s="815"/>
      <c r="E593" s="815"/>
      <c r="F593" s="816"/>
      <c r="G593" s="861" t="s">
        <v>734</v>
      </c>
      <c r="H593" s="818"/>
    </row>
    <row r="594" spans="1:8" ht="12.75" customHeight="1" x14ac:dyDescent="0.2">
      <c r="A594" s="541"/>
      <c r="B594" s="863" t="s">
        <v>319</v>
      </c>
      <c r="C594" s="819"/>
      <c r="D594" s="816">
        <v>74313.06</v>
      </c>
      <c r="E594" s="872">
        <f>SUM(D594)</f>
        <v>74313.06</v>
      </c>
      <c r="F594" s="816"/>
      <c r="G594" s="861">
        <v>3001</v>
      </c>
      <c r="H594" s="818"/>
    </row>
    <row r="595" spans="1:8" ht="12.75" customHeight="1" x14ac:dyDescent="0.2">
      <c r="A595" s="541"/>
      <c r="B595" s="864" t="s">
        <v>465</v>
      </c>
      <c r="C595" s="820"/>
      <c r="D595" s="816"/>
      <c r="E595" s="872">
        <f>SUM(D596:D601)</f>
        <v>692124.30999999994</v>
      </c>
      <c r="F595" s="816"/>
      <c r="H595" s="818"/>
    </row>
    <row r="596" spans="1:8" ht="12.75" customHeight="1" x14ac:dyDescent="0.2">
      <c r="A596" s="541"/>
      <c r="B596" s="817"/>
      <c r="C596" s="819" t="s">
        <v>320</v>
      </c>
      <c r="D596" s="816">
        <v>48535.19</v>
      </c>
      <c r="E596" s="816"/>
      <c r="F596" s="816"/>
      <c r="H596" s="818"/>
    </row>
    <row r="597" spans="1:8" ht="12.75" customHeight="1" x14ac:dyDescent="0.2">
      <c r="A597" s="541"/>
      <c r="B597" s="817"/>
      <c r="C597" s="819" t="s">
        <v>321</v>
      </c>
      <c r="D597" s="815">
        <v>0</v>
      </c>
      <c r="E597" s="815"/>
      <c r="F597" s="816"/>
    </row>
    <row r="598" spans="1:8" ht="12.75" customHeight="1" x14ac:dyDescent="0.2">
      <c r="A598" s="541"/>
      <c r="B598" s="817"/>
      <c r="C598" s="819" t="s">
        <v>322</v>
      </c>
      <c r="D598" s="816">
        <v>557737.93999999994</v>
      </c>
      <c r="E598" s="816"/>
      <c r="F598" s="816"/>
    </row>
    <row r="599" spans="1:8" ht="12.75" customHeight="1" x14ac:dyDescent="0.2">
      <c r="A599" s="541"/>
      <c r="B599" s="817"/>
      <c r="C599" s="819" t="s">
        <v>323</v>
      </c>
      <c r="D599" s="816">
        <v>1215.23</v>
      </c>
      <c r="E599" s="816"/>
      <c r="F599" s="816"/>
    </row>
    <row r="600" spans="1:8" ht="12.75" customHeight="1" x14ac:dyDescent="0.2">
      <c r="A600" s="832"/>
      <c r="B600" s="817"/>
      <c r="C600" s="820" t="s">
        <v>324</v>
      </c>
      <c r="D600" s="816">
        <v>28005.54</v>
      </c>
      <c r="E600" s="816"/>
      <c r="F600" s="816"/>
    </row>
    <row r="601" spans="1:8" ht="12.75" customHeight="1" x14ac:dyDescent="0.2">
      <c r="A601" s="541"/>
      <c r="B601" s="817"/>
      <c r="C601" s="820" t="s">
        <v>131</v>
      </c>
      <c r="D601" s="816">
        <v>56630.41</v>
      </c>
      <c r="E601" s="816"/>
      <c r="F601" s="816"/>
      <c r="G601" s="803">
        <v>4005</v>
      </c>
    </row>
    <row r="602" spans="1:8" ht="12.75" customHeight="1" x14ac:dyDescent="0.2">
      <c r="A602" s="541"/>
      <c r="B602" s="822" t="s">
        <v>325</v>
      </c>
      <c r="C602" s="820"/>
      <c r="D602" s="837"/>
      <c r="E602" s="825"/>
      <c r="F602" s="816"/>
    </row>
    <row r="603" spans="1:8" ht="12.75" customHeight="1" x14ac:dyDescent="0.2">
      <c r="A603" s="541"/>
      <c r="B603" s="866" t="s">
        <v>326</v>
      </c>
      <c r="D603" s="816"/>
      <c r="E603" s="873">
        <f>D603</f>
        <v>0</v>
      </c>
      <c r="F603" s="816"/>
      <c r="H603" s="818"/>
    </row>
    <row r="604" spans="1:8" ht="12.75" customHeight="1" thickBot="1" x14ac:dyDescent="0.25">
      <c r="A604" s="826"/>
      <c r="B604" s="827"/>
      <c r="C604" s="828"/>
      <c r="D604" s="833"/>
      <c r="E604" s="830"/>
      <c r="F604" s="868">
        <f>SUM(E555:E604)</f>
        <v>1437170.08</v>
      </c>
      <c r="H604" s="831">
        <f>'Sched-B1'!B15+'Sched-B2'!E207+'Sched-D1'!F604-7979197.95-527199.99+42664.97</f>
        <v>-75586.179999999207</v>
      </c>
    </row>
    <row r="605" spans="1:8" ht="12.75" customHeight="1" x14ac:dyDescent="0.2">
      <c r="A605" s="808" t="s">
        <v>758</v>
      </c>
      <c r="B605" s="809" t="s">
        <v>50</v>
      </c>
      <c r="C605" s="810"/>
      <c r="D605" s="811"/>
      <c r="E605" s="812">
        <v>0</v>
      </c>
      <c r="F605" s="813"/>
      <c r="G605" s="803">
        <v>2000</v>
      </c>
    </row>
    <row r="606" spans="1:8" ht="12.75" customHeight="1" x14ac:dyDescent="0.2">
      <c r="A606" s="541"/>
      <c r="B606" s="858" t="s">
        <v>680</v>
      </c>
      <c r="C606" s="814"/>
      <c r="D606" s="815"/>
      <c r="E606" s="862">
        <f>SUM(D607:D647)</f>
        <v>210708.57</v>
      </c>
      <c r="F606" s="816"/>
    </row>
    <row r="607" spans="1:8" ht="12.75" customHeight="1" x14ac:dyDescent="0.2">
      <c r="A607" s="541"/>
      <c r="B607" s="860" t="s">
        <v>681</v>
      </c>
      <c r="C607" s="814"/>
      <c r="D607" s="815"/>
      <c r="E607" s="815"/>
      <c r="F607" s="816"/>
      <c r="G607" s="861" t="s">
        <v>708</v>
      </c>
    </row>
    <row r="608" spans="1:8" ht="12.75" customHeight="1" x14ac:dyDescent="0.2">
      <c r="A608" s="541"/>
      <c r="B608" s="860" t="s">
        <v>682</v>
      </c>
      <c r="C608" s="814"/>
      <c r="D608" s="815"/>
      <c r="E608" s="815"/>
      <c r="F608" s="816"/>
      <c r="G608" s="861" t="s">
        <v>709</v>
      </c>
    </row>
    <row r="609" spans="1:7" ht="12.75" customHeight="1" x14ac:dyDescent="0.2">
      <c r="A609" s="541"/>
      <c r="B609" s="860" t="s">
        <v>740</v>
      </c>
      <c r="C609" s="814"/>
      <c r="D609" s="815"/>
      <c r="E609" s="815"/>
      <c r="F609" s="816"/>
      <c r="G609" s="861">
        <v>3003</v>
      </c>
    </row>
    <row r="610" spans="1:7" ht="12.75" customHeight="1" x14ac:dyDescent="0.2">
      <c r="A610" s="541"/>
      <c r="B610" s="860" t="s">
        <v>683</v>
      </c>
      <c r="C610" s="814"/>
      <c r="D610" s="815"/>
      <c r="E610" s="815"/>
      <c r="F610" s="816"/>
      <c r="G610" s="861" t="s">
        <v>710</v>
      </c>
    </row>
    <row r="611" spans="1:7" ht="12.75" customHeight="1" x14ac:dyDescent="0.2">
      <c r="A611" s="541"/>
      <c r="B611" s="860" t="s">
        <v>752</v>
      </c>
      <c r="C611" s="814"/>
      <c r="D611" s="815"/>
      <c r="E611" s="815"/>
      <c r="F611" s="816"/>
      <c r="G611" s="861">
        <v>3014</v>
      </c>
    </row>
    <row r="612" spans="1:7" ht="12.75" customHeight="1" x14ac:dyDescent="0.2">
      <c r="A612" s="541"/>
      <c r="B612" s="860" t="s">
        <v>684</v>
      </c>
      <c r="C612" s="814"/>
      <c r="D612" s="815"/>
      <c r="E612" s="815"/>
      <c r="F612" s="816"/>
      <c r="G612" s="861" t="s">
        <v>711</v>
      </c>
    </row>
    <row r="613" spans="1:7" ht="12.75" customHeight="1" x14ac:dyDescent="0.2">
      <c r="A613" s="541"/>
      <c r="B613" s="860" t="s">
        <v>685</v>
      </c>
      <c r="C613" s="814"/>
      <c r="D613" s="815"/>
      <c r="E613" s="815"/>
      <c r="F613" s="816"/>
      <c r="G613" s="861" t="s">
        <v>712</v>
      </c>
    </row>
    <row r="614" spans="1:7" ht="12.75" customHeight="1" x14ac:dyDescent="0.2">
      <c r="A614" s="541"/>
      <c r="B614" s="870" t="s">
        <v>51</v>
      </c>
      <c r="C614" s="814"/>
      <c r="D614" s="815">
        <f>284563.77-73855.2</f>
        <v>210708.57</v>
      </c>
      <c r="E614" s="815"/>
      <c r="F614" s="816"/>
      <c r="G614" s="861"/>
    </row>
    <row r="615" spans="1:7" ht="12.75" customHeight="1" x14ac:dyDescent="0.2">
      <c r="A615" s="541"/>
      <c r="B615" s="860" t="s">
        <v>756</v>
      </c>
      <c r="C615" s="814"/>
      <c r="D615" s="815"/>
      <c r="E615" s="815"/>
      <c r="F615" s="816"/>
      <c r="G615" s="861">
        <v>3027</v>
      </c>
    </row>
    <row r="616" spans="1:7" ht="12.75" customHeight="1" x14ac:dyDescent="0.2">
      <c r="A616" s="541"/>
      <c r="B616" s="860" t="s">
        <v>745</v>
      </c>
      <c r="C616" s="814"/>
      <c r="D616" s="815"/>
      <c r="E616" s="815"/>
      <c r="F616" s="816"/>
      <c r="G616" s="861">
        <v>3029</v>
      </c>
    </row>
    <row r="617" spans="1:7" ht="12.75" customHeight="1" x14ac:dyDescent="0.2">
      <c r="A617" s="541"/>
      <c r="B617" s="860" t="s">
        <v>686</v>
      </c>
      <c r="C617" s="814"/>
      <c r="D617" s="815"/>
      <c r="E617" s="815"/>
      <c r="F617" s="816"/>
      <c r="G617" s="861" t="s">
        <v>713</v>
      </c>
    </row>
    <row r="618" spans="1:7" ht="12.75" customHeight="1" x14ac:dyDescent="0.2">
      <c r="A618" s="541"/>
      <c r="B618" s="860" t="s">
        <v>687</v>
      </c>
      <c r="C618" s="814"/>
      <c r="D618" s="815"/>
      <c r="E618" s="815"/>
      <c r="F618" s="816"/>
      <c r="G618" s="861" t="s">
        <v>714</v>
      </c>
    </row>
    <row r="619" spans="1:7" ht="12.75" customHeight="1" x14ac:dyDescent="0.2">
      <c r="A619" s="541"/>
      <c r="B619" s="860" t="s">
        <v>737</v>
      </c>
      <c r="C619" s="814"/>
      <c r="D619" s="815"/>
      <c r="E619" s="815"/>
      <c r="F619" s="816"/>
      <c r="G619" s="861">
        <v>3034</v>
      </c>
    </row>
    <row r="620" spans="1:7" ht="12.75" customHeight="1" x14ac:dyDescent="0.2">
      <c r="A620" s="541"/>
      <c r="B620" s="860" t="s">
        <v>688</v>
      </c>
      <c r="C620" s="814"/>
      <c r="D620" s="815"/>
      <c r="E620" s="815"/>
      <c r="F620" s="816"/>
      <c r="G620" s="861" t="s">
        <v>715</v>
      </c>
    </row>
    <row r="621" spans="1:7" ht="12.75" customHeight="1" x14ac:dyDescent="0.2">
      <c r="A621" s="541"/>
      <c r="B621" s="860" t="s">
        <v>689</v>
      </c>
      <c r="C621" s="814"/>
      <c r="D621" s="815"/>
      <c r="E621" s="815"/>
      <c r="F621" s="816"/>
      <c r="G621" s="861" t="s">
        <v>716</v>
      </c>
    </row>
    <row r="622" spans="1:7" ht="12.75" customHeight="1" x14ac:dyDescent="0.2">
      <c r="A622" s="541"/>
      <c r="B622" s="860" t="s">
        <v>690</v>
      </c>
      <c r="C622" s="814"/>
      <c r="D622" s="815"/>
      <c r="E622" s="815"/>
      <c r="F622" s="816"/>
      <c r="G622" s="861" t="s">
        <v>717</v>
      </c>
    </row>
    <row r="623" spans="1:7" ht="12.75" customHeight="1" x14ac:dyDescent="0.2">
      <c r="A623" s="541"/>
      <c r="B623" s="860" t="s">
        <v>691</v>
      </c>
      <c r="C623" s="814"/>
      <c r="D623" s="815"/>
      <c r="E623" s="815"/>
      <c r="F623" s="816"/>
      <c r="G623" s="861" t="s">
        <v>718</v>
      </c>
    </row>
    <row r="624" spans="1:7" ht="12.75" customHeight="1" x14ac:dyDescent="0.2">
      <c r="A624" s="541"/>
      <c r="B624" s="860" t="s">
        <v>692</v>
      </c>
      <c r="C624" s="814"/>
      <c r="D624" s="815"/>
      <c r="E624" s="815"/>
      <c r="F624" s="816"/>
      <c r="G624" s="861" t="s">
        <v>719</v>
      </c>
    </row>
    <row r="625" spans="1:7" ht="12.75" customHeight="1" x14ac:dyDescent="0.2">
      <c r="A625" s="541"/>
      <c r="B625" s="860" t="s">
        <v>693</v>
      </c>
      <c r="C625" s="814"/>
      <c r="D625" s="815"/>
      <c r="E625" s="815"/>
      <c r="F625" s="816"/>
      <c r="G625" s="861" t="s">
        <v>720</v>
      </c>
    </row>
    <row r="626" spans="1:7" ht="12.75" customHeight="1" x14ac:dyDescent="0.2">
      <c r="A626" s="541"/>
      <c r="B626" s="860" t="s">
        <v>747</v>
      </c>
      <c r="C626" s="814"/>
      <c r="D626" s="815"/>
      <c r="E626" s="815"/>
      <c r="F626" s="816"/>
      <c r="G626" s="861">
        <v>3042</v>
      </c>
    </row>
    <row r="627" spans="1:7" ht="12.75" customHeight="1" x14ac:dyDescent="0.2">
      <c r="A627" s="541"/>
      <c r="B627" s="860" t="s">
        <v>694</v>
      </c>
      <c r="C627" s="814"/>
      <c r="D627" s="815"/>
      <c r="E627" s="815"/>
      <c r="F627" s="816"/>
      <c r="G627" s="861" t="s">
        <v>721</v>
      </c>
    </row>
    <row r="628" spans="1:7" ht="12.75" customHeight="1" x14ac:dyDescent="0.2">
      <c r="A628" s="541"/>
      <c r="B628" s="860" t="s">
        <v>695</v>
      </c>
      <c r="C628" s="814"/>
      <c r="D628" s="815"/>
      <c r="E628" s="815"/>
      <c r="F628" s="816"/>
      <c r="G628" s="861" t="s">
        <v>722</v>
      </c>
    </row>
    <row r="629" spans="1:7" ht="12.75" customHeight="1" x14ac:dyDescent="0.2">
      <c r="A629" s="541"/>
      <c r="B629" s="860" t="s">
        <v>696</v>
      </c>
      <c r="C629" s="814"/>
      <c r="D629" s="815"/>
      <c r="E629" s="815"/>
      <c r="F629" s="816"/>
      <c r="G629" s="861" t="s">
        <v>723</v>
      </c>
    </row>
    <row r="630" spans="1:7" ht="12.75" customHeight="1" x14ac:dyDescent="0.2">
      <c r="A630" s="541"/>
      <c r="B630" s="860" t="s">
        <v>738</v>
      </c>
      <c r="C630" s="814"/>
      <c r="D630" s="815"/>
      <c r="E630" s="815"/>
      <c r="F630" s="816"/>
      <c r="G630" s="861">
        <v>3048</v>
      </c>
    </row>
    <row r="631" spans="1:7" ht="12.75" customHeight="1" x14ac:dyDescent="0.2">
      <c r="A631" s="541"/>
      <c r="B631" s="860" t="s">
        <v>697</v>
      </c>
      <c r="C631" s="814"/>
      <c r="D631" s="815"/>
      <c r="E631" s="815"/>
      <c r="F631" s="816"/>
      <c r="G631" s="861" t="s">
        <v>724</v>
      </c>
    </row>
    <row r="632" spans="1:7" ht="12.75" customHeight="1" x14ac:dyDescent="0.2">
      <c r="A632" s="541"/>
      <c r="B632" s="860" t="s">
        <v>698</v>
      </c>
      <c r="C632" s="814"/>
      <c r="D632" s="815"/>
      <c r="E632" s="815"/>
      <c r="F632" s="816"/>
      <c r="G632" s="861" t="s">
        <v>725</v>
      </c>
    </row>
    <row r="633" spans="1:7" ht="12.75" customHeight="1" x14ac:dyDescent="0.2">
      <c r="A633" s="541"/>
      <c r="B633" s="860" t="s">
        <v>741</v>
      </c>
      <c r="C633" s="814"/>
      <c r="D633" s="815"/>
      <c r="E633" s="815"/>
      <c r="F633" s="816"/>
      <c r="G633" s="861">
        <v>3051</v>
      </c>
    </row>
    <row r="634" spans="1:7" ht="12.75" customHeight="1" x14ac:dyDescent="0.2">
      <c r="A634" s="541"/>
      <c r="B634" s="860" t="s">
        <v>699</v>
      </c>
      <c r="C634" s="814"/>
      <c r="D634" s="815"/>
      <c r="E634" s="815"/>
      <c r="F634" s="816"/>
      <c r="G634" s="861" t="s">
        <v>726</v>
      </c>
    </row>
    <row r="635" spans="1:7" ht="12.75" customHeight="1" x14ac:dyDescent="0.2">
      <c r="A635" s="541"/>
      <c r="B635" s="860" t="s">
        <v>742</v>
      </c>
      <c r="C635" s="814"/>
      <c r="D635" s="815">
        <v>0</v>
      </c>
      <c r="E635" s="815"/>
      <c r="F635" s="816"/>
      <c r="G635" s="861">
        <v>3056</v>
      </c>
    </row>
    <row r="636" spans="1:7" ht="12.75" customHeight="1" x14ac:dyDescent="0.2">
      <c r="A636" s="541"/>
      <c r="B636" s="860" t="s">
        <v>700</v>
      </c>
      <c r="C636" s="814"/>
      <c r="D636" s="815">
        <v>0</v>
      </c>
      <c r="E636" s="815"/>
      <c r="F636" s="816"/>
      <c r="G636" s="861">
        <v>3057</v>
      </c>
    </row>
    <row r="637" spans="1:7" ht="12.75" customHeight="1" x14ac:dyDescent="0.2">
      <c r="A637" s="541"/>
      <c r="B637" s="860" t="s">
        <v>701</v>
      </c>
      <c r="C637" s="814"/>
      <c r="D637" s="815">
        <v>0</v>
      </c>
      <c r="E637" s="815"/>
      <c r="F637" s="816"/>
      <c r="G637" s="861" t="s">
        <v>728</v>
      </c>
    </row>
    <row r="638" spans="1:7" ht="12.75" customHeight="1" x14ac:dyDescent="0.2">
      <c r="A638" s="541"/>
      <c r="B638" s="860" t="s">
        <v>702</v>
      </c>
      <c r="C638" s="814"/>
      <c r="D638" s="815">
        <v>0</v>
      </c>
      <c r="E638" s="815"/>
      <c r="F638" s="816"/>
      <c r="G638" s="861" t="s">
        <v>729</v>
      </c>
    </row>
    <row r="639" spans="1:7" ht="12.75" customHeight="1" x14ac:dyDescent="0.2">
      <c r="A639" s="541"/>
      <c r="B639" s="860" t="s">
        <v>739</v>
      </c>
      <c r="C639" s="814"/>
      <c r="D639" s="815"/>
      <c r="E639" s="815"/>
      <c r="F639" s="816"/>
      <c r="G639" s="861">
        <v>3061</v>
      </c>
    </row>
    <row r="640" spans="1:7" ht="12.75" customHeight="1" x14ac:dyDescent="0.2">
      <c r="A640" s="541"/>
      <c r="B640" s="860" t="s">
        <v>748</v>
      </c>
      <c r="C640" s="814"/>
      <c r="D640" s="815"/>
      <c r="E640" s="815"/>
      <c r="F640" s="816"/>
      <c r="G640" s="861">
        <v>3063</v>
      </c>
    </row>
    <row r="641" spans="1:8" ht="12.75" customHeight="1" x14ac:dyDescent="0.2">
      <c r="A641" s="541"/>
      <c r="B641" s="860" t="s">
        <v>703</v>
      </c>
      <c r="C641" s="814"/>
      <c r="D641" s="815"/>
      <c r="E641" s="815"/>
      <c r="F641" s="816"/>
      <c r="G641" s="861" t="s">
        <v>730</v>
      </c>
    </row>
    <row r="642" spans="1:8" ht="12.75" customHeight="1" x14ac:dyDescent="0.2">
      <c r="A642" s="541"/>
      <c r="B642" s="860" t="s">
        <v>753</v>
      </c>
      <c r="C642" s="814"/>
      <c r="D642" s="815"/>
      <c r="E642" s="815"/>
      <c r="F642" s="816"/>
      <c r="G642" s="861">
        <v>3065</v>
      </c>
    </row>
    <row r="643" spans="1:8" ht="12.75" customHeight="1" x14ac:dyDescent="0.2">
      <c r="A643" s="541"/>
      <c r="B643" s="860" t="s">
        <v>704</v>
      </c>
      <c r="C643" s="814"/>
      <c r="D643" s="815"/>
      <c r="E643" s="815"/>
      <c r="F643" s="816"/>
      <c r="G643" s="861">
        <v>3066</v>
      </c>
    </row>
    <row r="644" spans="1:8" ht="12.75" customHeight="1" x14ac:dyDescent="0.2">
      <c r="A644" s="541"/>
      <c r="B644" s="860" t="s">
        <v>705</v>
      </c>
      <c r="C644" s="814"/>
      <c r="D644" s="815"/>
      <c r="E644" s="815"/>
      <c r="F644" s="816"/>
      <c r="G644" s="861" t="s">
        <v>732</v>
      </c>
      <c r="H644" s="818"/>
    </row>
    <row r="645" spans="1:8" ht="12.75" customHeight="1" x14ac:dyDescent="0.2">
      <c r="A645" s="541"/>
      <c r="B645" s="860" t="s">
        <v>706</v>
      </c>
      <c r="C645" s="814"/>
      <c r="D645" s="815"/>
      <c r="E645" s="815"/>
      <c r="F645" s="816"/>
      <c r="G645" s="861">
        <v>3068</v>
      </c>
      <c r="H645" s="818"/>
    </row>
    <row r="646" spans="1:8" ht="12.75" customHeight="1" x14ac:dyDescent="0.2">
      <c r="A646" s="541"/>
      <c r="B646" s="860" t="s">
        <v>707</v>
      </c>
      <c r="C646" s="814"/>
      <c r="D646" s="815"/>
      <c r="E646" s="815"/>
      <c r="F646" s="816"/>
      <c r="G646" s="861">
        <v>3069</v>
      </c>
      <c r="H646" s="818"/>
    </row>
    <row r="647" spans="1:8" ht="12.75" customHeight="1" x14ac:dyDescent="0.2">
      <c r="A647" s="541"/>
      <c r="B647" s="860" t="s">
        <v>743</v>
      </c>
      <c r="C647" s="814"/>
      <c r="D647" s="815"/>
      <c r="E647" s="815"/>
      <c r="F647" s="816"/>
      <c r="G647" s="861">
        <v>3073</v>
      </c>
    </row>
    <row r="648" spans="1:8" ht="12.75" customHeight="1" x14ac:dyDescent="0.2">
      <c r="A648" s="541"/>
      <c r="B648" s="863" t="s">
        <v>319</v>
      </c>
      <c r="D648" s="815"/>
      <c r="E648" s="862">
        <f>SUM(D648)</f>
        <v>0</v>
      </c>
      <c r="F648" s="816"/>
      <c r="G648" s="803">
        <v>3001</v>
      </c>
      <c r="H648" s="818"/>
    </row>
    <row r="649" spans="1:8" ht="12.75" customHeight="1" x14ac:dyDescent="0.2">
      <c r="A649" s="541"/>
      <c r="B649" s="864" t="s">
        <v>465</v>
      </c>
      <c r="C649" s="820"/>
      <c r="D649" s="815"/>
      <c r="E649" s="862">
        <f>SUM(D650:D655)</f>
        <v>0</v>
      </c>
      <c r="F649" s="816"/>
    </row>
    <row r="650" spans="1:8" ht="12.75" customHeight="1" x14ac:dyDescent="0.2">
      <c r="A650" s="541"/>
      <c r="B650" s="817"/>
      <c r="C650" s="819" t="s">
        <v>320</v>
      </c>
      <c r="D650" s="815"/>
      <c r="E650" s="815"/>
      <c r="F650" s="816"/>
      <c r="G650" s="803">
        <v>4000</v>
      </c>
    </row>
    <row r="651" spans="1:8" ht="12.75" customHeight="1" x14ac:dyDescent="0.2">
      <c r="A651" s="541"/>
      <c r="B651" s="817"/>
      <c r="C651" s="819" t="s">
        <v>321</v>
      </c>
      <c r="D651" s="815"/>
      <c r="E651" s="815"/>
      <c r="F651" s="816"/>
      <c r="G651" s="803">
        <v>4001</v>
      </c>
    </row>
    <row r="652" spans="1:8" ht="12.75" customHeight="1" x14ac:dyDescent="0.2">
      <c r="A652" s="541"/>
      <c r="B652" s="817"/>
      <c r="C652" s="819" t="s">
        <v>322</v>
      </c>
      <c r="D652" s="815"/>
      <c r="E652" s="815"/>
      <c r="F652" s="816"/>
    </row>
    <row r="653" spans="1:8" ht="12.75" customHeight="1" x14ac:dyDescent="0.2">
      <c r="A653" s="541"/>
      <c r="B653" s="817"/>
      <c r="C653" s="819" t="s">
        <v>323</v>
      </c>
      <c r="D653" s="815"/>
      <c r="E653" s="815"/>
      <c r="F653" s="816"/>
    </row>
    <row r="654" spans="1:8" ht="12.75" customHeight="1" x14ac:dyDescent="0.2">
      <c r="A654" s="541"/>
      <c r="B654" s="817"/>
      <c r="C654" s="820" t="s">
        <v>324</v>
      </c>
      <c r="D654" s="815"/>
      <c r="E654" s="815"/>
      <c r="F654" s="816"/>
    </row>
    <row r="655" spans="1:8" ht="12.75" customHeight="1" x14ac:dyDescent="0.2">
      <c r="A655" s="541"/>
      <c r="B655" s="817"/>
      <c r="C655" s="820" t="s">
        <v>131</v>
      </c>
      <c r="D655" s="815"/>
      <c r="E655" s="815"/>
      <c r="F655" s="816"/>
    </row>
    <row r="656" spans="1:8" ht="12.75" customHeight="1" x14ac:dyDescent="0.2">
      <c r="A656" s="821"/>
      <c r="B656" s="822" t="s">
        <v>325</v>
      </c>
      <c r="C656" s="867"/>
      <c r="D656" s="815"/>
      <c r="E656" s="824"/>
      <c r="F656" s="825"/>
    </row>
    <row r="657" spans="1:8" ht="12.75" customHeight="1" x14ac:dyDescent="0.2">
      <c r="A657" s="821"/>
      <c r="B657" s="866" t="s">
        <v>326</v>
      </c>
      <c r="D657" s="815">
        <v>0</v>
      </c>
      <c r="E657" s="865">
        <f>D657</f>
        <v>0</v>
      </c>
      <c r="F657" s="825"/>
      <c r="G657" s="803">
        <v>5000</v>
      </c>
    </row>
    <row r="658" spans="1:8" ht="12.75" customHeight="1" thickBot="1" x14ac:dyDescent="0.25">
      <c r="A658" s="826"/>
      <c r="B658" s="827"/>
      <c r="C658" s="828"/>
      <c r="D658" s="829"/>
      <c r="E658" s="830"/>
      <c r="F658" s="868">
        <f>SUM(E605:E657)</f>
        <v>210708.57</v>
      </c>
      <c r="H658" s="831">
        <f>'Sched-B1'!B16+'Sched-B2'!E224+'Sched-D1'!F658-284563.77</f>
        <v>-73855.200000000012</v>
      </c>
    </row>
    <row r="659" spans="1:8" ht="18.75" customHeight="1" thickBot="1" x14ac:dyDescent="0.25">
      <c r="A659" s="844"/>
      <c r="B659" s="845" t="s">
        <v>6</v>
      </c>
      <c r="C659" s="846"/>
      <c r="D659" s="847"/>
      <c r="E659" s="848"/>
      <c r="F659" s="849">
        <f>F658+F604+F554+F500+F446+F397+F344+F295+F241+F190+F138+F89+F44</f>
        <v>32917265.390000001</v>
      </c>
      <c r="H659" s="850"/>
    </row>
    <row r="660" spans="1:8" ht="12.75" customHeight="1" thickTop="1" x14ac:dyDescent="0.2">
      <c r="C660" s="851"/>
      <c r="D660" s="852"/>
      <c r="E660" s="852"/>
      <c r="F660" s="853"/>
    </row>
    <row r="661" spans="1:8" ht="12.75" customHeight="1" x14ac:dyDescent="0.2">
      <c r="A661" s="803" t="s">
        <v>954</v>
      </c>
      <c r="C661" s="851"/>
      <c r="D661" s="852"/>
      <c r="E661" s="852"/>
      <c r="F661" s="853"/>
    </row>
    <row r="662" spans="1:8" x14ac:dyDescent="0.2">
      <c r="C662" s="851"/>
      <c r="D662" s="852"/>
      <c r="E662" s="852"/>
      <c r="F662" s="853"/>
    </row>
    <row r="663" spans="1:8" x14ac:dyDescent="0.2">
      <c r="A663" s="854" t="s">
        <v>757</v>
      </c>
      <c r="C663" s="851"/>
      <c r="D663" s="852"/>
      <c r="E663" s="852"/>
      <c r="F663" s="853">
        <f>F659+'Sched-B1'!E17</f>
        <v>177963493.49000001</v>
      </c>
    </row>
    <row r="664" spans="1:8" x14ac:dyDescent="0.2">
      <c r="C664" s="851"/>
      <c r="D664" s="852"/>
      <c r="E664" s="852"/>
      <c r="F664" s="853"/>
    </row>
    <row r="665" spans="1:8" x14ac:dyDescent="0.2">
      <c r="D665" s="852"/>
      <c r="E665" s="852"/>
      <c r="F665" s="853"/>
      <c r="G665" s="803" t="s">
        <v>634</v>
      </c>
    </row>
    <row r="666" spans="1:8" x14ac:dyDescent="0.2">
      <c r="C666" s="851"/>
      <c r="D666" s="852"/>
      <c r="E666" s="852"/>
      <c r="F666" s="853"/>
      <c r="G666" s="803" t="s">
        <v>635</v>
      </c>
    </row>
    <row r="667" spans="1:8" x14ac:dyDescent="0.2">
      <c r="B667" s="851"/>
      <c r="C667" s="851"/>
      <c r="D667" s="852"/>
      <c r="E667" s="852"/>
      <c r="F667" s="853"/>
      <c r="G667" s="803" t="s">
        <v>636</v>
      </c>
    </row>
    <row r="668" spans="1:8" x14ac:dyDescent="0.2">
      <c r="B668" s="851"/>
      <c r="C668" s="851"/>
      <c r="D668" s="852"/>
      <c r="E668" s="852"/>
      <c r="F668" s="853"/>
      <c r="G668" s="803" t="s">
        <v>637</v>
      </c>
    </row>
    <row r="669" spans="1:8" x14ac:dyDescent="0.2">
      <c r="B669" s="807"/>
      <c r="C669" s="807"/>
      <c r="D669" s="852"/>
      <c r="E669" s="852"/>
      <c r="F669" s="855"/>
      <c r="G669" s="803" t="s">
        <v>638</v>
      </c>
    </row>
    <row r="670" spans="1:8" x14ac:dyDescent="0.2">
      <c r="D670" s="852"/>
      <c r="E670" s="852"/>
      <c r="F670" s="853"/>
      <c r="G670" s="803" t="s">
        <v>639</v>
      </c>
    </row>
    <row r="671" spans="1:8" x14ac:dyDescent="0.2">
      <c r="D671" s="852"/>
      <c r="E671" s="852"/>
      <c r="F671" s="853"/>
      <c r="G671" s="803" t="s">
        <v>640</v>
      </c>
    </row>
    <row r="672" spans="1:8" x14ac:dyDescent="0.2">
      <c r="D672" s="852"/>
      <c r="E672" s="852"/>
      <c r="F672" s="853"/>
      <c r="G672" s="803" t="s">
        <v>641</v>
      </c>
    </row>
    <row r="673" spans="4:7" x14ac:dyDescent="0.2">
      <c r="D673" s="852"/>
      <c r="E673" s="852"/>
      <c r="F673" s="853"/>
      <c r="G673" s="803" t="s">
        <v>642</v>
      </c>
    </row>
    <row r="674" spans="4:7" x14ac:dyDescent="0.2">
      <c r="D674" s="852"/>
      <c r="E674" s="852"/>
      <c r="F674" s="853"/>
      <c r="G674" s="803" t="s">
        <v>643</v>
      </c>
    </row>
    <row r="675" spans="4:7" x14ac:dyDescent="0.2">
      <c r="D675" s="852"/>
      <c r="E675" s="852"/>
      <c r="F675" s="853"/>
      <c r="G675" s="803" t="s">
        <v>644</v>
      </c>
    </row>
    <row r="676" spans="4:7" x14ac:dyDescent="0.2">
      <c r="D676" s="852"/>
      <c r="E676" s="852"/>
      <c r="F676" s="853"/>
      <c r="G676" s="803" t="s">
        <v>645</v>
      </c>
    </row>
    <row r="677" spans="4:7" x14ac:dyDescent="0.2">
      <c r="D677" s="852"/>
      <c r="E677" s="852"/>
      <c r="F677" s="853">
        <f>D10+D53+D98+D147+D199+D251+D307+D354+D407+D457+D510+D565+D614</f>
        <v>11113792.92</v>
      </c>
      <c r="G677" s="803" t="s">
        <v>767</v>
      </c>
    </row>
    <row r="678" spans="4:7" x14ac:dyDescent="0.2">
      <c r="D678" s="852"/>
      <c r="E678" s="852"/>
      <c r="F678" s="853"/>
      <c r="G678" s="803" t="s">
        <v>646</v>
      </c>
    </row>
    <row r="679" spans="4:7" x14ac:dyDescent="0.2">
      <c r="D679" s="852"/>
      <c r="E679" s="852"/>
      <c r="F679" s="853"/>
      <c r="G679" s="803" t="s">
        <v>647</v>
      </c>
    </row>
    <row r="680" spans="4:7" x14ac:dyDescent="0.2">
      <c r="D680" s="852"/>
      <c r="E680" s="852"/>
      <c r="F680" s="853"/>
      <c r="G680" s="803" t="s">
        <v>648</v>
      </c>
    </row>
    <row r="681" spans="4:7" x14ac:dyDescent="0.2">
      <c r="D681" s="852"/>
      <c r="E681" s="852"/>
      <c r="F681" s="853">
        <f>F679+F680</f>
        <v>0</v>
      </c>
    </row>
    <row r="682" spans="4:7" x14ac:dyDescent="0.2">
      <c r="D682" s="852"/>
      <c r="E682" s="852"/>
      <c r="F682" s="853"/>
    </row>
    <row r="683" spans="4:7" x14ac:dyDescent="0.2">
      <c r="D683" s="852"/>
      <c r="E683" s="852"/>
      <c r="F683" s="853"/>
    </row>
    <row r="684" spans="4:7" x14ac:dyDescent="0.2">
      <c r="D684" s="852"/>
      <c r="E684" s="852"/>
      <c r="F684" s="853"/>
    </row>
    <row r="685" spans="4:7" x14ac:dyDescent="0.2">
      <c r="D685" s="852"/>
      <c r="E685" s="852"/>
      <c r="F685" s="853"/>
    </row>
    <row r="686" spans="4:7" x14ac:dyDescent="0.2">
      <c r="D686" s="852"/>
      <c r="E686" s="852"/>
      <c r="F686" s="853"/>
    </row>
    <row r="687" spans="4:7" x14ac:dyDescent="0.2">
      <c r="D687" s="852"/>
      <c r="E687" s="852"/>
      <c r="F687" s="853"/>
    </row>
    <row r="688" spans="4:7" x14ac:dyDescent="0.2">
      <c r="D688" s="852"/>
      <c r="E688" s="852"/>
      <c r="F688" s="853"/>
    </row>
    <row r="689" spans="4:6" x14ac:dyDescent="0.2">
      <c r="D689" s="852"/>
      <c r="E689" s="852"/>
      <c r="F689" s="853"/>
    </row>
    <row r="690" spans="4:6" x14ac:dyDescent="0.2">
      <c r="D690" s="852"/>
      <c r="E690" s="852"/>
      <c r="F690" s="853"/>
    </row>
    <row r="691" spans="4:6" x14ac:dyDescent="0.2">
      <c r="D691" s="852"/>
      <c r="E691" s="852"/>
      <c r="F691" s="853"/>
    </row>
    <row r="692" spans="4:6" x14ac:dyDescent="0.2">
      <c r="D692" s="852"/>
      <c r="E692" s="852"/>
      <c r="F692" s="853"/>
    </row>
    <row r="693" spans="4:6" x14ac:dyDescent="0.2">
      <c r="D693" s="852"/>
      <c r="E693" s="852"/>
      <c r="F693" s="853"/>
    </row>
    <row r="694" spans="4:6" x14ac:dyDescent="0.2">
      <c r="D694" s="852"/>
      <c r="E694" s="852"/>
      <c r="F694" s="853"/>
    </row>
    <row r="695" spans="4:6" x14ac:dyDescent="0.2">
      <c r="D695" s="852"/>
      <c r="E695" s="852"/>
      <c r="F695" s="853"/>
    </row>
    <row r="696" spans="4:6" x14ac:dyDescent="0.2">
      <c r="D696" s="852"/>
      <c r="E696" s="852"/>
      <c r="F696" s="853"/>
    </row>
    <row r="697" spans="4:6" x14ac:dyDescent="0.2">
      <c r="D697" s="852"/>
      <c r="E697" s="852"/>
      <c r="F697" s="853"/>
    </row>
    <row r="698" spans="4:6" x14ac:dyDescent="0.2">
      <c r="D698" s="852"/>
      <c r="E698" s="852"/>
      <c r="F698" s="853"/>
    </row>
    <row r="699" spans="4:6" x14ac:dyDescent="0.2">
      <c r="D699" s="852"/>
      <c r="E699" s="852"/>
      <c r="F699" s="853"/>
    </row>
    <row r="700" spans="4:6" x14ac:dyDescent="0.2">
      <c r="D700" s="852"/>
      <c r="E700" s="852"/>
      <c r="F700" s="853"/>
    </row>
    <row r="701" spans="4:6" x14ac:dyDescent="0.2">
      <c r="D701" s="852"/>
      <c r="E701" s="852"/>
      <c r="F701" s="853"/>
    </row>
    <row r="702" spans="4:6" x14ac:dyDescent="0.2">
      <c r="D702" s="852"/>
      <c r="E702" s="852"/>
      <c r="F702" s="853"/>
    </row>
    <row r="703" spans="4:6" x14ac:dyDescent="0.2">
      <c r="D703" s="852"/>
      <c r="E703" s="852"/>
      <c r="F703" s="853"/>
    </row>
    <row r="704" spans="4:6" x14ac:dyDescent="0.2">
      <c r="D704" s="852"/>
      <c r="E704" s="852"/>
      <c r="F704" s="853"/>
    </row>
    <row r="705" spans="4:6" x14ac:dyDescent="0.2">
      <c r="D705" s="852"/>
      <c r="E705" s="852"/>
      <c r="F705" s="853"/>
    </row>
    <row r="706" spans="4:6" x14ac:dyDescent="0.2">
      <c r="D706" s="852"/>
      <c r="E706" s="852"/>
      <c r="F706" s="853"/>
    </row>
    <row r="707" spans="4:6" x14ac:dyDescent="0.2">
      <c r="D707" s="852"/>
      <c r="E707" s="852"/>
      <c r="F707" s="853"/>
    </row>
    <row r="708" spans="4:6" x14ac:dyDescent="0.2">
      <c r="D708" s="852"/>
      <c r="E708" s="852"/>
      <c r="F708" s="853"/>
    </row>
    <row r="709" spans="4:6" x14ac:dyDescent="0.2">
      <c r="D709" s="852"/>
      <c r="E709" s="852"/>
      <c r="F709" s="853"/>
    </row>
    <row r="710" spans="4:6" x14ac:dyDescent="0.2">
      <c r="D710" s="852"/>
      <c r="E710" s="852"/>
      <c r="F710" s="853"/>
    </row>
    <row r="711" spans="4:6" x14ac:dyDescent="0.2">
      <c r="D711" s="852"/>
      <c r="E711" s="852"/>
      <c r="F711" s="853"/>
    </row>
    <row r="712" spans="4:6" x14ac:dyDescent="0.2">
      <c r="D712" s="852"/>
      <c r="E712" s="852"/>
      <c r="F712" s="853"/>
    </row>
    <row r="713" spans="4:6" x14ac:dyDescent="0.2">
      <c r="D713" s="852"/>
      <c r="E713" s="852"/>
      <c r="F713" s="853"/>
    </row>
    <row r="714" spans="4:6" x14ac:dyDescent="0.2">
      <c r="D714" s="852"/>
      <c r="E714" s="852"/>
      <c r="F714" s="853"/>
    </row>
    <row r="715" spans="4:6" x14ac:dyDescent="0.2">
      <c r="D715" s="852"/>
      <c r="E715" s="852"/>
      <c r="F715" s="853"/>
    </row>
    <row r="716" spans="4:6" x14ac:dyDescent="0.2">
      <c r="D716" s="852"/>
      <c r="E716" s="852"/>
      <c r="F716" s="853"/>
    </row>
    <row r="717" spans="4:6" x14ac:dyDescent="0.2">
      <c r="D717" s="852"/>
      <c r="E717" s="852"/>
      <c r="F717" s="853"/>
    </row>
    <row r="718" spans="4:6" x14ac:dyDescent="0.2">
      <c r="D718" s="852"/>
      <c r="E718" s="852"/>
      <c r="F718" s="853"/>
    </row>
    <row r="719" spans="4:6" x14ac:dyDescent="0.2">
      <c r="D719" s="852"/>
      <c r="E719" s="852"/>
      <c r="F719" s="853"/>
    </row>
    <row r="720" spans="4:6" x14ac:dyDescent="0.2">
      <c r="D720" s="852"/>
      <c r="E720" s="852"/>
      <c r="F720" s="853"/>
    </row>
    <row r="721" spans="4:6" x14ac:dyDescent="0.2">
      <c r="D721" s="852"/>
      <c r="E721" s="852"/>
      <c r="F721" s="853"/>
    </row>
    <row r="722" spans="4:6" x14ac:dyDescent="0.2">
      <c r="D722" s="852"/>
      <c r="E722" s="852"/>
      <c r="F722" s="853"/>
    </row>
    <row r="723" spans="4:6" x14ac:dyDescent="0.2">
      <c r="D723" s="852"/>
      <c r="E723" s="852"/>
      <c r="F723" s="853"/>
    </row>
    <row r="724" spans="4:6" x14ac:dyDescent="0.2">
      <c r="D724" s="852"/>
      <c r="E724" s="852"/>
      <c r="F724" s="853"/>
    </row>
    <row r="725" spans="4:6" x14ac:dyDescent="0.2">
      <c r="D725" s="852"/>
      <c r="E725" s="852"/>
      <c r="F725" s="853"/>
    </row>
    <row r="726" spans="4:6" x14ac:dyDescent="0.2">
      <c r="D726" s="852"/>
      <c r="E726" s="852"/>
      <c r="F726" s="853"/>
    </row>
    <row r="727" spans="4:6" x14ac:dyDescent="0.2">
      <c r="D727" s="852"/>
      <c r="E727" s="852"/>
      <c r="F727" s="853"/>
    </row>
    <row r="728" spans="4:6" x14ac:dyDescent="0.2">
      <c r="D728" s="852"/>
      <c r="E728" s="852"/>
      <c r="F728" s="853"/>
    </row>
    <row r="729" spans="4:6" x14ac:dyDescent="0.2">
      <c r="D729" s="852"/>
      <c r="E729" s="852"/>
      <c r="F729" s="853"/>
    </row>
    <row r="730" spans="4:6" x14ac:dyDescent="0.2">
      <c r="D730" s="852"/>
      <c r="E730" s="852"/>
      <c r="F730" s="853"/>
    </row>
    <row r="731" spans="4:6" x14ac:dyDescent="0.2">
      <c r="D731" s="852"/>
      <c r="E731" s="852"/>
      <c r="F731" s="853"/>
    </row>
    <row r="732" spans="4:6" x14ac:dyDescent="0.2">
      <c r="D732" s="852"/>
      <c r="E732" s="852"/>
      <c r="F732" s="853"/>
    </row>
    <row r="733" spans="4:6" x14ac:dyDescent="0.2">
      <c r="D733" s="852"/>
      <c r="E733" s="852"/>
      <c r="F733" s="853"/>
    </row>
    <row r="734" spans="4:6" x14ac:dyDescent="0.2">
      <c r="D734" s="852"/>
      <c r="E734" s="852"/>
      <c r="F734" s="853"/>
    </row>
    <row r="735" spans="4:6" x14ac:dyDescent="0.2">
      <c r="D735" s="852"/>
      <c r="E735" s="852"/>
      <c r="F735" s="853"/>
    </row>
    <row r="736" spans="4:6" x14ac:dyDescent="0.2">
      <c r="D736" s="852"/>
      <c r="E736" s="852"/>
      <c r="F736" s="853"/>
    </row>
    <row r="737" spans="4:6" x14ac:dyDescent="0.2">
      <c r="D737" s="852"/>
      <c r="E737" s="852"/>
      <c r="F737" s="853"/>
    </row>
    <row r="738" spans="4:6" x14ac:dyDescent="0.2">
      <c r="D738" s="852"/>
      <c r="E738" s="852"/>
      <c r="F738" s="853"/>
    </row>
    <row r="739" spans="4:6" x14ac:dyDescent="0.2">
      <c r="D739" s="852"/>
      <c r="E739" s="852"/>
      <c r="F739" s="853"/>
    </row>
    <row r="740" spans="4:6" x14ac:dyDescent="0.2">
      <c r="D740" s="852"/>
      <c r="E740" s="852"/>
      <c r="F740" s="853"/>
    </row>
    <row r="741" spans="4:6" x14ac:dyDescent="0.2">
      <c r="D741" s="852"/>
      <c r="E741" s="852"/>
      <c r="F741" s="853"/>
    </row>
    <row r="742" spans="4:6" x14ac:dyDescent="0.2">
      <c r="D742" s="852"/>
      <c r="E742" s="852"/>
      <c r="F742" s="853"/>
    </row>
    <row r="743" spans="4:6" x14ac:dyDescent="0.2">
      <c r="D743" s="852"/>
      <c r="E743" s="852"/>
      <c r="F743" s="853"/>
    </row>
    <row r="744" spans="4:6" x14ac:dyDescent="0.2">
      <c r="D744" s="852"/>
      <c r="E744" s="852"/>
      <c r="F744" s="853"/>
    </row>
    <row r="745" spans="4:6" x14ac:dyDescent="0.2">
      <c r="D745" s="852"/>
      <c r="E745" s="852"/>
      <c r="F745" s="853"/>
    </row>
    <row r="746" spans="4:6" x14ac:dyDescent="0.2">
      <c r="D746" s="852"/>
      <c r="E746" s="852"/>
      <c r="F746" s="853"/>
    </row>
    <row r="747" spans="4:6" x14ac:dyDescent="0.2">
      <c r="D747" s="852"/>
      <c r="E747" s="852"/>
      <c r="F747" s="853"/>
    </row>
    <row r="748" spans="4:6" x14ac:dyDescent="0.2">
      <c r="D748" s="852"/>
      <c r="E748" s="852"/>
      <c r="F748" s="853"/>
    </row>
    <row r="749" spans="4:6" x14ac:dyDescent="0.2">
      <c r="D749" s="852"/>
      <c r="E749" s="852"/>
      <c r="F749" s="853"/>
    </row>
    <row r="750" spans="4:6" x14ac:dyDescent="0.2">
      <c r="D750" s="852"/>
      <c r="E750" s="852"/>
      <c r="F750" s="853"/>
    </row>
    <row r="751" spans="4:6" x14ac:dyDescent="0.2">
      <c r="D751" s="852"/>
      <c r="E751" s="852"/>
      <c r="F751" s="853"/>
    </row>
    <row r="752" spans="4:6" x14ac:dyDescent="0.2">
      <c r="D752" s="852"/>
      <c r="E752" s="852"/>
      <c r="F752" s="853"/>
    </row>
    <row r="753" spans="4:6" x14ac:dyDescent="0.2">
      <c r="D753" s="852"/>
      <c r="E753" s="852"/>
      <c r="F753" s="853"/>
    </row>
    <row r="754" spans="4:6" x14ac:dyDescent="0.2">
      <c r="D754" s="852"/>
      <c r="E754" s="852"/>
      <c r="F754" s="853"/>
    </row>
    <row r="755" spans="4:6" x14ac:dyDescent="0.2">
      <c r="D755" s="852"/>
      <c r="E755" s="852"/>
      <c r="F755" s="853"/>
    </row>
    <row r="756" spans="4:6" x14ac:dyDescent="0.2">
      <c r="D756" s="852"/>
      <c r="E756" s="852"/>
      <c r="F756" s="853"/>
    </row>
    <row r="757" spans="4:6" x14ac:dyDescent="0.2">
      <c r="D757" s="852"/>
      <c r="E757" s="852"/>
      <c r="F757" s="853"/>
    </row>
    <row r="758" spans="4:6" x14ac:dyDescent="0.2">
      <c r="D758" s="852"/>
      <c r="E758" s="852"/>
      <c r="F758" s="853"/>
    </row>
    <row r="759" spans="4:6" x14ac:dyDescent="0.2">
      <c r="D759" s="852"/>
      <c r="E759" s="852"/>
      <c r="F759" s="853"/>
    </row>
    <row r="760" spans="4:6" x14ac:dyDescent="0.2">
      <c r="D760" s="852"/>
      <c r="E760" s="852"/>
      <c r="F760" s="853"/>
    </row>
    <row r="761" spans="4:6" x14ac:dyDescent="0.2">
      <c r="D761" s="852"/>
      <c r="E761" s="852"/>
      <c r="F761" s="853"/>
    </row>
    <row r="762" spans="4:6" x14ac:dyDescent="0.2">
      <c r="D762" s="852"/>
      <c r="E762" s="852"/>
      <c r="F762" s="853"/>
    </row>
    <row r="763" spans="4:6" x14ac:dyDescent="0.2">
      <c r="D763" s="852"/>
      <c r="E763" s="852"/>
      <c r="F763" s="853"/>
    </row>
    <row r="764" spans="4:6" x14ac:dyDescent="0.2">
      <c r="D764" s="852"/>
      <c r="E764" s="852"/>
      <c r="F764" s="853"/>
    </row>
    <row r="765" spans="4:6" x14ac:dyDescent="0.2">
      <c r="D765" s="852"/>
      <c r="E765" s="852"/>
      <c r="F765" s="853"/>
    </row>
    <row r="766" spans="4:6" x14ac:dyDescent="0.2">
      <c r="D766" s="852"/>
      <c r="E766" s="852"/>
      <c r="F766" s="853"/>
    </row>
    <row r="767" spans="4:6" x14ac:dyDescent="0.2">
      <c r="D767" s="852"/>
      <c r="E767" s="852"/>
      <c r="F767" s="853"/>
    </row>
    <row r="768" spans="4:6" x14ac:dyDescent="0.2">
      <c r="D768" s="852"/>
      <c r="E768" s="852"/>
      <c r="F768" s="853"/>
    </row>
    <row r="769" spans="4:6" x14ac:dyDescent="0.2">
      <c r="D769" s="852"/>
      <c r="E769" s="852"/>
      <c r="F769" s="853"/>
    </row>
    <row r="770" spans="4:6" x14ac:dyDescent="0.2">
      <c r="D770" s="852"/>
      <c r="E770" s="852"/>
      <c r="F770" s="853"/>
    </row>
    <row r="771" spans="4:6" x14ac:dyDescent="0.2">
      <c r="D771" s="852"/>
      <c r="E771" s="852"/>
      <c r="F771" s="853"/>
    </row>
    <row r="772" spans="4:6" x14ac:dyDescent="0.2">
      <c r="D772" s="852"/>
      <c r="E772" s="852"/>
      <c r="F772" s="853"/>
    </row>
    <row r="773" spans="4:6" x14ac:dyDescent="0.2">
      <c r="D773" s="852"/>
      <c r="E773" s="852"/>
      <c r="F773" s="853"/>
    </row>
    <row r="774" spans="4:6" x14ac:dyDescent="0.2">
      <c r="D774" s="852"/>
      <c r="E774" s="852"/>
      <c r="F774" s="853"/>
    </row>
    <row r="775" spans="4:6" x14ac:dyDescent="0.2">
      <c r="D775" s="852"/>
      <c r="E775" s="852"/>
      <c r="F775" s="853"/>
    </row>
    <row r="776" spans="4:6" x14ac:dyDescent="0.2">
      <c r="D776" s="852"/>
      <c r="E776" s="852"/>
      <c r="F776" s="853"/>
    </row>
    <row r="777" spans="4:6" x14ac:dyDescent="0.2">
      <c r="D777" s="852"/>
      <c r="E777" s="852"/>
      <c r="F777" s="853"/>
    </row>
    <row r="778" spans="4:6" x14ac:dyDescent="0.2">
      <c r="D778" s="852"/>
      <c r="E778" s="852"/>
      <c r="F778" s="853"/>
    </row>
    <row r="779" spans="4:6" x14ac:dyDescent="0.2">
      <c r="D779" s="852"/>
      <c r="E779" s="852"/>
      <c r="F779" s="853"/>
    </row>
    <row r="780" spans="4:6" x14ac:dyDescent="0.2">
      <c r="D780" s="852"/>
      <c r="E780" s="852"/>
      <c r="F780" s="853"/>
    </row>
    <row r="781" spans="4:6" x14ac:dyDescent="0.2">
      <c r="D781" s="852"/>
      <c r="E781" s="852"/>
      <c r="F781" s="853"/>
    </row>
    <row r="782" spans="4:6" x14ac:dyDescent="0.2">
      <c r="D782" s="852"/>
      <c r="E782" s="852"/>
      <c r="F782" s="853"/>
    </row>
    <row r="783" spans="4:6" x14ac:dyDescent="0.2">
      <c r="D783" s="852"/>
      <c r="E783" s="852"/>
      <c r="F783" s="853"/>
    </row>
    <row r="784" spans="4:6" x14ac:dyDescent="0.2">
      <c r="D784" s="852"/>
      <c r="E784" s="852"/>
      <c r="F784" s="853"/>
    </row>
    <row r="785" spans="4:6" x14ac:dyDescent="0.2">
      <c r="D785" s="852"/>
      <c r="E785" s="852"/>
      <c r="F785" s="853"/>
    </row>
    <row r="786" spans="4:6" x14ac:dyDescent="0.2">
      <c r="D786" s="852"/>
      <c r="E786" s="852"/>
      <c r="F786" s="853"/>
    </row>
    <row r="787" spans="4:6" x14ac:dyDescent="0.2">
      <c r="D787" s="852"/>
      <c r="E787" s="852"/>
      <c r="F787" s="853"/>
    </row>
    <row r="788" spans="4:6" x14ac:dyDescent="0.2">
      <c r="D788" s="852"/>
      <c r="E788" s="852"/>
      <c r="F788" s="853"/>
    </row>
    <row r="789" spans="4:6" x14ac:dyDescent="0.2">
      <c r="D789" s="852"/>
      <c r="E789" s="852"/>
      <c r="F789" s="853"/>
    </row>
    <row r="790" spans="4:6" x14ac:dyDescent="0.2">
      <c r="D790" s="852"/>
      <c r="E790" s="852"/>
      <c r="F790" s="853"/>
    </row>
    <row r="791" spans="4:6" x14ac:dyDescent="0.2">
      <c r="D791" s="852"/>
      <c r="E791" s="852"/>
      <c r="F791" s="853"/>
    </row>
    <row r="792" spans="4:6" x14ac:dyDescent="0.2">
      <c r="D792" s="852"/>
      <c r="E792" s="852"/>
      <c r="F792" s="853"/>
    </row>
    <row r="793" spans="4:6" x14ac:dyDescent="0.2">
      <c r="D793" s="852"/>
      <c r="E793" s="852"/>
      <c r="F793" s="853"/>
    </row>
    <row r="794" spans="4:6" x14ac:dyDescent="0.2">
      <c r="D794" s="852"/>
      <c r="E794" s="852"/>
      <c r="F794" s="853"/>
    </row>
    <row r="795" spans="4:6" x14ac:dyDescent="0.2">
      <c r="D795" s="852"/>
      <c r="E795" s="852"/>
      <c r="F795" s="853"/>
    </row>
    <row r="796" spans="4:6" x14ac:dyDescent="0.2">
      <c r="D796" s="852"/>
      <c r="E796" s="852"/>
      <c r="F796" s="853"/>
    </row>
    <row r="797" spans="4:6" x14ac:dyDescent="0.2">
      <c r="D797" s="852"/>
      <c r="E797" s="852"/>
      <c r="F797" s="853"/>
    </row>
    <row r="798" spans="4:6" x14ac:dyDescent="0.2">
      <c r="D798" s="852"/>
      <c r="E798" s="852"/>
      <c r="F798" s="853"/>
    </row>
    <row r="799" spans="4:6" x14ac:dyDescent="0.2">
      <c r="D799" s="852"/>
      <c r="E799" s="852"/>
      <c r="F799" s="853"/>
    </row>
    <row r="800" spans="4:6" x14ac:dyDescent="0.2">
      <c r="D800" s="852"/>
      <c r="E800" s="852"/>
      <c r="F800" s="853"/>
    </row>
    <row r="801" spans="4:6" x14ac:dyDescent="0.2">
      <c r="D801" s="852"/>
      <c r="E801" s="852"/>
      <c r="F801" s="853"/>
    </row>
    <row r="802" spans="4:6" x14ac:dyDescent="0.2">
      <c r="D802" s="852"/>
      <c r="E802" s="852"/>
      <c r="F802" s="853"/>
    </row>
    <row r="803" spans="4:6" x14ac:dyDescent="0.2">
      <c r="D803" s="852"/>
      <c r="E803" s="852"/>
      <c r="F803" s="853"/>
    </row>
    <row r="804" spans="4:6" x14ac:dyDescent="0.2">
      <c r="D804" s="852"/>
      <c r="E804" s="852"/>
      <c r="F804" s="853"/>
    </row>
    <row r="805" spans="4:6" x14ac:dyDescent="0.2">
      <c r="D805" s="852"/>
      <c r="E805" s="852"/>
      <c r="F805" s="853"/>
    </row>
    <row r="806" spans="4:6" x14ac:dyDescent="0.2">
      <c r="D806" s="852"/>
      <c r="E806" s="852"/>
      <c r="F806" s="853"/>
    </row>
    <row r="807" spans="4:6" x14ac:dyDescent="0.2">
      <c r="D807" s="852"/>
      <c r="E807" s="852"/>
      <c r="F807" s="853"/>
    </row>
    <row r="808" spans="4:6" x14ac:dyDescent="0.2">
      <c r="D808" s="852"/>
      <c r="E808" s="852"/>
      <c r="F808" s="853"/>
    </row>
    <row r="809" spans="4:6" x14ac:dyDescent="0.2">
      <c r="D809" s="852"/>
      <c r="E809" s="852"/>
      <c r="F809" s="853"/>
    </row>
    <row r="810" spans="4:6" x14ac:dyDescent="0.2">
      <c r="D810" s="852"/>
      <c r="E810" s="852"/>
      <c r="F810" s="853"/>
    </row>
    <row r="811" spans="4:6" x14ac:dyDescent="0.2">
      <c r="D811" s="852"/>
      <c r="E811" s="852"/>
      <c r="F811" s="853"/>
    </row>
    <row r="812" spans="4:6" x14ac:dyDescent="0.2">
      <c r="D812" s="852"/>
      <c r="E812" s="852"/>
      <c r="F812" s="853"/>
    </row>
    <row r="813" spans="4:6" x14ac:dyDescent="0.2">
      <c r="D813" s="852"/>
      <c r="E813" s="852"/>
      <c r="F813" s="853"/>
    </row>
    <row r="814" spans="4:6" x14ac:dyDescent="0.2">
      <c r="D814" s="852"/>
      <c r="E814" s="852"/>
      <c r="F814" s="853"/>
    </row>
    <row r="815" spans="4:6" x14ac:dyDescent="0.2">
      <c r="D815" s="852"/>
      <c r="E815" s="852"/>
      <c r="F815" s="853"/>
    </row>
    <row r="816" spans="4:6" x14ac:dyDescent="0.2">
      <c r="D816" s="852"/>
      <c r="E816" s="852"/>
      <c r="F816" s="853"/>
    </row>
    <row r="817" spans="4:6" x14ac:dyDescent="0.2">
      <c r="D817" s="852"/>
      <c r="E817" s="852"/>
      <c r="F817" s="853"/>
    </row>
    <row r="818" spans="4:6" x14ac:dyDescent="0.2">
      <c r="D818" s="852"/>
      <c r="E818" s="852"/>
      <c r="F818" s="853"/>
    </row>
    <row r="819" spans="4:6" x14ac:dyDescent="0.2">
      <c r="D819" s="852"/>
      <c r="E819" s="852"/>
      <c r="F819" s="853"/>
    </row>
    <row r="820" spans="4:6" x14ac:dyDescent="0.2">
      <c r="D820" s="852"/>
      <c r="E820" s="852"/>
      <c r="F820" s="853"/>
    </row>
    <row r="821" spans="4:6" x14ac:dyDescent="0.2">
      <c r="D821" s="852"/>
      <c r="E821" s="852"/>
      <c r="F821" s="853"/>
    </row>
    <row r="822" spans="4:6" x14ac:dyDescent="0.2">
      <c r="D822" s="852"/>
      <c r="E822" s="852"/>
      <c r="F822" s="853"/>
    </row>
    <row r="823" spans="4:6" x14ac:dyDescent="0.2">
      <c r="D823" s="852"/>
      <c r="E823" s="852"/>
      <c r="F823" s="853"/>
    </row>
    <row r="824" spans="4:6" x14ac:dyDescent="0.2">
      <c r="D824" s="852"/>
      <c r="E824" s="852"/>
      <c r="F824" s="853"/>
    </row>
    <row r="825" spans="4:6" x14ac:dyDescent="0.2">
      <c r="D825" s="852"/>
      <c r="E825" s="852"/>
      <c r="F825" s="853"/>
    </row>
    <row r="826" spans="4:6" x14ac:dyDescent="0.2">
      <c r="D826" s="852"/>
      <c r="E826" s="852"/>
      <c r="F826" s="853"/>
    </row>
    <row r="827" spans="4:6" x14ac:dyDescent="0.2">
      <c r="D827" s="852"/>
      <c r="E827" s="852"/>
      <c r="F827" s="853"/>
    </row>
    <row r="828" spans="4:6" x14ac:dyDescent="0.2">
      <c r="D828" s="852"/>
      <c r="E828" s="852"/>
      <c r="F828" s="853"/>
    </row>
    <row r="829" spans="4:6" x14ac:dyDescent="0.2">
      <c r="D829" s="852"/>
      <c r="E829" s="852"/>
      <c r="F829" s="853"/>
    </row>
    <row r="830" spans="4:6" x14ac:dyDescent="0.2">
      <c r="D830" s="852"/>
      <c r="E830" s="852"/>
      <c r="F830" s="853"/>
    </row>
    <row r="831" spans="4:6" x14ac:dyDescent="0.2">
      <c r="D831" s="852"/>
      <c r="E831" s="852"/>
      <c r="F831" s="853"/>
    </row>
    <row r="832" spans="4:6" x14ac:dyDescent="0.2">
      <c r="D832" s="852"/>
      <c r="E832" s="852"/>
      <c r="F832" s="853"/>
    </row>
    <row r="833" spans="4:6" x14ac:dyDescent="0.2">
      <c r="D833" s="852"/>
      <c r="E833" s="852"/>
      <c r="F833" s="853"/>
    </row>
    <row r="834" spans="4:6" x14ac:dyDescent="0.2">
      <c r="D834" s="852"/>
      <c r="E834" s="852"/>
      <c r="F834" s="853"/>
    </row>
    <row r="835" spans="4:6" x14ac:dyDescent="0.2">
      <c r="D835" s="852"/>
      <c r="E835" s="852"/>
      <c r="F835" s="853"/>
    </row>
    <row r="836" spans="4:6" x14ac:dyDescent="0.2">
      <c r="D836" s="852"/>
      <c r="E836" s="852"/>
      <c r="F836" s="853"/>
    </row>
    <row r="837" spans="4:6" x14ac:dyDescent="0.2">
      <c r="D837" s="852"/>
      <c r="E837" s="852"/>
      <c r="F837" s="853"/>
    </row>
    <row r="838" spans="4:6" x14ac:dyDescent="0.2">
      <c r="D838" s="852"/>
      <c r="E838" s="852"/>
      <c r="F838" s="853"/>
    </row>
    <row r="839" spans="4:6" x14ac:dyDescent="0.2">
      <c r="D839" s="852"/>
      <c r="E839" s="852"/>
      <c r="F839" s="853"/>
    </row>
    <row r="840" spans="4:6" x14ac:dyDescent="0.2">
      <c r="D840" s="852"/>
      <c r="E840" s="852"/>
      <c r="F840" s="853"/>
    </row>
    <row r="841" spans="4:6" x14ac:dyDescent="0.2">
      <c r="D841" s="852"/>
      <c r="E841" s="852"/>
      <c r="F841" s="853"/>
    </row>
    <row r="842" spans="4:6" x14ac:dyDescent="0.2">
      <c r="D842" s="852"/>
      <c r="E842" s="852"/>
      <c r="F842" s="853"/>
    </row>
    <row r="843" spans="4:6" x14ac:dyDescent="0.2">
      <c r="D843" s="852"/>
      <c r="E843" s="852"/>
      <c r="F843" s="853"/>
    </row>
    <row r="844" spans="4:6" x14ac:dyDescent="0.2">
      <c r="D844" s="852"/>
      <c r="E844" s="852"/>
      <c r="F844" s="853"/>
    </row>
    <row r="845" spans="4:6" x14ac:dyDescent="0.2">
      <c r="D845" s="852"/>
      <c r="E845" s="852"/>
      <c r="F845" s="853"/>
    </row>
    <row r="846" spans="4:6" x14ac:dyDescent="0.2">
      <c r="D846" s="852"/>
      <c r="E846" s="852"/>
      <c r="F846" s="853"/>
    </row>
    <row r="847" spans="4:6" x14ac:dyDescent="0.2">
      <c r="D847" s="852"/>
      <c r="E847" s="852"/>
      <c r="F847" s="853"/>
    </row>
    <row r="848" spans="4:6" x14ac:dyDescent="0.2">
      <c r="D848" s="852"/>
      <c r="E848" s="852"/>
      <c r="F848" s="853"/>
    </row>
    <row r="849" spans="4:6" x14ac:dyDescent="0.2">
      <c r="D849" s="852"/>
      <c r="E849" s="852"/>
      <c r="F849" s="853"/>
    </row>
    <row r="850" spans="4:6" x14ac:dyDescent="0.2">
      <c r="D850" s="852"/>
      <c r="E850" s="852"/>
      <c r="F850" s="853"/>
    </row>
    <row r="851" spans="4:6" x14ac:dyDescent="0.2">
      <c r="D851" s="852"/>
      <c r="E851" s="852"/>
      <c r="F851" s="853"/>
    </row>
    <row r="852" spans="4:6" x14ac:dyDescent="0.2">
      <c r="D852" s="852"/>
      <c r="E852" s="852"/>
      <c r="F852" s="853"/>
    </row>
    <row r="853" spans="4:6" x14ac:dyDescent="0.2">
      <c r="D853" s="852"/>
      <c r="E853" s="852"/>
      <c r="F853" s="853"/>
    </row>
    <row r="854" spans="4:6" x14ac:dyDescent="0.2">
      <c r="D854" s="852"/>
      <c r="E854" s="852"/>
      <c r="F854" s="853"/>
    </row>
    <row r="855" spans="4:6" x14ac:dyDescent="0.2">
      <c r="D855" s="852"/>
      <c r="E855" s="852"/>
      <c r="F855" s="853"/>
    </row>
    <row r="856" spans="4:6" x14ac:dyDescent="0.2">
      <c r="D856" s="852"/>
      <c r="E856" s="852"/>
      <c r="F856" s="853"/>
    </row>
    <row r="857" spans="4:6" x14ac:dyDescent="0.2">
      <c r="D857" s="852"/>
      <c r="E857" s="852"/>
      <c r="F857" s="853"/>
    </row>
    <row r="858" spans="4:6" x14ac:dyDescent="0.2">
      <c r="D858" s="852"/>
      <c r="E858" s="852"/>
      <c r="F858" s="853"/>
    </row>
    <row r="859" spans="4:6" x14ac:dyDescent="0.2">
      <c r="D859" s="852"/>
      <c r="E859" s="852"/>
      <c r="F859" s="853"/>
    </row>
    <row r="860" spans="4:6" x14ac:dyDescent="0.2">
      <c r="D860" s="852"/>
      <c r="E860" s="852"/>
      <c r="F860" s="853"/>
    </row>
    <row r="861" spans="4:6" x14ac:dyDescent="0.2">
      <c r="D861" s="852"/>
      <c r="E861" s="852"/>
      <c r="F861" s="853"/>
    </row>
    <row r="862" spans="4:6" x14ac:dyDescent="0.2">
      <c r="D862" s="852"/>
      <c r="E862" s="852"/>
      <c r="F862" s="853"/>
    </row>
    <row r="863" spans="4:6" x14ac:dyDescent="0.2">
      <c r="D863" s="852"/>
      <c r="E863" s="852"/>
      <c r="F863" s="853"/>
    </row>
    <row r="864" spans="4:6" x14ac:dyDescent="0.2">
      <c r="D864" s="852"/>
      <c r="E864" s="852"/>
      <c r="F864" s="853"/>
    </row>
    <row r="865" spans="4:6" x14ac:dyDescent="0.2">
      <c r="D865" s="852"/>
      <c r="E865" s="852"/>
      <c r="F865" s="853"/>
    </row>
    <row r="866" spans="4:6" x14ac:dyDescent="0.2">
      <c r="D866" s="852"/>
      <c r="E866" s="852"/>
      <c r="F866" s="853"/>
    </row>
    <row r="867" spans="4:6" x14ac:dyDescent="0.2">
      <c r="D867" s="852"/>
      <c r="E867" s="852"/>
      <c r="F867" s="853"/>
    </row>
    <row r="868" spans="4:6" x14ac:dyDescent="0.2">
      <c r="D868" s="852"/>
      <c r="E868" s="852"/>
      <c r="F868" s="853"/>
    </row>
    <row r="869" spans="4:6" x14ac:dyDescent="0.2">
      <c r="D869" s="852"/>
      <c r="E869" s="852"/>
      <c r="F869" s="853"/>
    </row>
    <row r="870" spans="4:6" x14ac:dyDescent="0.2">
      <c r="D870" s="852"/>
      <c r="E870" s="852"/>
      <c r="F870" s="853"/>
    </row>
    <row r="871" spans="4:6" x14ac:dyDescent="0.2">
      <c r="D871" s="852"/>
      <c r="E871" s="852"/>
      <c r="F871" s="853"/>
    </row>
    <row r="872" spans="4:6" x14ac:dyDescent="0.2">
      <c r="D872" s="852"/>
      <c r="E872" s="852"/>
      <c r="F872" s="853"/>
    </row>
    <row r="873" spans="4:6" x14ac:dyDescent="0.2">
      <c r="D873" s="852"/>
      <c r="E873" s="852"/>
      <c r="F873" s="853"/>
    </row>
    <row r="874" spans="4:6" x14ac:dyDescent="0.2">
      <c r="D874" s="852"/>
      <c r="E874" s="852"/>
      <c r="F874" s="853"/>
    </row>
    <row r="875" spans="4:6" x14ac:dyDescent="0.2">
      <c r="D875" s="852"/>
      <c r="E875" s="852"/>
      <c r="F875" s="853"/>
    </row>
    <row r="876" spans="4:6" x14ac:dyDescent="0.2">
      <c r="D876" s="852"/>
      <c r="E876" s="852"/>
      <c r="F876" s="853"/>
    </row>
    <row r="877" spans="4:6" x14ac:dyDescent="0.2">
      <c r="D877" s="852"/>
      <c r="E877" s="852"/>
      <c r="F877" s="853"/>
    </row>
    <row r="878" spans="4:6" x14ac:dyDescent="0.2">
      <c r="D878" s="852"/>
      <c r="E878" s="852"/>
      <c r="F878" s="853"/>
    </row>
    <row r="879" spans="4:6" x14ac:dyDescent="0.2">
      <c r="D879" s="852"/>
      <c r="E879" s="852"/>
      <c r="F879" s="853"/>
    </row>
    <row r="880" spans="4:6" x14ac:dyDescent="0.2">
      <c r="D880" s="852"/>
      <c r="E880" s="852"/>
      <c r="F880" s="853"/>
    </row>
    <row r="881" spans="4:6" x14ac:dyDescent="0.2">
      <c r="D881" s="852"/>
      <c r="E881" s="852"/>
      <c r="F881" s="853"/>
    </row>
    <row r="882" spans="4:6" x14ac:dyDescent="0.2">
      <c r="D882" s="852"/>
      <c r="E882" s="852"/>
      <c r="F882" s="853"/>
    </row>
    <row r="883" spans="4:6" x14ac:dyDescent="0.2">
      <c r="D883" s="852"/>
      <c r="E883" s="852"/>
      <c r="F883" s="853"/>
    </row>
    <row r="884" spans="4:6" x14ac:dyDescent="0.2">
      <c r="D884" s="852"/>
      <c r="E884" s="852"/>
      <c r="F884" s="853"/>
    </row>
    <row r="885" spans="4:6" x14ac:dyDescent="0.2">
      <c r="D885" s="852"/>
      <c r="E885" s="852"/>
      <c r="F885" s="853"/>
    </row>
    <row r="886" spans="4:6" x14ac:dyDescent="0.2">
      <c r="D886" s="852"/>
      <c r="E886" s="852"/>
      <c r="F886" s="853"/>
    </row>
    <row r="887" spans="4:6" x14ac:dyDescent="0.2">
      <c r="D887" s="852"/>
      <c r="E887" s="852"/>
      <c r="F887" s="853"/>
    </row>
    <row r="888" spans="4:6" x14ac:dyDescent="0.2">
      <c r="D888" s="852"/>
      <c r="E888" s="852"/>
      <c r="F888" s="853"/>
    </row>
    <row r="889" spans="4:6" x14ac:dyDescent="0.2">
      <c r="D889" s="852"/>
      <c r="E889" s="852"/>
      <c r="F889" s="853"/>
    </row>
    <row r="890" spans="4:6" x14ac:dyDescent="0.2">
      <c r="D890" s="852"/>
      <c r="E890" s="852"/>
      <c r="F890" s="853"/>
    </row>
    <row r="891" spans="4:6" x14ac:dyDescent="0.2">
      <c r="D891" s="852"/>
      <c r="E891" s="852"/>
      <c r="F891" s="853"/>
    </row>
    <row r="892" spans="4:6" x14ac:dyDescent="0.2">
      <c r="D892" s="852"/>
      <c r="E892" s="852"/>
      <c r="F892" s="853"/>
    </row>
    <row r="893" spans="4:6" x14ac:dyDescent="0.2">
      <c r="D893" s="852"/>
      <c r="E893" s="852"/>
      <c r="F893" s="853"/>
    </row>
    <row r="894" spans="4:6" x14ac:dyDescent="0.2">
      <c r="D894" s="852"/>
      <c r="E894" s="852"/>
      <c r="F894" s="853"/>
    </row>
    <row r="895" spans="4:6" x14ac:dyDescent="0.2">
      <c r="D895" s="852"/>
      <c r="E895" s="852"/>
      <c r="F895" s="853"/>
    </row>
    <row r="896" spans="4:6" x14ac:dyDescent="0.2">
      <c r="D896" s="852"/>
      <c r="E896" s="852"/>
      <c r="F896" s="853"/>
    </row>
    <row r="897" spans="4:6" x14ac:dyDescent="0.2">
      <c r="D897" s="852"/>
      <c r="E897" s="852"/>
      <c r="F897" s="853"/>
    </row>
    <row r="898" spans="4:6" x14ac:dyDescent="0.2">
      <c r="D898" s="852"/>
      <c r="E898" s="852"/>
      <c r="F898" s="853"/>
    </row>
    <row r="899" spans="4:6" x14ac:dyDescent="0.2">
      <c r="D899" s="852"/>
      <c r="E899" s="852"/>
      <c r="F899" s="853"/>
    </row>
    <row r="900" spans="4:6" x14ac:dyDescent="0.2">
      <c r="D900" s="852"/>
      <c r="E900" s="852"/>
      <c r="F900" s="853"/>
    </row>
    <row r="901" spans="4:6" x14ac:dyDescent="0.2">
      <c r="D901" s="852"/>
      <c r="E901" s="852"/>
      <c r="F901" s="853"/>
    </row>
    <row r="902" spans="4:6" x14ac:dyDescent="0.2">
      <c r="D902" s="852"/>
      <c r="E902" s="852"/>
      <c r="F902" s="853"/>
    </row>
    <row r="903" spans="4:6" x14ac:dyDescent="0.2">
      <c r="D903" s="852"/>
      <c r="E903" s="852"/>
      <c r="F903" s="853"/>
    </row>
    <row r="904" spans="4:6" x14ac:dyDescent="0.2">
      <c r="D904" s="852"/>
      <c r="E904" s="852"/>
      <c r="F904" s="853"/>
    </row>
    <row r="905" spans="4:6" x14ac:dyDescent="0.2">
      <c r="D905" s="852"/>
      <c r="E905" s="852"/>
      <c r="F905" s="853"/>
    </row>
    <row r="906" spans="4:6" x14ac:dyDescent="0.2">
      <c r="D906" s="852"/>
      <c r="E906" s="852"/>
      <c r="F906" s="853"/>
    </row>
    <row r="907" spans="4:6" x14ac:dyDescent="0.2">
      <c r="D907" s="852"/>
      <c r="E907" s="852"/>
      <c r="F907" s="853"/>
    </row>
    <row r="908" spans="4:6" x14ac:dyDescent="0.2">
      <c r="D908" s="852"/>
      <c r="E908" s="852"/>
      <c r="F908" s="853"/>
    </row>
    <row r="909" spans="4:6" x14ac:dyDescent="0.2">
      <c r="D909" s="852"/>
      <c r="E909" s="852"/>
      <c r="F909" s="853"/>
    </row>
    <row r="910" spans="4:6" x14ac:dyDescent="0.2">
      <c r="D910" s="852"/>
      <c r="E910" s="852"/>
      <c r="F910" s="853"/>
    </row>
    <row r="911" spans="4:6" x14ac:dyDescent="0.2">
      <c r="D911" s="852"/>
      <c r="E911" s="852"/>
      <c r="F911" s="853"/>
    </row>
    <row r="912" spans="4:6" x14ac:dyDescent="0.2">
      <c r="D912" s="852"/>
      <c r="E912" s="852"/>
      <c r="F912" s="853"/>
    </row>
    <row r="913" spans="4:6" x14ac:dyDescent="0.2">
      <c r="D913" s="852"/>
      <c r="E913" s="852"/>
      <c r="F913" s="853"/>
    </row>
    <row r="914" spans="4:6" x14ac:dyDescent="0.2">
      <c r="D914" s="852"/>
      <c r="E914" s="852"/>
      <c r="F914" s="853"/>
    </row>
    <row r="915" spans="4:6" x14ac:dyDescent="0.2">
      <c r="D915" s="852"/>
      <c r="E915" s="852"/>
      <c r="F915" s="853"/>
    </row>
    <row r="916" spans="4:6" x14ac:dyDescent="0.2">
      <c r="D916" s="852"/>
      <c r="E916" s="852"/>
      <c r="F916" s="853"/>
    </row>
    <row r="917" spans="4:6" x14ac:dyDescent="0.2">
      <c r="D917" s="852"/>
      <c r="E917" s="852"/>
      <c r="F917" s="853"/>
    </row>
    <row r="918" spans="4:6" x14ac:dyDescent="0.2">
      <c r="D918" s="852"/>
      <c r="E918" s="852"/>
      <c r="F918" s="853"/>
    </row>
    <row r="919" spans="4:6" x14ac:dyDescent="0.2">
      <c r="D919" s="852"/>
      <c r="E919" s="852"/>
      <c r="F919" s="853"/>
    </row>
    <row r="920" spans="4:6" x14ac:dyDescent="0.2">
      <c r="D920" s="852"/>
      <c r="E920" s="852"/>
      <c r="F920" s="853"/>
    </row>
    <row r="921" spans="4:6" x14ac:dyDescent="0.2">
      <c r="D921" s="852"/>
      <c r="E921" s="852"/>
      <c r="F921" s="853"/>
    </row>
    <row r="922" spans="4:6" x14ac:dyDescent="0.2">
      <c r="D922" s="852"/>
      <c r="E922" s="852"/>
      <c r="F922" s="853"/>
    </row>
    <row r="923" spans="4:6" x14ac:dyDescent="0.2">
      <c r="D923" s="852"/>
      <c r="E923" s="852"/>
      <c r="F923" s="853"/>
    </row>
    <row r="924" spans="4:6" x14ac:dyDescent="0.2">
      <c r="D924" s="852"/>
      <c r="E924" s="852"/>
      <c r="F924" s="853"/>
    </row>
    <row r="925" spans="4:6" x14ac:dyDescent="0.2">
      <c r="D925" s="852"/>
      <c r="E925" s="852"/>
      <c r="F925" s="853"/>
    </row>
    <row r="926" spans="4:6" x14ac:dyDescent="0.2">
      <c r="D926" s="852"/>
      <c r="E926" s="852"/>
      <c r="F926" s="853"/>
    </row>
    <row r="927" spans="4:6" x14ac:dyDescent="0.2">
      <c r="D927" s="852"/>
      <c r="E927" s="852"/>
      <c r="F927" s="853"/>
    </row>
    <row r="928" spans="4:6" x14ac:dyDescent="0.2">
      <c r="D928" s="852"/>
      <c r="E928" s="852"/>
      <c r="F928" s="853"/>
    </row>
    <row r="929" spans="4:6" x14ac:dyDescent="0.2">
      <c r="D929" s="852"/>
      <c r="E929" s="852"/>
      <c r="F929" s="853"/>
    </row>
    <row r="930" spans="4:6" x14ac:dyDescent="0.2">
      <c r="D930" s="852"/>
      <c r="E930" s="852"/>
      <c r="F930" s="853"/>
    </row>
    <row r="931" spans="4:6" x14ac:dyDescent="0.2">
      <c r="D931" s="852"/>
      <c r="E931" s="852"/>
      <c r="F931" s="853"/>
    </row>
    <row r="932" spans="4:6" x14ac:dyDescent="0.2">
      <c r="D932" s="852"/>
      <c r="E932" s="852"/>
      <c r="F932" s="853"/>
    </row>
    <row r="933" spans="4:6" x14ac:dyDescent="0.2">
      <c r="D933" s="852"/>
      <c r="E933" s="852"/>
      <c r="F933" s="853"/>
    </row>
    <row r="934" spans="4:6" x14ac:dyDescent="0.2">
      <c r="D934" s="852"/>
      <c r="E934" s="852"/>
      <c r="F934" s="853"/>
    </row>
    <row r="935" spans="4:6" x14ac:dyDescent="0.2">
      <c r="D935" s="852"/>
      <c r="E935" s="852"/>
      <c r="F935" s="853"/>
    </row>
    <row r="936" spans="4:6" x14ac:dyDescent="0.2">
      <c r="D936" s="852"/>
      <c r="E936" s="852"/>
      <c r="F936" s="853"/>
    </row>
    <row r="937" spans="4:6" x14ac:dyDescent="0.2">
      <c r="D937" s="852"/>
      <c r="E937" s="852"/>
      <c r="F937" s="853"/>
    </row>
    <row r="938" spans="4:6" x14ac:dyDescent="0.2">
      <c r="D938" s="852"/>
      <c r="E938" s="852"/>
      <c r="F938" s="853"/>
    </row>
    <row r="939" spans="4:6" x14ac:dyDescent="0.2">
      <c r="D939" s="852"/>
      <c r="E939" s="852"/>
      <c r="F939" s="853"/>
    </row>
    <row r="940" spans="4:6" x14ac:dyDescent="0.2">
      <c r="D940" s="852"/>
      <c r="E940" s="852"/>
      <c r="F940" s="853"/>
    </row>
    <row r="941" spans="4:6" x14ac:dyDescent="0.2">
      <c r="D941" s="852"/>
      <c r="E941" s="852"/>
      <c r="F941" s="853"/>
    </row>
    <row r="942" spans="4:6" x14ac:dyDescent="0.2">
      <c r="D942" s="852"/>
      <c r="E942" s="852"/>
      <c r="F942" s="853"/>
    </row>
    <row r="943" spans="4:6" x14ac:dyDescent="0.2">
      <c r="D943" s="852"/>
      <c r="E943" s="852"/>
      <c r="F943" s="853"/>
    </row>
    <row r="944" spans="4:6" x14ac:dyDescent="0.2">
      <c r="D944" s="852"/>
      <c r="E944" s="852"/>
      <c r="F944" s="853"/>
    </row>
    <row r="945" spans="4:6" x14ac:dyDescent="0.2">
      <c r="D945" s="852"/>
      <c r="E945" s="852"/>
      <c r="F945" s="853"/>
    </row>
    <row r="946" spans="4:6" x14ac:dyDescent="0.2">
      <c r="D946" s="852"/>
      <c r="E946" s="852"/>
      <c r="F946" s="853"/>
    </row>
    <row r="947" spans="4:6" x14ac:dyDescent="0.2">
      <c r="D947" s="852"/>
      <c r="E947" s="852"/>
      <c r="F947" s="853"/>
    </row>
    <row r="948" spans="4:6" x14ac:dyDescent="0.2">
      <c r="D948" s="852"/>
      <c r="E948" s="852"/>
      <c r="F948" s="853"/>
    </row>
    <row r="949" spans="4:6" x14ac:dyDescent="0.2">
      <c r="D949" s="852"/>
      <c r="E949" s="852"/>
      <c r="F949" s="853"/>
    </row>
    <row r="950" spans="4:6" x14ac:dyDescent="0.2">
      <c r="D950" s="852"/>
      <c r="E950" s="852"/>
      <c r="F950" s="853"/>
    </row>
    <row r="951" spans="4:6" x14ac:dyDescent="0.2">
      <c r="D951" s="852"/>
      <c r="E951" s="852"/>
      <c r="F951" s="853"/>
    </row>
    <row r="952" spans="4:6" x14ac:dyDescent="0.2">
      <c r="D952" s="852"/>
      <c r="E952" s="852"/>
      <c r="F952" s="853"/>
    </row>
    <row r="953" spans="4:6" x14ac:dyDescent="0.2">
      <c r="D953" s="852"/>
      <c r="E953" s="852"/>
      <c r="F953" s="853"/>
    </row>
    <row r="954" spans="4:6" x14ac:dyDescent="0.2">
      <c r="D954" s="852"/>
      <c r="E954" s="852"/>
      <c r="F954" s="853"/>
    </row>
    <row r="955" spans="4:6" x14ac:dyDescent="0.2">
      <c r="D955" s="852"/>
      <c r="E955" s="852"/>
      <c r="F955" s="853"/>
    </row>
    <row r="956" spans="4:6" x14ac:dyDescent="0.2">
      <c r="D956" s="852"/>
      <c r="E956" s="852"/>
      <c r="F956" s="853"/>
    </row>
    <row r="957" spans="4:6" x14ac:dyDescent="0.2">
      <c r="D957" s="852"/>
      <c r="E957" s="852"/>
      <c r="F957" s="853"/>
    </row>
    <row r="958" spans="4:6" x14ac:dyDescent="0.2">
      <c r="D958" s="852"/>
      <c r="E958" s="852"/>
      <c r="F958" s="853"/>
    </row>
    <row r="959" spans="4:6" x14ac:dyDescent="0.2">
      <c r="D959" s="852"/>
      <c r="E959" s="852"/>
      <c r="F959" s="853"/>
    </row>
    <row r="960" spans="4:6" x14ac:dyDescent="0.2">
      <c r="D960" s="852"/>
      <c r="E960" s="852"/>
      <c r="F960" s="853"/>
    </row>
    <row r="961" spans="4:6" x14ac:dyDescent="0.2">
      <c r="D961" s="852"/>
      <c r="E961" s="852"/>
      <c r="F961" s="853"/>
    </row>
    <row r="962" spans="4:6" x14ac:dyDescent="0.2">
      <c r="D962" s="852"/>
      <c r="E962" s="852"/>
      <c r="F962" s="853"/>
    </row>
    <row r="963" spans="4:6" x14ac:dyDescent="0.2">
      <c r="D963" s="852"/>
      <c r="E963" s="852"/>
      <c r="F963" s="853"/>
    </row>
    <row r="964" spans="4:6" x14ac:dyDescent="0.2">
      <c r="D964" s="852"/>
      <c r="E964" s="852"/>
      <c r="F964" s="853"/>
    </row>
    <row r="965" spans="4:6" x14ac:dyDescent="0.2">
      <c r="D965" s="852"/>
      <c r="E965" s="852"/>
      <c r="F965" s="853"/>
    </row>
    <row r="966" spans="4:6" x14ac:dyDescent="0.2">
      <c r="D966" s="852"/>
      <c r="E966" s="852"/>
      <c r="F966" s="853"/>
    </row>
    <row r="967" spans="4:6" x14ac:dyDescent="0.2">
      <c r="D967" s="852"/>
      <c r="E967" s="852"/>
      <c r="F967" s="853"/>
    </row>
    <row r="968" spans="4:6" x14ac:dyDescent="0.2">
      <c r="D968" s="852"/>
      <c r="E968" s="852"/>
      <c r="F968" s="853"/>
    </row>
    <row r="969" spans="4:6" x14ac:dyDescent="0.2">
      <c r="D969" s="852"/>
      <c r="E969" s="852"/>
      <c r="F969" s="853"/>
    </row>
    <row r="970" spans="4:6" x14ac:dyDescent="0.2">
      <c r="D970" s="852"/>
      <c r="E970" s="852"/>
      <c r="F970" s="853"/>
    </row>
    <row r="971" spans="4:6" x14ac:dyDescent="0.2">
      <c r="D971" s="852"/>
      <c r="E971" s="852"/>
      <c r="F971" s="853"/>
    </row>
    <row r="972" spans="4:6" x14ac:dyDescent="0.2">
      <c r="D972" s="852"/>
      <c r="E972" s="852"/>
      <c r="F972" s="853"/>
    </row>
    <row r="973" spans="4:6" x14ac:dyDescent="0.2">
      <c r="D973" s="852"/>
      <c r="E973" s="852"/>
      <c r="F973" s="853"/>
    </row>
    <row r="974" spans="4:6" x14ac:dyDescent="0.2">
      <c r="D974" s="852"/>
      <c r="E974" s="852"/>
      <c r="F974" s="853"/>
    </row>
    <row r="975" spans="4:6" x14ac:dyDescent="0.2">
      <c r="D975" s="852"/>
      <c r="E975" s="852"/>
      <c r="F975" s="853"/>
    </row>
    <row r="976" spans="4:6" x14ac:dyDescent="0.2">
      <c r="D976" s="852"/>
      <c r="E976" s="852"/>
      <c r="F976" s="853"/>
    </row>
    <row r="977" spans="4:6" x14ac:dyDescent="0.2">
      <c r="D977" s="852"/>
      <c r="E977" s="852"/>
      <c r="F977" s="853"/>
    </row>
    <row r="978" spans="4:6" x14ac:dyDescent="0.2">
      <c r="D978" s="852"/>
      <c r="E978" s="852"/>
      <c r="F978" s="853"/>
    </row>
    <row r="979" spans="4:6" x14ac:dyDescent="0.2">
      <c r="D979" s="852"/>
      <c r="E979" s="852"/>
      <c r="F979" s="853"/>
    </row>
    <row r="980" spans="4:6" x14ac:dyDescent="0.2">
      <c r="D980" s="852"/>
      <c r="E980" s="852"/>
      <c r="F980" s="853"/>
    </row>
    <row r="981" spans="4:6" x14ac:dyDescent="0.2">
      <c r="D981" s="852"/>
      <c r="E981" s="852"/>
      <c r="F981" s="853"/>
    </row>
    <row r="982" spans="4:6" x14ac:dyDescent="0.2">
      <c r="D982" s="852"/>
      <c r="E982" s="852"/>
      <c r="F982" s="853"/>
    </row>
    <row r="983" spans="4:6" x14ac:dyDescent="0.2">
      <c r="D983" s="852"/>
      <c r="E983" s="852"/>
      <c r="F983" s="853"/>
    </row>
    <row r="984" spans="4:6" x14ac:dyDescent="0.2">
      <c r="D984" s="852"/>
      <c r="E984" s="852"/>
      <c r="F984" s="853"/>
    </row>
    <row r="985" spans="4:6" x14ac:dyDescent="0.2">
      <c r="D985" s="852"/>
      <c r="E985" s="852"/>
      <c r="F985" s="853"/>
    </row>
    <row r="986" spans="4:6" x14ac:dyDescent="0.2">
      <c r="D986" s="852"/>
      <c r="E986" s="852"/>
      <c r="F986" s="853"/>
    </row>
    <row r="987" spans="4:6" x14ac:dyDescent="0.2">
      <c r="D987" s="852"/>
      <c r="E987" s="852"/>
      <c r="F987" s="853"/>
    </row>
    <row r="988" spans="4:6" x14ac:dyDescent="0.2">
      <c r="D988" s="852"/>
      <c r="E988" s="852"/>
      <c r="F988" s="853"/>
    </row>
    <row r="989" spans="4:6" x14ac:dyDescent="0.2">
      <c r="D989" s="852"/>
      <c r="E989" s="852"/>
      <c r="F989" s="853"/>
    </row>
    <row r="990" spans="4:6" x14ac:dyDescent="0.2">
      <c r="D990" s="852"/>
      <c r="E990" s="852"/>
      <c r="F990" s="853"/>
    </row>
    <row r="991" spans="4:6" x14ac:dyDescent="0.2">
      <c r="D991" s="852"/>
      <c r="E991" s="852"/>
      <c r="F991" s="853"/>
    </row>
    <row r="992" spans="4:6" x14ac:dyDescent="0.2">
      <c r="D992" s="852"/>
      <c r="E992" s="852"/>
      <c r="F992" s="853"/>
    </row>
    <row r="993" spans="4:6" x14ac:dyDescent="0.2">
      <c r="D993" s="852"/>
      <c r="E993" s="852"/>
      <c r="F993" s="853"/>
    </row>
    <row r="994" spans="4:6" x14ac:dyDescent="0.2">
      <c r="D994" s="852"/>
      <c r="E994" s="852"/>
      <c r="F994" s="853"/>
    </row>
    <row r="995" spans="4:6" x14ac:dyDescent="0.2">
      <c r="D995" s="852"/>
      <c r="E995" s="852"/>
      <c r="F995" s="853"/>
    </row>
    <row r="996" spans="4:6" x14ac:dyDescent="0.2">
      <c r="D996" s="852"/>
      <c r="E996" s="852"/>
      <c r="F996" s="853"/>
    </row>
    <row r="997" spans="4:6" x14ac:dyDescent="0.2">
      <c r="D997" s="852"/>
      <c r="E997" s="852"/>
      <c r="F997" s="853"/>
    </row>
    <row r="998" spans="4:6" x14ac:dyDescent="0.2">
      <c r="D998" s="852"/>
      <c r="E998" s="852"/>
      <c r="F998" s="853"/>
    </row>
    <row r="999" spans="4:6" x14ac:dyDescent="0.2">
      <c r="D999" s="852"/>
      <c r="E999" s="852"/>
      <c r="F999" s="853"/>
    </row>
    <row r="1000" spans="4:6" x14ac:dyDescent="0.2">
      <c r="D1000" s="852"/>
      <c r="E1000" s="852"/>
      <c r="F1000" s="853"/>
    </row>
    <row r="1001" spans="4:6" x14ac:dyDescent="0.2">
      <c r="D1001" s="852"/>
      <c r="E1001" s="852"/>
      <c r="F1001" s="853"/>
    </row>
    <row r="1002" spans="4:6" x14ac:dyDescent="0.2">
      <c r="D1002" s="852"/>
      <c r="E1002" s="852"/>
      <c r="F1002" s="853"/>
    </row>
    <row r="1003" spans="4:6" x14ac:dyDescent="0.2">
      <c r="D1003" s="852"/>
      <c r="E1003" s="852"/>
      <c r="F1003" s="853"/>
    </row>
    <row r="1004" spans="4:6" x14ac:dyDescent="0.2">
      <c r="D1004" s="852"/>
      <c r="E1004" s="852"/>
      <c r="F1004" s="853"/>
    </row>
    <row r="1005" spans="4:6" x14ac:dyDescent="0.2">
      <c r="D1005" s="852"/>
      <c r="E1005" s="852"/>
      <c r="F1005" s="853"/>
    </row>
    <row r="1006" spans="4:6" x14ac:dyDescent="0.2">
      <c r="D1006" s="852"/>
      <c r="E1006" s="852"/>
      <c r="F1006" s="853"/>
    </row>
    <row r="1007" spans="4:6" x14ac:dyDescent="0.2">
      <c r="D1007" s="852"/>
      <c r="E1007" s="852"/>
      <c r="F1007" s="853"/>
    </row>
    <row r="1008" spans="4:6" x14ac:dyDescent="0.2">
      <c r="D1008" s="852"/>
      <c r="E1008" s="852"/>
      <c r="F1008" s="853"/>
    </row>
    <row r="1009" spans="4:6" x14ac:dyDescent="0.2">
      <c r="D1009" s="852"/>
      <c r="E1009" s="852"/>
      <c r="F1009" s="853"/>
    </row>
    <row r="1010" spans="4:6" x14ac:dyDescent="0.2">
      <c r="D1010" s="852"/>
      <c r="E1010" s="852"/>
      <c r="F1010" s="853"/>
    </row>
    <row r="1011" spans="4:6" x14ac:dyDescent="0.2">
      <c r="D1011" s="852"/>
      <c r="E1011" s="852"/>
      <c r="F1011" s="853"/>
    </row>
    <row r="1012" spans="4:6" x14ac:dyDescent="0.2">
      <c r="D1012" s="852"/>
      <c r="E1012" s="852"/>
      <c r="F1012" s="853"/>
    </row>
    <row r="1013" spans="4:6" x14ac:dyDescent="0.2">
      <c r="D1013" s="852"/>
      <c r="E1013" s="852"/>
      <c r="F1013" s="853"/>
    </row>
    <row r="1014" spans="4:6" x14ac:dyDescent="0.2">
      <c r="D1014" s="852"/>
      <c r="E1014" s="852"/>
      <c r="F1014" s="853"/>
    </row>
    <row r="1015" spans="4:6" x14ac:dyDescent="0.2">
      <c r="D1015" s="852"/>
      <c r="E1015" s="852"/>
      <c r="F1015" s="853"/>
    </row>
    <row r="1016" spans="4:6" x14ac:dyDescent="0.2">
      <c r="D1016" s="852"/>
      <c r="E1016" s="852"/>
      <c r="F1016" s="853"/>
    </row>
    <row r="1017" spans="4:6" x14ac:dyDescent="0.2">
      <c r="D1017" s="852"/>
      <c r="E1017" s="852"/>
      <c r="F1017" s="853"/>
    </row>
    <row r="1018" spans="4:6" x14ac:dyDescent="0.2">
      <c r="D1018" s="852"/>
      <c r="E1018" s="852"/>
      <c r="F1018" s="853"/>
    </row>
    <row r="1019" spans="4:6" x14ac:dyDescent="0.2">
      <c r="D1019" s="852"/>
      <c r="E1019" s="852"/>
      <c r="F1019" s="853"/>
    </row>
    <row r="1020" spans="4:6" x14ac:dyDescent="0.2">
      <c r="D1020" s="852"/>
      <c r="E1020" s="852"/>
      <c r="F1020" s="853"/>
    </row>
    <row r="1021" spans="4:6" x14ac:dyDescent="0.2">
      <c r="D1021" s="852"/>
      <c r="E1021" s="852"/>
      <c r="F1021" s="853"/>
    </row>
    <row r="1022" spans="4:6" x14ac:dyDescent="0.2">
      <c r="D1022" s="852"/>
      <c r="E1022" s="852"/>
      <c r="F1022" s="853"/>
    </row>
    <row r="1023" spans="4:6" x14ac:dyDescent="0.2">
      <c r="D1023" s="852"/>
      <c r="E1023" s="852"/>
      <c r="F1023" s="853"/>
    </row>
    <row r="1024" spans="4:6" x14ac:dyDescent="0.2">
      <c r="D1024" s="852"/>
      <c r="E1024" s="852"/>
      <c r="F1024" s="853"/>
    </row>
    <row r="1025" spans="4:6" x14ac:dyDescent="0.2">
      <c r="D1025" s="852"/>
      <c r="E1025" s="852"/>
      <c r="F1025" s="853"/>
    </row>
    <row r="1026" spans="4:6" x14ac:dyDescent="0.2">
      <c r="D1026" s="852"/>
      <c r="E1026" s="852"/>
      <c r="F1026" s="853"/>
    </row>
    <row r="1027" spans="4:6" x14ac:dyDescent="0.2">
      <c r="D1027" s="852"/>
      <c r="E1027" s="852"/>
      <c r="F1027" s="853"/>
    </row>
    <row r="1028" spans="4:6" x14ac:dyDescent="0.2">
      <c r="D1028" s="852"/>
      <c r="E1028" s="852"/>
      <c r="F1028" s="853"/>
    </row>
    <row r="1029" spans="4:6" x14ac:dyDescent="0.2">
      <c r="D1029" s="852"/>
      <c r="E1029" s="852"/>
      <c r="F1029" s="853"/>
    </row>
    <row r="1030" spans="4:6" x14ac:dyDescent="0.2">
      <c r="D1030" s="852"/>
      <c r="E1030" s="852"/>
      <c r="F1030" s="853"/>
    </row>
    <row r="1031" spans="4:6" x14ac:dyDescent="0.2">
      <c r="D1031" s="852"/>
      <c r="E1031" s="852"/>
      <c r="F1031" s="853"/>
    </row>
    <row r="1032" spans="4:6" x14ac:dyDescent="0.2">
      <c r="D1032" s="852"/>
      <c r="E1032" s="852"/>
      <c r="F1032" s="853"/>
    </row>
    <row r="1033" spans="4:6" x14ac:dyDescent="0.2">
      <c r="D1033" s="852"/>
      <c r="E1033" s="852"/>
      <c r="F1033" s="853"/>
    </row>
    <row r="1034" spans="4:6" x14ac:dyDescent="0.2">
      <c r="D1034" s="852"/>
      <c r="E1034" s="852"/>
      <c r="F1034" s="853"/>
    </row>
    <row r="1035" spans="4:6" x14ac:dyDescent="0.2">
      <c r="D1035" s="852"/>
      <c r="E1035" s="852"/>
      <c r="F1035" s="853"/>
    </row>
    <row r="1036" spans="4:6" x14ac:dyDescent="0.2">
      <c r="D1036" s="852"/>
      <c r="E1036" s="852"/>
      <c r="F1036" s="853"/>
    </row>
    <row r="1037" spans="4:6" x14ac:dyDescent="0.2">
      <c r="D1037" s="852"/>
      <c r="E1037" s="852"/>
      <c r="F1037" s="853"/>
    </row>
    <row r="1038" spans="4:6" x14ac:dyDescent="0.2">
      <c r="D1038" s="852"/>
      <c r="E1038" s="852"/>
      <c r="F1038" s="853"/>
    </row>
    <row r="1039" spans="4:6" x14ac:dyDescent="0.2">
      <c r="D1039" s="852"/>
      <c r="E1039" s="852"/>
      <c r="F1039" s="853"/>
    </row>
    <row r="1040" spans="4:6" x14ac:dyDescent="0.2">
      <c r="D1040" s="852"/>
      <c r="E1040" s="852"/>
      <c r="F1040" s="853"/>
    </row>
    <row r="1041" spans="4:6" x14ac:dyDescent="0.2">
      <c r="D1041" s="852"/>
      <c r="E1041" s="852"/>
      <c r="F1041" s="853"/>
    </row>
    <row r="1042" spans="4:6" x14ac:dyDescent="0.2">
      <c r="D1042" s="852"/>
      <c r="E1042" s="852"/>
      <c r="F1042" s="853"/>
    </row>
    <row r="1043" spans="4:6" x14ac:dyDescent="0.2">
      <c r="D1043" s="852"/>
      <c r="E1043" s="852"/>
      <c r="F1043" s="853"/>
    </row>
    <row r="1044" spans="4:6" x14ac:dyDescent="0.2">
      <c r="D1044" s="852"/>
      <c r="E1044" s="852"/>
      <c r="F1044" s="853"/>
    </row>
    <row r="1045" spans="4:6" x14ac:dyDescent="0.2">
      <c r="D1045" s="852"/>
      <c r="E1045" s="852"/>
      <c r="F1045" s="853"/>
    </row>
    <row r="1046" spans="4:6" x14ac:dyDescent="0.2">
      <c r="D1046" s="852"/>
      <c r="E1046" s="852"/>
      <c r="F1046" s="853"/>
    </row>
    <row r="1047" spans="4:6" x14ac:dyDescent="0.2">
      <c r="D1047" s="852"/>
      <c r="E1047" s="852"/>
      <c r="F1047" s="853"/>
    </row>
    <row r="1048" spans="4:6" x14ac:dyDescent="0.2">
      <c r="D1048" s="852"/>
      <c r="E1048" s="852"/>
      <c r="F1048" s="853"/>
    </row>
    <row r="1049" spans="4:6" x14ac:dyDescent="0.2">
      <c r="D1049" s="852"/>
      <c r="E1049" s="852"/>
      <c r="F1049" s="853"/>
    </row>
    <row r="1050" spans="4:6" x14ac:dyDescent="0.2">
      <c r="D1050" s="852"/>
      <c r="E1050" s="852"/>
      <c r="F1050" s="853"/>
    </row>
    <row r="1051" spans="4:6" x14ac:dyDescent="0.2">
      <c r="D1051" s="852"/>
      <c r="E1051" s="852"/>
      <c r="F1051" s="853"/>
    </row>
    <row r="1052" spans="4:6" x14ac:dyDescent="0.2">
      <c r="D1052" s="852"/>
      <c r="E1052" s="852"/>
      <c r="F1052" s="853"/>
    </row>
    <row r="1053" spans="4:6" x14ac:dyDescent="0.2">
      <c r="D1053" s="852"/>
      <c r="E1053" s="852"/>
      <c r="F1053" s="853"/>
    </row>
    <row r="1054" spans="4:6" x14ac:dyDescent="0.2">
      <c r="D1054" s="852"/>
      <c r="E1054" s="852"/>
      <c r="F1054" s="853"/>
    </row>
    <row r="1055" spans="4:6" x14ac:dyDescent="0.2">
      <c r="D1055" s="852"/>
      <c r="E1055" s="852"/>
      <c r="F1055" s="853"/>
    </row>
    <row r="1056" spans="4:6" x14ac:dyDescent="0.2">
      <c r="D1056" s="852"/>
      <c r="E1056" s="852"/>
      <c r="F1056" s="853"/>
    </row>
    <row r="1057" spans="4:6" x14ac:dyDescent="0.2">
      <c r="D1057" s="852"/>
      <c r="E1057" s="852"/>
      <c r="F1057" s="853"/>
    </row>
    <row r="1058" spans="4:6" x14ac:dyDescent="0.2">
      <c r="D1058" s="852"/>
      <c r="E1058" s="852"/>
      <c r="F1058" s="853"/>
    </row>
    <row r="1059" spans="4:6" x14ac:dyDescent="0.2">
      <c r="D1059" s="852"/>
      <c r="E1059" s="852"/>
      <c r="F1059" s="853"/>
    </row>
    <row r="1060" spans="4:6" x14ac:dyDescent="0.2">
      <c r="D1060" s="852"/>
      <c r="E1060" s="852"/>
      <c r="F1060" s="853"/>
    </row>
    <row r="1061" spans="4:6" x14ac:dyDescent="0.2">
      <c r="D1061" s="852"/>
      <c r="E1061" s="852"/>
      <c r="F1061" s="853"/>
    </row>
    <row r="1062" spans="4:6" x14ac:dyDescent="0.2">
      <c r="D1062" s="852"/>
      <c r="E1062" s="852"/>
      <c r="F1062" s="853"/>
    </row>
    <row r="1063" spans="4:6" x14ac:dyDescent="0.2">
      <c r="D1063" s="852"/>
      <c r="E1063" s="852"/>
      <c r="F1063" s="853"/>
    </row>
    <row r="1064" spans="4:6" x14ac:dyDescent="0.2">
      <c r="D1064" s="852"/>
      <c r="E1064" s="852"/>
      <c r="F1064" s="853"/>
    </row>
    <row r="1065" spans="4:6" x14ac:dyDescent="0.2">
      <c r="D1065" s="852"/>
      <c r="E1065" s="852"/>
      <c r="F1065" s="853"/>
    </row>
    <row r="1066" spans="4:6" x14ac:dyDescent="0.2">
      <c r="D1066" s="852"/>
      <c r="E1066" s="852"/>
      <c r="F1066" s="853"/>
    </row>
    <row r="1067" spans="4:6" x14ac:dyDescent="0.2">
      <c r="D1067" s="852"/>
      <c r="E1067" s="852"/>
      <c r="F1067" s="853"/>
    </row>
    <row r="1068" spans="4:6" x14ac:dyDescent="0.2">
      <c r="D1068" s="852"/>
      <c r="E1068" s="852"/>
      <c r="F1068" s="853"/>
    </row>
    <row r="1069" spans="4:6" x14ac:dyDescent="0.2">
      <c r="D1069" s="852"/>
      <c r="E1069" s="852"/>
      <c r="F1069" s="853"/>
    </row>
    <row r="1070" spans="4:6" x14ac:dyDescent="0.2">
      <c r="D1070" s="852"/>
      <c r="E1070" s="852"/>
      <c r="F1070" s="853"/>
    </row>
    <row r="1071" spans="4:6" x14ac:dyDescent="0.2">
      <c r="D1071" s="852"/>
      <c r="E1071" s="852"/>
      <c r="F1071" s="853"/>
    </row>
    <row r="1072" spans="4:6" x14ac:dyDescent="0.2">
      <c r="D1072" s="852"/>
      <c r="E1072" s="852"/>
      <c r="F1072" s="853"/>
    </row>
    <row r="1073" spans="4:6" x14ac:dyDescent="0.2">
      <c r="D1073" s="852"/>
      <c r="E1073" s="852"/>
      <c r="F1073" s="853"/>
    </row>
    <row r="1074" spans="4:6" x14ac:dyDescent="0.2">
      <c r="D1074" s="852"/>
      <c r="E1074" s="852"/>
      <c r="F1074" s="853"/>
    </row>
    <row r="1075" spans="4:6" x14ac:dyDescent="0.2">
      <c r="D1075" s="852"/>
      <c r="E1075" s="852"/>
      <c r="F1075" s="853"/>
    </row>
    <row r="1076" spans="4:6" x14ac:dyDescent="0.2">
      <c r="D1076" s="852"/>
      <c r="E1076" s="852"/>
      <c r="F1076" s="853"/>
    </row>
    <row r="1077" spans="4:6" x14ac:dyDescent="0.2">
      <c r="D1077" s="852"/>
      <c r="E1077" s="852"/>
      <c r="F1077" s="853"/>
    </row>
    <row r="1078" spans="4:6" x14ac:dyDescent="0.2">
      <c r="D1078" s="852"/>
      <c r="E1078" s="852"/>
      <c r="F1078" s="853"/>
    </row>
    <row r="1079" spans="4:6" x14ac:dyDescent="0.2">
      <c r="D1079" s="852"/>
      <c r="E1079" s="852"/>
      <c r="F1079" s="853"/>
    </row>
    <row r="1080" spans="4:6" x14ac:dyDescent="0.2">
      <c r="D1080" s="852"/>
      <c r="E1080" s="852"/>
      <c r="F1080" s="853"/>
    </row>
    <row r="1081" spans="4:6" x14ac:dyDescent="0.2">
      <c r="D1081" s="852"/>
      <c r="E1081" s="852"/>
      <c r="F1081" s="853"/>
    </row>
    <row r="1082" spans="4:6" x14ac:dyDescent="0.2">
      <c r="D1082" s="852"/>
      <c r="E1082" s="852"/>
      <c r="F1082" s="853"/>
    </row>
    <row r="1083" spans="4:6" x14ac:dyDescent="0.2">
      <c r="D1083" s="852"/>
      <c r="E1083" s="852"/>
      <c r="F1083" s="853"/>
    </row>
    <row r="1084" spans="4:6" x14ac:dyDescent="0.2">
      <c r="D1084" s="852"/>
      <c r="E1084" s="852"/>
      <c r="F1084" s="853"/>
    </row>
    <row r="1085" spans="4:6" x14ac:dyDescent="0.2">
      <c r="D1085" s="852"/>
      <c r="E1085" s="852"/>
      <c r="F1085" s="853"/>
    </row>
    <row r="1086" spans="4:6" x14ac:dyDescent="0.2">
      <c r="D1086" s="852"/>
      <c r="E1086" s="852"/>
      <c r="F1086" s="853"/>
    </row>
    <row r="1087" spans="4:6" x14ac:dyDescent="0.2">
      <c r="D1087" s="852"/>
      <c r="E1087" s="852"/>
      <c r="F1087" s="853"/>
    </row>
    <row r="1088" spans="4:6" x14ac:dyDescent="0.2">
      <c r="D1088" s="852"/>
      <c r="E1088" s="852"/>
      <c r="F1088" s="853"/>
    </row>
    <row r="1089" spans="4:6" x14ac:dyDescent="0.2">
      <c r="D1089" s="852"/>
      <c r="E1089" s="852"/>
      <c r="F1089" s="853"/>
    </row>
    <row r="1090" spans="4:6" x14ac:dyDescent="0.2">
      <c r="D1090" s="852"/>
      <c r="E1090" s="852"/>
      <c r="F1090" s="853"/>
    </row>
    <row r="1091" spans="4:6" x14ac:dyDescent="0.2">
      <c r="D1091" s="852"/>
      <c r="E1091" s="852"/>
      <c r="F1091" s="853"/>
    </row>
    <row r="1092" spans="4:6" x14ac:dyDescent="0.2">
      <c r="D1092" s="852"/>
      <c r="E1092" s="852"/>
      <c r="F1092" s="853"/>
    </row>
    <row r="1093" spans="4:6" x14ac:dyDescent="0.2">
      <c r="D1093" s="852"/>
      <c r="E1093" s="852"/>
      <c r="F1093" s="853"/>
    </row>
    <row r="1094" spans="4:6" x14ac:dyDescent="0.2">
      <c r="D1094" s="852"/>
      <c r="E1094" s="852"/>
      <c r="F1094" s="853"/>
    </row>
    <row r="1095" spans="4:6" x14ac:dyDescent="0.2">
      <c r="D1095" s="852"/>
      <c r="E1095" s="852"/>
      <c r="F1095" s="853"/>
    </row>
    <row r="1096" spans="4:6" x14ac:dyDescent="0.2">
      <c r="D1096" s="852"/>
      <c r="E1096" s="852"/>
      <c r="F1096" s="853"/>
    </row>
    <row r="1097" spans="4:6" x14ac:dyDescent="0.2">
      <c r="D1097" s="852"/>
      <c r="E1097" s="852"/>
      <c r="F1097" s="853"/>
    </row>
    <row r="1098" spans="4:6" x14ac:dyDescent="0.2">
      <c r="D1098" s="852"/>
      <c r="E1098" s="852"/>
      <c r="F1098" s="853"/>
    </row>
    <row r="1099" spans="4:6" x14ac:dyDescent="0.2">
      <c r="D1099" s="852"/>
      <c r="E1099" s="852"/>
      <c r="F1099" s="853"/>
    </row>
    <row r="1100" spans="4:6" x14ac:dyDescent="0.2">
      <c r="D1100" s="852"/>
      <c r="E1100" s="852"/>
      <c r="F1100" s="853"/>
    </row>
    <row r="1101" spans="4:6" x14ac:dyDescent="0.2">
      <c r="D1101" s="852"/>
      <c r="E1101" s="852"/>
      <c r="F1101" s="853"/>
    </row>
    <row r="1102" spans="4:6" x14ac:dyDescent="0.2">
      <c r="D1102" s="852"/>
      <c r="E1102" s="852"/>
      <c r="F1102" s="853"/>
    </row>
    <row r="1103" spans="4:6" x14ac:dyDescent="0.2">
      <c r="D1103" s="852"/>
      <c r="E1103" s="852"/>
      <c r="F1103" s="853"/>
    </row>
    <row r="1104" spans="4:6" x14ac:dyDescent="0.2">
      <c r="D1104" s="852"/>
      <c r="E1104" s="852"/>
      <c r="F1104" s="853"/>
    </row>
    <row r="1105" spans="4:6" x14ac:dyDescent="0.2">
      <c r="D1105" s="852"/>
      <c r="E1105" s="852"/>
      <c r="F1105" s="853"/>
    </row>
    <row r="1106" spans="4:6" x14ac:dyDescent="0.2">
      <c r="D1106" s="852"/>
      <c r="E1106" s="852"/>
      <c r="F1106" s="853"/>
    </row>
    <row r="1107" spans="4:6" x14ac:dyDescent="0.2">
      <c r="D1107" s="852"/>
      <c r="E1107" s="852"/>
      <c r="F1107" s="853"/>
    </row>
    <row r="1108" spans="4:6" x14ac:dyDescent="0.2">
      <c r="D1108" s="852"/>
      <c r="E1108" s="852"/>
      <c r="F1108" s="853"/>
    </row>
    <row r="1109" spans="4:6" x14ac:dyDescent="0.2">
      <c r="D1109" s="852"/>
      <c r="E1109" s="852"/>
      <c r="F1109" s="853"/>
    </row>
    <row r="1110" spans="4:6" x14ac:dyDescent="0.2">
      <c r="D1110" s="852"/>
      <c r="E1110" s="852"/>
      <c r="F1110" s="853"/>
    </row>
    <row r="1111" spans="4:6" x14ac:dyDescent="0.2">
      <c r="D1111" s="852"/>
      <c r="E1111" s="852"/>
      <c r="F1111" s="853"/>
    </row>
    <row r="1112" spans="4:6" x14ac:dyDescent="0.2">
      <c r="D1112" s="852"/>
      <c r="E1112" s="852"/>
      <c r="F1112" s="853"/>
    </row>
    <row r="1113" spans="4:6" x14ac:dyDescent="0.2">
      <c r="D1113" s="852"/>
      <c r="E1113" s="852"/>
      <c r="F1113" s="853"/>
    </row>
    <row r="1114" spans="4:6" x14ac:dyDescent="0.2">
      <c r="D1114" s="852"/>
      <c r="E1114" s="852"/>
      <c r="F1114" s="853"/>
    </row>
    <row r="1115" spans="4:6" x14ac:dyDescent="0.2">
      <c r="D1115" s="852"/>
      <c r="E1115" s="852"/>
      <c r="F1115" s="853"/>
    </row>
    <row r="1116" spans="4:6" x14ac:dyDescent="0.2">
      <c r="D1116" s="852"/>
      <c r="E1116" s="852"/>
      <c r="F1116" s="853"/>
    </row>
    <row r="1117" spans="4:6" x14ac:dyDescent="0.2">
      <c r="D1117" s="852"/>
      <c r="E1117" s="852"/>
      <c r="F1117" s="853"/>
    </row>
    <row r="1118" spans="4:6" x14ac:dyDescent="0.2">
      <c r="D1118" s="852"/>
      <c r="E1118" s="852"/>
      <c r="F1118" s="853"/>
    </row>
    <row r="1119" spans="4:6" x14ac:dyDescent="0.2">
      <c r="D1119" s="852"/>
      <c r="E1119" s="852"/>
      <c r="F1119" s="853"/>
    </row>
    <row r="1120" spans="4:6" x14ac:dyDescent="0.2">
      <c r="D1120" s="852"/>
      <c r="E1120" s="852"/>
      <c r="F1120" s="853"/>
    </row>
    <row r="1121" spans="4:6" x14ac:dyDescent="0.2">
      <c r="D1121" s="852"/>
      <c r="E1121" s="852"/>
      <c r="F1121" s="853"/>
    </row>
    <row r="1122" spans="4:6" x14ac:dyDescent="0.2">
      <c r="D1122" s="852"/>
      <c r="E1122" s="852"/>
      <c r="F1122" s="853"/>
    </row>
    <row r="1123" spans="4:6" x14ac:dyDescent="0.2">
      <c r="D1123" s="852"/>
      <c r="E1123" s="852"/>
      <c r="F1123" s="853"/>
    </row>
    <row r="1124" spans="4:6" x14ac:dyDescent="0.2">
      <c r="D1124" s="852"/>
      <c r="E1124" s="852"/>
      <c r="F1124" s="853"/>
    </row>
    <row r="1125" spans="4:6" x14ac:dyDescent="0.2">
      <c r="D1125" s="852"/>
      <c r="E1125" s="852"/>
      <c r="F1125" s="853"/>
    </row>
    <row r="1126" spans="4:6" x14ac:dyDescent="0.2">
      <c r="D1126" s="852"/>
      <c r="E1126" s="852"/>
      <c r="F1126" s="853"/>
    </row>
    <row r="1127" spans="4:6" x14ac:dyDescent="0.2">
      <c r="D1127" s="852"/>
      <c r="E1127" s="852"/>
      <c r="F1127" s="853"/>
    </row>
    <row r="1128" spans="4:6" x14ac:dyDescent="0.2">
      <c r="D1128" s="852"/>
      <c r="E1128" s="852"/>
      <c r="F1128" s="853"/>
    </row>
    <row r="1129" spans="4:6" x14ac:dyDescent="0.2">
      <c r="D1129" s="852"/>
      <c r="E1129" s="852"/>
      <c r="F1129" s="853"/>
    </row>
    <row r="1130" spans="4:6" x14ac:dyDescent="0.2">
      <c r="D1130" s="852"/>
      <c r="E1130" s="852"/>
      <c r="F1130" s="853"/>
    </row>
    <row r="1131" spans="4:6" x14ac:dyDescent="0.2">
      <c r="D1131" s="852"/>
      <c r="E1131" s="852"/>
      <c r="F1131" s="853"/>
    </row>
    <row r="1132" spans="4:6" x14ac:dyDescent="0.2">
      <c r="D1132" s="852"/>
      <c r="E1132" s="852"/>
      <c r="F1132" s="853"/>
    </row>
    <row r="1133" spans="4:6" x14ac:dyDescent="0.2">
      <c r="D1133" s="852"/>
      <c r="E1133" s="852"/>
      <c r="F1133" s="853"/>
    </row>
    <row r="1134" spans="4:6" x14ac:dyDescent="0.2">
      <c r="D1134" s="852"/>
      <c r="E1134" s="852"/>
      <c r="F1134" s="853"/>
    </row>
    <row r="1135" spans="4:6" x14ac:dyDescent="0.2">
      <c r="D1135" s="852"/>
      <c r="E1135" s="852"/>
      <c r="F1135" s="853"/>
    </row>
    <row r="1136" spans="4:6" x14ac:dyDescent="0.2">
      <c r="D1136" s="852"/>
      <c r="E1136" s="852"/>
      <c r="F1136" s="853"/>
    </row>
    <row r="1137" spans="4:6" x14ac:dyDescent="0.2">
      <c r="D1137" s="852"/>
      <c r="E1137" s="852"/>
      <c r="F1137" s="853"/>
    </row>
    <row r="1138" spans="4:6" x14ac:dyDescent="0.2">
      <c r="D1138" s="852"/>
      <c r="E1138" s="852"/>
      <c r="F1138" s="853"/>
    </row>
    <row r="1139" spans="4:6" x14ac:dyDescent="0.2">
      <c r="D1139" s="852"/>
      <c r="E1139" s="852"/>
      <c r="F1139" s="853"/>
    </row>
    <row r="1140" spans="4:6" x14ac:dyDescent="0.2">
      <c r="D1140" s="852"/>
      <c r="E1140" s="852"/>
      <c r="F1140" s="853"/>
    </row>
    <row r="1141" spans="4:6" x14ac:dyDescent="0.2">
      <c r="D1141" s="852"/>
      <c r="E1141" s="852"/>
      <c r="F1141" s="853"/>
    </row>
    <row r="1142" spans="4:6" x14ac:dyDescent="0.2">
      <c r="D1142" s="852"/>
      <c r="E1142" s="852"/>
      <c r="F1142" s="853"/>
    </row>
    <row r="1143" spans="4:6" x14ac:dyDescent="0.2">
      <c r="D1143" s="852"/>
      <c r="E1143" s="852"/>
      <c r="F1143" s="853"/>
    </row>
    <row r="1144" spans="4:6" x14ac:dyDescent="0.2">
      <c r="D1144" s="852"/>
      <c r="E1144" s="852"/>
      <c r="F1144" s="853"/>
    </row>
    <row r="1145" spans="4:6" x14ac:dyDescent="0.2">
      <c r="D1145" s="852"/>
      <c r="E1145" s="852"/>
      <c r="F1145" s="853"/>
    </row>
    <row r="1146" spans="4:6" x14ac:dyDescent="0.2">
      <c r="D1146" s="852"/>
      <c r="E1146" s="852"/>
      <c r="F1146" s="853"/>
    </row>
    <row r="1147" spans="4:6" x14ac:dyDescent="0.2">
      <c r="D1147" s="852"/>
      <c r="E1147" s="852"/>
      <c r="F1147" s="853"/>
    </row>
    <row r="1148" spans="4:6" x14ac:dyDescent="0.2">
      <c r="D1148" s="852"/>
      <c r="E1148" s="852"/>
      <c r="F1148" s="853"/>
    </row>
    <row r="1149" spans="4:6" x14ac:dyDescent="0.2">
      <c r="D1149" s="852"/>
      <c r="E1149" s="852"/>
      <c r="F1149" s="853"/>
    </row>
    <row r="1150" spans="4:6" x14ac:dyDescent="0.2">
      <c r="D1150" s="852"/>
      <c r="E1150" s="852"/>
      <c r="F1150" s="853"/>
    </row>
    <row r="1151" spans="4:6" x14ac:dyDescent="0.2">
      <c r="D1151" s="852"/>
      <c r="E1151" s="852"/>
      <c r="F1151" s="853"/>
    </row>
    <row r="1152" spans="4:6" x14ac:dyDescent="0.2">
      <c r="D1152" s="852"/>
      <c r="E1152" s="852"/>
      <c r="F1152" s="853"/>
    </row>
    <row r="1153" spans="4:6" x14ac:dyDescent="0.2">
      <c r="D1153" s="852"/>
      <c r="E1153" s="852"/>
      <c r="F1153" s="853"/>
    </row>
    <row r="1154" spans="4:6" x14ac:dyDescent="0.2">
      <c r="D1154" s="852"/>
      <c r="E1154" s="852"/>
      <c r="F1154" s="853"/>
    </row>
    <row r="1155" spans="4:6" x14ac:dyDescent="0.2">
      <c r="D1155" s="852"/>
      <c r="E1155" s="852"/>
      <c r="F1155" s="853"/>
    </row>
    <row r="1156" spans="4:6" x14ac:dyDescent="0.2">
      <c r="D1156" s="852"/>
      <c r="E1156" s="852"/>
      <c r="F1156" s="853"/>
    </row>
    <row r="1157" spans="4:6" x14ac:dyDescent="0.2">
      <c r="D1157" s="852"/>
      <c r="E1157" s="852"/>
      <c r="F1157" s="853"/>
    </row>
    <row r="1158" spans="4:6" x14ac:dyDescent="0.2">
      <c r="D1158" s="852"/>
      <c r="E1158" s="852"/>
      <c r="F1158" s="853"/>
    </row>
    <row r="1159" spans="4:6" x14ac:dyDescent="0.2">
      <c r="D1159" s="852"/>
      <c r="E1159" s="852"/>
      <c r="F1159" s="853"/>
    </row>
    <row r="1160" spans="4:6" x14ac:dyDescent="0.2">
      <c r="D1160" s="852"/>
      <c r="E1160" s="852"/>
      <c r="F1160" s="853"/>
    </row>
    <row r="1161" spans="4:6" x14ac:dyDescent="0.2">
      <c r="D1161" s="852"/>
      <c r="E1161" s="852"/>
      <c r="F1161" s="853"/>
    </row>
    <row r="1162" spans="4:6" x14ac:dyDescent="0.2">
      <c r="D1162" s="852"/>
      <c r="E1162" s="852"/>
      <c r="F1162" s="853"/>
    </row>
    <row r="1163" spans="4:6" x14ac:dyDescent="0.2">
      <c r="D1163" s="852"/>
      <c r="E1163" s="852"/>
      <c r="F1163" s="853"/>
    </row>
    <row r="1164" spans="4:6" x14ac:dyDescent="0.2">
      <c r="D1164" s="852"/>
      <c r="E1164" s="852"/>
      <c r="F1164" s="853"/>
    </row>
    <row r="1165" spans="4:6" x14ac:dyDescent="0.2">
      <c r="D1165" s="852"/>
      <c r="E1165" s="852"/>
      <c r="F1165" s="853"/>
    </row>
    <row r="1166" spans="4:6" x14ac:dyDescent="0.2">
      <c r="D1166" s="852"/>
      <c r="E1166" s="852"/>
      <c r="F1166" s="853"/>
    </row>
    <row r="1167" spans="4:6" x14ac:dyDescent="0.2">
      <c r="D1167" s="852"/>
      <c r="E1167" s="852"/>
      <c r="F1167" s="853"/>
    </row>
    <row r="1168" spans="4:6" x14ac:dyDescent="0.2">
      <c r="D1168" s="852"/>
      <c r="E1168" s="852"/>
      <c r="F1168" s="853"/>
    </row>
    <row r="1169" spans="4:6" x14ac:dyDescent="0.2">
      <c r="D1169" s="852"/>
      <c r="E1169" s="852"/>
      <c r="F1169" s="853"/>
    </row>
    <row r="1170" spans="4:6" x14ac:dyDescent="0.2">
      <c r="D1170" s="852"/>
      <c r="E1170" s="852"/>
      <c r="F1170" s="853"/>
    </row>
    <row r="1171" spans="4:6" x14ac:dyDescent="0.2">
      <c r="D1171" s="852"/>
      <c r="E1171" s="852"/>
      <c r="F1171" s="853"/>
    </row>
    <row r="1172" spans="4:6" x14ac:dyDescent="0.2">
      <c r="D1172" s="852"/>
      <c r="E1172" s="852"/>
      <c r="F1172" s="853"/>
    </row>
    <row r="1173" spans="4:6" x14ac:dyDescent="0.2">
      <c r="D1173" s="852"/>
      <c r="E1173" s="852"/>
      <c r="F1173" s="853"/>
    </row>
    <row r="1174" spans="4:6" x14ac:dyDescent="0.2">
      <c r="D1174" s="852"/>
      <c r="E1174" s="852"/>
      <c r="F1174" s="853"/>
    </row>
    <row r="1175" spans="4:6" x14ac:dyDescent="0.2">
      <c r="D1175" s="852"/>
      <c r="E1175" s="852"/>
      <c r="F1175" s="853"/>
    </row>
    <row r="1176" spans="4:6" x14ac:dyDescent="0.2">
      <c r="D1176" s="852"/>
      <c r="E1176" s="852"/>
      <c r="F1176" s="853"/>
    </row>
    <row r="1177" spans="4:6" x14ac:dyDescent="0.2">
      <c r="D1177" s="852"/>
      <c r="E1177" s="852"/>
      <c r="F1177" s="853"/>
    </row>
    <row r="1178" spans="4:6" x14ac:dyDescent="0.2">
      <c r="D1178" s="852"/>
      <c r="E1178" s="852"/>
      <c r="F1178" s="853"/>
    </row>
    <row r="1179" spans="4:6" x14ac:dyDescent="0.2">
      <c r="D1179" s="852"/>
      <c r="E1179" s="852"/>
      <c r="F1179" s="853"/>
    </row>
    <row r="1180" spans="4:6" x14ac:dyDescent="0.2">
      <c r="D1180" s="852"/>
      <c r="E1180" s="852"/>
      <c r="F1180" s="853"/>
    </row>
    <row r="1181" spans="4:6" x14ac:dyDescent="0.2">
      <c r="D1181" s="852"/>
      <c r="E1181" s="852"/>
      <c r="F1181" s="853"/>
    </row>
    <row r="1182" spans="4:6" x14ac:dyDescent="0.2">
      <c r="D1182" s="852"/>
      <c r="E1182" s="852"/>
      <c r="F1182" s="853"/>
    </row>
    <row r="1183" spans="4:6" x14ac:dyDescent="0.2">
      <c r="D1183" s="852"/>
      <c r="E1183" s="852"/>
      <c r="F1183" s="853"/>
    </row>
    <row r="1184" spans="4:6" x14ac:dyDescent="0.2">
      <c r="D1184" s="852"/>
      <c r="E1184" s="852"/>
      <c r="F1184" s="853"/>
    </row>
    <row r="1185" spans="4:6" x14ac:dyDescent="0.2">
      <c r="D1185" s="852"/>
      <c r="E1185" s="852"/>
      <c r="F1185" s="853"/>
    </row>
    <row r="1186" spans="4:6" x14ac:dyDescent="0.2">
      <c r="D1186" s="852"/>
      <c r="E1186" s="852"/>
      <c r="F1186" s="853"/>
    </row>
    <row r="1187" spans="4:6" x14ac:dyDescent="0.2">
      <c r="D1187" s="852"/>
      <c r="E1187" s="852"/>
      <c r="F1187" s="853"/>
    </row>
    <row r="1188" spans="4:6" x14ac:dyDescent="0.2">
      <c r="D1188" s="852"/>
      <c r="E1188" s="852"/>
      <c r="F1188" s="853"/>
    </row>
    <row r="1189" spans="4:6" x14ac:dyDescent="0.2">
      <c r="D1189" s="852"/>
      <c r="E1189" s="852"/>
      <c r="F1189" s="853"/>
    </row>
    <row r="1190" spans="4:6" x14ac:dyDescent="0.2">
      <c r="D1190" s="852"/>
      <c r="E1190" s="852"/>
      <c r="F1190" s="853"/>
    </row>
    <row r="1191" spans="4:6" x14ac:dyDescent="0.2">
      <c r="D1191" s="852"/>
      <c r="E1191" s="852"/>
      <c r="F1191" s="853"/>
    </row>
    <row r="1192" spans="4:6" x14ac:dyDescent="0.2">
      <c r="D1192" s="852"/>
      <c r="E1192" s="852"/>
      <c r="F1192" s="853"/>
    </row>
    <row r="1193" spans="4:6" x14ac:dyDescent="0.2">
      <c r="D1193" s="852"/>
      <c r="E1193" s="852"/>
      <c r="F1193" s="853"/>
    </row>
    <row r="1194" spans="4:6" x14ac:dyDescent="0.2">
      <c r="D1194" s="852"/>
      <c r="E1194" s="852"/>
      <c r="F1194" s="853"/>
    </row>
    <row r="1195" spans="4:6" x14ac:dyDescent="0.2">
      <c r="D1195" s="852"/>
      <c r="E1195" s="852"/>
      <c r="F1195" s="853"/>
    </row>
    <row r="1196" spans="4:6" x14ac:dyDescent="0.2">
      <c r="D1196" s="852"/>
      <c r="E1196" s="852"/>
      <c r="F1196" s="853"/>
    </row>
    <row r="1197" spans="4:6" x14ac:dyDescent="0.2">
      <c r="D1197" s="852"/>
      <c r="E1197" s="852"/>
      <c r="F1197" s="853"/>
    </row>
    <row r="1198" spans="4:6" x14ac:dyDescent="0.2">
      <c r="D1198" s="852"/>
      <c r="E1198" s="852"/>
      <c r="F1198" s="853"/>
    </row>
    <row r="1199" spans="4:6" x14ac:dyDescent="0.2">
      <c r="D1199" s="852"/>
      <c r="E1199" s="852"/>
      <c r="F1199" s="853"/>
    </row>
    <row r="1200" spans="4:6" x14ac:dyDescent="0.2">
      <c r="D1200" s="852"/>
      <c r="E1200" s="852"/>
      <c r="F1200" s="853"/>
    </row>
    <row r="1201" spans="4:6" x14ac:dyDescent="0.2">
      <c r="D1201" s="852"/>
      <c r="E1201" s="852"/>
      <c r="F1201" s="853"/>
    </row>
    <row r="1202" spans="4:6" x14ac:dyDescent="0.2">
      <c r="D1202" s="852"/>
      <c r="E1202" s="852"/>
      <c r="F1202" s="853"/>
    </row>
    <row r="1203" spans="4:6" x14ac:dyDescent="0.2">
      <c r="D1203" s="852"/>
      <c r="E1203" s="852"/>
      <c r="F1203" s="853"/>
    </row>
    <row r="1204" spans="4:6" x14ac:dyDescent="0.2">
      <c r="D1204" s="852"/>
      <c r="E1204" s="852"/>
      <c r="F1204" s="853"/>
    </row>
    <row r="1205" spans="4:6" x14ac:dyDescent="0.2">
      <c r="D1205" s="852"/>
      <c r="E1205" s="852"/>
      <c r="F1205" s="853"/>
    </row>
    <row r="1206" spans="4:6" x14ac:dyDescent="0.2">
      <c r="D1206" s="852"/>
      <c r="E1206" s="852"/>
      <c r="F1206" s="853"/>
    </row>
    <row r="1207" spans="4:6" x14ac:dyDescent="0.2">
      <c r="D1207" s="852"/>
      <c r="E1207" s="852"/>
      <c r="F1207" s="853"/>
    </row>
    <row r="1208" spans="4:6" x14ac:dyDescent="0.2">
      <c r="D1208" s="852"/>
      <c r="E1208" s="852"/>
      <c r="F1208" s="853"/>
    </row>
    <row r="1209" spans="4:6" x14ac:dyDescent="0.2">
      <c r="D1209" s="852"/>
      <c r="E1209" s="852"/>
      <c r="F1209" s="853"/>
    </row>
    <row r="1210" spans="4:6" x14ac:dyDescent="0.2">
      <c r="D1210" s="852"/>
      <c r="E1210" s="852"/>
      <c r="F1210" s="853"/>
    </row>
    <row r="1211" spans="4:6" x14ac:dyDescent="0.2">
      <c r="D1211" s="852"/>
      <c r="E1211" s="852"/>
      <c r="F1211" s="853"/>
    </row>
    <row r="1212" spans="4:6" x14ac:dyDescent="0.2">
      <c r="D1212" s="852"/>
      <c r="E1212" s="852"/>
      <c r="F1212" s="853"/>
    </row>
    <row r="1213" spans="4:6" x14ac:dyDescent="0.2">
      <c r="D1213" s="852"/>
      <c r="E1213" s="852"/>
      <c r="F1213" s="853"/>
    </row>
    <row r="1214" spans="4:6" x14ac:dyDescent="0.2">
      <c r="D1214" s="852"/>
      <c r="E1214" s="852"/>
      <c r="F1214" s="853"/>
    </row>
    <row r="1215" spans="4:6" x14ac:dyDescent="0.2">
      <c r="D1215" s="852"/>
      <c r="E1215" s="852"/>
      <c r="F1215" s="853"/>
    </row>
    <row r="1216" spans="4:6" x14ac:dyDescent="0.2">
      <c r="D1216" s="852"/>
      <c r="E1216" s="852"/>
      <c r="F1216" s="853"/>
    </row>
    <row r="1217" spans="4:6" x14ac:dyDescent="0.2">
      <c r="D1217" s="852"/>
      <c r="E1217" s="852"/>
      <c r="F1217" s="853"/>
    </row>
    <row r="1218" spans="4:6" x14ac:dyDescent="0.2">
      <c r="D1218" s="852"/>
      <c r="E1218" s="852"/>
      <c r="F1218" s="853"/>
    </row>
    <row r="1219" spans="4:6" x14ac:dyDescent="0.2">
      <c r="D1219" s="852"/>
      <c r="E1219" s="852"/>
      <c r="F1219" s="853"/>
    </row>
    <row r="1220" spans="4:6" x14ac:dyDescent="0.2">
      <c r="D1220" s="852"/>
      <c r="E1220" s="852"/>
      <c r="F1220" s="853"/>
    </row>
    <row r="1221" spans="4:6" x14ac:dyDescent="0.2">
      <c r="D1221" s="852"/>
      <c r="E1221" s="852"/>
      <c r="F1221" s="853"/>
    </row>
    <row r="1222" spans="4:6" x14ac:dyDescent="0.2">
      <c r="D1222" s="852"/>
      <c r="E1222" s="852"/>
      <c r="F1222" s="853"/>
    </row>
    <row r="1223" spans="4:6" x14ac:dyDescent="0.2">
      <c r="D1223" s="852"/>
      <c r="E1223" s="852"/>
      <c r="F1223" s="853"/>
    </row>
    <row r="1224" spans="4:6" x14ac:dyDescent="0.2">
      <c r="D1224" s="852"/>
      <c r="E1224" s="852"/>
      <c r="F1224" s="853"/>
    </row>
    <row r="1225" spans="4:6" x14ac:dyDescent="0.2">
      <c r="D1225" s="852"/>
      <c r="E1225" s="852"/>
      <c r="F1225" s="853"/>
    </row>
    <row r="1226" spans="4:6" x14ac:dyDescent="0.2">
      <c r="D1226" s="852"/>
      <c r="E1226" s="852"/>
      <c r="F1226" s="853"/>
    </row>
    <row r="1227" spans="4:6" x14ac:dyDescent="0.2">
      <c r="D1227" s="852"/>
      <c r="E1227" s="852"/>
      <c r="F1227" s="853"/>
    </row>
    <row r="1228" spans="4:6" x14ac:dyDescent="0.2">
      <c r="D1228" s="852"/>
      <c r="E1228" s="852"/>
      <c r="F1228" s="853"/>
    </row>
    <row r="1229" spans="4:6" x14ac:dyDescent="0.2">
      <c r="D1229" s="852"/>
      <c r="E1229" s="852"/>
      <c r="F1229" s="853"/>
    </row>
    <row r="1230" spans="4:6" x14ac:dyDescent="0.2">
      <c r="D1230" s="852"/>
      <c r="E1230" s="852"/>
      <c r="F1230" s="853"/>
    </row>
    <row r="1231" spans="4:6" x14ac:dyDescent="0.2">
      <c r="D1231" s="852"/>
      <c r="E1231" s="852"/>
      <c r="F1231" s="853"/>
    </row>
    <row r="1232" spans="4:6" x14ac:dyDescent="0.2">
      <c r="D1232" s="852"/>
      <c r="E1232" s="852"/>
      <c r="F1232" s="853"/>
    </row>
    <row r="1233" spans="4:6" x14ac:dyDescent="0.2">
      <c r="D1233" s="852"/>
      <c r="E1233" s="852"/>
      <c r="F1233" s="853"/>
    </row>
    <row r="1234" spans="4:6" x14ac:dyDescent="0.2">
      <c r="D1234" s="852"/>
      <c r="E1234" s="852"/>
      <c r="F1234" s="853"/>
    </row>
    <row r="1235" spans="4:6" x14ac:dyDescent="0.2">
      <c r="D1235" s="852"/>
      <c r="E1235" s="852"/>
      <c r="F1235" s="853"/>
    </row>
    <row r="1236" spans="4:6" x14ac:dyDescent="0.2">
      <c r="D1236" s="852"/>
      <c r="E1236" s="852"/>
      <c r="F1236" s="853"/>
    </row>
    <row r="1237" spans="4:6" x14ac:dyDescent="0.2">
      <c r="D1237" s="852"/>
      <c r="E1237" s="852"/>
      <c r="F1237" s="853"/>
    </row>
    <row r="1238" spans="4:6" x14ac:dyDescent="0.2">
      <c r="D1238" s="852"/>
      <c r="E1238" s="852"/>
      <c r="F1238" s="853"/>
    </row>
    <row r="1239" spans="4:6" x14ac:dyDescent="0.2">
      <c r="D1239" s="852"/>
      <c r="E1239" s="852"/>
      <c r="F1239" s="853"/>
    </row>
    <row r="1240" spans="4:6" x14ac:dyDescent="0.2">
      <c r="D1240" s="852"/>
      <c r="E1240" s="852"/>
      <c r="F1240" s="853"/>
    </row>
    <row r="1241" spans="4:6" x14ac:dyDescent="0.2">
      <c r="D1241" s="852"/>
      <c r="E1241" s="852"/>
      <c r="F1241" s="853"/>
    </row>
    <row r="1242" spans="4:6" x14ac:dyDescent="0.2">
      <c r="D1242" s="852"/>
      <c r="E1242" s="852"/>
      <c r="F1242" s="853"/>
    </row>
    <row r="1243" spans="4:6" x14ac:dyDescent="0.2">
      <c r="D1243" s="852"/>
      <c r="E1243" s="852"/>
      <c r="F1243" s="853"/>
    </row>
    <row r="1244" spans="4:6" x14ac:dyDescent="0.2">
      <c r="D1244" s="852"/>
      <c r="E1244" s="852"/>
      <c r="F1244" s="853"/>
    </row>
    <row r="1245" spans="4:6" x14ac:dyDescent="0.2">
      <c r="D1245" s="852"/>
      <c r="E1245" s="852"/>
      <c r="F1245" s="853"/>
    </row>
    <row r="1246" spans="4:6" x14ac:dyDescent="0.2">
      <c r="D1246" s="852"/>
      <c r="E1246" s="852"/>
      <c r="F1246" s="853"/>
    </row>
    <row r="1247" spans="4:6" x14ac:dyDescent="0.2">
      <c r="D1247" s="852"/>
      <c r="E1247" s="852"/>
      <c r="F1247" s="853"/>
    </row>
    <row r="1248" spans="4:6" x14ac:dyDescent="0.2">
      <c r="D1248" s="852"/>
      <c r="E1248" s="852"/>
      <c r="F1248" s="853"/>
    </row>
    <row r="1249" spans="4:6" x14ac:dyDescent="0.2">
      <c r="D1249" s="852"/>
      <c r="E1249" s="852"/>
      <c r="F1249" s="853"/>
    </row>
    <row r="1250" spans="4:6" x14ac:dyDescent="0.2">
      <c r="D1250" s="852"/>
      <c r="E1250" s="852"/>
      <c r="F1250" s="853"/>
    </row>
    <row r="1251" spans="4:6" x14ac:dyDescent="0.2">
      <c r="D1251" s="852"/>
      <c r="E1251" s="852"/>
      <c r="F1251" s="853"/>
    </row>
    <row r="1252" spans="4:6" x14ac:dyDescent="0.2">
      <c r="D1252" s="852"/>
      <c r="E1252" s="852"/>
      <c r="F1252" s="853"/>
    </row>
    <row r="1253" spans="4:6" x14ac:dyDescent="0.2">
      <c r="D1253" s="852"/>
      <c r="E1253" s="852"/>
      <c r="F1253" s="853"/>
    </row>
    <row r="1254" spans="4:6" x14ac:dyDescent="0.2">
      <c r="D1254" s="852"/>
      <c r="E1254" s="852"/>
      <c r="F1254" s="853"/>
    </row>
    <row r="1255" spans="4:6" x14ac:dyDescent="0.2">
      <c r="D1255" s="852"/>
      <c r="E1255" s="852"/>
      <c r="F1255" s="853"/>
    </row>
    <row r="1256" spans="4:6" x14ac:dyDescent="0.2">
      <c r="D1256" s="852"/>
      <c r="E1256" s="852"/>
      <c r="F1256" s="853"/>
    </row>
    <row r="1257" spans="4:6" x14ac:dyDescent="0.2">
      <c r="D1257" s="852"/>
      <c r="E1257" s="852"/>
      <c r="F1257" s="853"/>
    </row>
    <row r="1258" spans="4:6" x14ac:dyDescent="0.2">
      <c r="D1258" s="852"/>
      <c r="E1258" s="852"/>
      <c r="F1258" s="853"/>
    </row>
    <row r="1259" spans="4:6" x14ac:dyDescent="0.2">
      <c r="D1259" s="852"/>
      <c r="E1259" s="852"/>
      <c r="F1259" s="853"/>
    </row>
    <row r="1260" spans="4:6" x14ac:dyDescent="0.2">
      <c r="D1260" s="852"/>
      <c r="E1260" s="852"/>
      <c r="F1260" s="853"/>
    </row>
    <row r="1261" spans="4:6" x14ac:dyDescent="0.2">
      <c r="D1261" s="852"/>
      <c r="E1261" s="852"/>
      <c r="F1261" s="853"/>
    </row>
    <row r="1262" spans="4:6" x14ac:dyDescent="0.2">
      <c r="D1262" s="852"/>
      <c r="E1262" s="852"/>
      <c r="F1262" s="853"/>
    </row>
    <row r="1263" spans="4:6" x14ac:dyDescent="0.2">
      <c r="D1263" s="852"/>
      <c r="E1263" s="852"/>
      <c r="F1263" s="853"/>
    </row>
    <row r="1264" spans="4:6" x14ac:dyDescent="0.2">
      <c r="D1264" s="852"/>
      <c r="E1264" s="852"/>
      <c r="F1264" s="853"/>
    </row>
    <row r="1265" spans="4:6" x14ac:dyDescent="0.2">
      <c r="D1265" s="852"/>
      <c r="E1265" s="852"/>
      <c r="F1265" s="853"/>
    </row>
    <row r="1266" spans="4:6" x14ac:dyDescent="0.2">
      <c r="D1266" s="852"/>
      <c r="E1266" s="852"/>
      <c r="F1266" s="853"/>
    </row>
    <row r="1267" spans="4:6" x14ac:dyDescent="0.2">
      <c r="D1267" s="852"/>
      <c r="E1267" s="852"/>
      <c r="F1267" s="853"/>
    </row>
    <row r="1268" spans="4:6" x14ac:dyDescent="0.2">
      <c r="D1268" s="852"/>
      <c r="E1268" s="852"/>
      <c r="F1268" s="853"/>
    </row>
    <row r="1269" spans="4:6" x14ac:dyDescent="0.2">
      <c r="D1269" s="852"/>
      <c r="E1269" s="852"/>
      <c r="F1269" s="853"/>
    </row>
    <row r="1270" spans="4:6" x14ac:dyDescent="0.2">
      <c r="D1270" s="852"/>
      <c r="E1270" s="852"/>
      <c r="F1270" s="853"/>
    </row>
    <row r="1271" spans="4:6" x14ac:dyDescent="0.2">
      <c r="D1271" s="852"/>
      <c r="E1271" s="852"/>
      <c r="F1271" s="853"/>
    </row>
    <row r="1272" spans="4:6" x14ac:dyDescent="0.2">
      <c r="D1272" s="852"/>
      <c r="E1272" s="852"/>
      <c r="F1272" s="853"/>
    </row>
    <row r="1273" spans="4:6" x14ac:dyDescent="0.2">
      <c r="D1273" s="852"/>
      <c r="E1273" s="852"/>
      <c r="F1273" s="853"/>
    </row>
    <row r="1274" spans="4:6" x14ac:dyDescent="0.2">
      <c r="D1274" s="852"/>
      <c r="E1274" s="852"/>
      <c r="F1274" s="853"/>
    </row>
    <row r="1275" spans="4:6" x14ac:dyDescent="0.2">
      <c r="D1275" s="852"/>
      <c r="E1275" s="852"/>
      <c r="F1275" s="853"/>
    </row>
    <row r="1276" spans="4:6" x14ac:dyDescent="0.2">
      <c r="D1276" s="852"/>
      <c r="E1276" s="852"/>
      <c r="F1276" s="853"/>
    </row>
    <row r="1277" spans="4:6" x14ac:dyDescent="0.2">
      <c r="D1277" s="852"/>
      <c r="E1277" s="852"/>
      <c r="F1277" s="853"/>
    </row>
    <row r="1278" spans="4:6" x14ac:dyDescent="0.2">
      <c r="D1278" s="852"/>
      <c r="E1278" s="852"/>
      <c r="F1278" s="853"/>
    </row>
    <row r="1279" spans="4:6" x14ac:dyDescent="0.2">
      <c r="D1279" s="852"/>
      <c r="E1279" s="852"/>
      <c r="F1279" s="853"/>
    </row>
    <row r="1280" spans="4:6" x14ac:dyDescent="0.2">
      <c r="D1280" s="852"/>
      <c r="E1280" s="852"/>
      <c r="F1280" s="853"/>
    </row>
    <row r="1281" spans="4:6" x14ac:dyDescent="0.2">
      <c r="D1281" s="852"/>
      <c r="E1281" s="852"/>
      <c r="F1281" s="853"/>
    </row>
    <row r="1282" spans="4:6" x14ac:dyDescent="0.2">
      <c r="D1282" s="852"/>
      <c r="E1282" s="852"/>
      <c r="F1282" s="853"/>
    </row>
    <row r="1283" spans="4:6" x14ac:dyDescent="0.2">
      <c r="D1283" s="852"/>
      <c r="E1283" s="852"/>
      <c r="F1283" s="853"/>
    </row>
    <row r="1284" spans="4:6" x14ac:dyDescent="0.2">
      <c r="D1284" s="852"/>
      <c r="E1284" s="852"/>
      <c r="F1284" s="853"/>
    </row>
    <row r="1285" spans="4:6" x14ac:dyDescent="0.2">
      <c r="D1285" s="852"/>
      <c r="E1285" s="852"/>
      <c r="F1285" s="853"/>
    </row>
    <row r="1286" spans="4:6" x14ac:dyDescent="0.2">
      <c r="D1286" s="852"/>
      <c r="E1286" s="852"/>
      <c r="F1286" s="853"/>
    </row>
    <row r="1287" spans="4:6" x14ac:dyDescent="0.2">
      <c r="D1287" s="852"/>
      <c r="E1287" s="852"/>
      <c r="F1287" s="853"/>
    </row>
    <row r="1288" spans="4:6" x14ac:dyDescent="0.2">
      <c r="D1288" s="852"/>
      <c r="E1288" s="852"/>
      <c r="F1288" s="853"/>
    </row>
    <row r="1289" spans="4:6" x14ac:dyDescent="0.2">
      <c r="D1289" s="852"/>
      <c r="E1289" s="852"/>
      <c r="F1289" s="853"/>
    </row>
    <row r="1290" spans="4:6" x14ac:dyDescent="0.2">
      <c r="D1290" s="852"/>
      <c r="E1290" s="852"/>
      <c r="F1290" s="853"/>
    </row>
    <row r="1291" spans="4:6" x14ac:dyDescent="0.2">
      <c r="D1291" s="852"/>
      <c r="E1291" s="852"/>
      <c r="F1291" s="853"/>
    </row>
    <row r="1292" spans="4:6" x14ac:dyDescent="0.2">
      <c r="D1292" s="852"/>
      <c r="E1292" s="852"/>
      <c r="F1292" s="853"/>
    </row>
    <row r="1293" spans="4:6" x14ac:dyDescent="0.2">
      <c r="D1293" s="852"/>
      <c r="E1293" s="852"/>
      <c r="F1293" s="853"/>
    </row>
    <row r="1294" spans="4:6" x14ac:dyDescent="0.2">
      <c r="D1294" s="852"/>
      <c r="E1294" s="852"/>
      <c r="F1294" s="853"/>
    </row>
    <row r="1295" spans="4:6" x14ac:dyDescent="0.2">
      <c r="D1295" s="852"/>
      <c r="E1295" s="852"/>
      <c r="F1295" s="853"/>
    </row>
    <row r="1296" spans="4:6" x14ac:dyDescent="0.2">
      <c r="D1296" s="852"/>
      <c r="E1296" s="852"/>
      <c r="F1296" s="853"/>
    </row>
    <row r="1297" spans="4:6" x14ac:dyDescent="0.2">
      <c r="D1297" s="852"/>
      <c r="E1297" s="852"/>
      <c r="F1297" s="853"/>
    </row>
    <row r="1298" spans="4:6" x14ac:dyDescent="0.2">
      <c r="D1298" s="852"/>
      <c r="E1298" s="852"/>
      <c r="F1298" s="853"/>
    </row>
    <row r="1299" spans="4:6" x14ac:dyDescent="0.2">
      <c r="D1299" s="852"/>
      <c r="E1299" s="852"/>
      <c r="F1299" s="853"/>
    </row>
    <row r="1300" spans="4:6" x14ac:dyDescent="0.2">
      <c r="D1300" s="852"/>
      <c r="E1300" s="852"/>
      <c r="F1300" s="853"/>
    </row>
    <row r="1301" spans="4:6" x14ac:dyDescent="0.2">
      <c r="D1301" s="852"/>
      <c r="E1301" s="852"/>
      <c r="F1301" s="853"/>
    </row>
    <row r="1302" spans="4:6" x14ac:dyDescent="0.2">
      <c r="D1302" s="852"/>
      <c r="E1302" s="852"/>
      <c r="F1302" s="853"/>
    </row>
    <row r="1303" spans="4:6" x14ac:dyDescent="0.2">
      <c r="D1303" s="852"/>
      <c r="E1303" s="852"/>
      <c r="F1303" s="853"/>
    </row>
    <row r="1304" spans="4:6" x14ac:dyDescent="0.2">
      <c r="D1304" s="852"/>
      <c r="E1304" s="852"/>
      <c r="F1304" s="853"/>
    </row>
    <row r="1305" spans="4:6" x14ac:dyDescent="0.2">
      <c r="D1305" s="852"/>
      <c r="E1305" s="852"/>
      <c r="F1305" s="853"/>
    </row>
    <row r="1306" spans="4:6" x14ac:dyDescent="0.2">
      <c r="D1306" s="852"/>
      <c r="E1306" s="852"/>
      <c r="F1306" s="853"/>
    </row>
    <row r="1307" spans="4:6" x14ac:dyDescent="0.2">
      <c r="D1307" s="852"/>
      <c r="E1307" s="852"/>
      <c r="F1307" s="853"/>
    </row>
    <row r="1308" spans="4:6" x14ac:dyDescent="0.2">
      <c r="D1308" s="852"/>
      <c r="E1308" s="852"/>
      <c r="F1308" s="853"/>
    </row>
    <row r="1309" spans="4:6" x14ac:dyDescent="0.2">
      <c r="D1309" s="852"/>
      <c r="E1309" s="852"/>
      <c r="F1309" s="853"/>
    </row>
    <row r="1310" spans="4:6" x14ac:dyDescent="0.2">
      <c r="D1310" s="852"/>
      <c r="E1310" s="852"/>
      <c r="F1310" s="853"/>
    </row>
    <row r="1311" spans="4:6" x14ac:dyDescent="0.2">
      <c r="D1311" s="852"/>
      <c r="E1311" s="852"/>
      <c r="F1311" s="853"/>
    </row>
    <row r="1312" spans="4:6" x14ac:dyDescent="0.2">
      <c r="D1312" s="852"/>
      <c r="E1312" s="852"/>
      <c r="F1312" s="853"/>
    </row>
    <row r="1313" spans="4:6" x14ac:dyDescent="0.2">
      <c r="D1313" s="852"/>
      <c r="E1313" s="852"/>
      <c r="F1313" s="853"/>
    </row>
    <row r="1314" spans="4:6" x14ac:dyDescent="0.2">
      <c r="D1314" s="852"/>
      <c r="E1314" s="852"/>
      <c r="F1314" s="853"/>
    </row>
    <row r="1315" spans="4:6" x14ac:dyDescent="0.2">
      <c r="D1315" s="852"/>
      <c r="E1315" s="852"/>
      <c r="F1315" s="853"/>
    </row>
    <row r="1316" spans="4:6" x14ac:dyDescent="0.2">
      <c r="D1316" s="852"/>
      <c r="E1316" s="852"/>
      <c r="F1316" s="853"/>
    </row>
    <row r="1317" spans="4:6" x14ac:dyDescent="0.2">
      <c r="D1317" s="852"/>
      <c r="E1317" s="852"/>
      <c r="F1317" s="853"/>
    </row>
    <row r="1318" spans="4:6" x14ac:dyDescent="0.2">
      <c r="D1318" s="852"/>
      <c r="E1318" s="852"/>
      <c r="F1318" s="853"/>
    </row>
    <row r="1319" spans="4:6" x14ac:dyDescent="0.2">
      <c r="D1319" s="852"/>
      <c r="E1319" s="852"/>
      <c r="F1319" s="853"/>
    </row>
    <row r="1320" spans="4:6" x14ac:dyDescent="0.2">
      <c r="D1320" s="852"/>
      <c r="E1320" s="852"/>
      <c r="F1320" s="853"/>
    </row>
    <row r="1321" spans="4:6" x14ac:dyDescent="0.2">
      <c r="D1321" s="852"/>
      <c r="E1321" s="852"/>
      <c r="F1321" s="853"/>
    </row>
    <row r="1322" spans="4:6" x14ac:dyDescent="0.2">
      <c r="D1322" s="852"/>
      <c r="E1322" s="852"/>
      <c r="F1322" s="853"/>
    </row>
    <row r="1323" spans="4:6" x14ac:dyDescent="0.2">
      <c r="D1323" s="852"/>
      <c r="E1323" s="852"/>
      <c r="F1323" s="853"/>
    </row>
    <row r="1324" spans="4:6" x14ac:dyDescent="0.2">
      <c r="D1324" s="852"/>
      <c r="E1324" s="852"/>
      <c r="F1324" s="853"/>
    </row>
    <row r="1325" spans="4:6" x14ac:dyDescent="0.2">
      <c r="D1325" s="852"/>
      <c r="E1325" s="852"/>
      <c r="F1325" s="853"/>
    </row>
    <row r="1326" spans="4:6" x14ac:dyDescent="0.2">
      <c r="D1326" s="852"/>
      <c r="E1326" s="852"/>
      <c r="F1326" s="853"/>
    </row>
    <row r="1327" spans="4:6" x14ac:dyDescent="0.2">
      <c r="D1327" s="852"/>
      <c r="E1327" s="852"/>
      <c r="F1327" s="853"/>
    </row>
    <row r="1328" spans="4:6" x14ac:dyDescent="0.2">
      <c r="D1328" s="852"/>
      <c r="E1328" s="852"/>
      <c r="F1328" s="853"/>
    </row>
    <row r="1329" spans="4:6" x14ac:dyDescent="0.2">
      <c r="D1329" s="852"/>
      <c r="E1329" s="852"/>
      <c r="F1329" s="853"/>
    </row>
    <row r="1330" spans="4:6" x14ac:dyDescent="0.2">
      <c r="D1330" s="852"/>
      <c r="E1330" s="852"/>
      <c r="F1330" s="853"/>
    </row>
    <row r="1331" spans="4:6" x14ac:dyDescent="0.2">
      <c r="D1331" s="852"/>
      <c r="E1331" s="852"/>
      <c r="F1331" s="853"/>
    </row>
    <row r="1332" spans="4:6" x14ac:dyDescent="0.2">
      <c r="D1332" s="852"/>
      <c r="E1332" s="852"/>
      <c r="F1332" s="853"/>
    </row>
    <row r="1333" spans="4:6" x14ac:dyDescent="0.2">
      <c r="D1333" s="852"/>
      <c r="E1333" s="852"/>
      <c r="F1333" s="853"/>
    </row>
    <row r="1334" spans="4:6" x14ac:dyDescent="0.2">
      <c r="D1334" s="852"/>
      <c r="E1334" s="852"/>
      <c r="F1334" s="853"/>
    </row>
    <row r="1335" spans="4:6" x14ac:dyDescent="0.2">
      <c r="D1335" s="852"/>
      <c r="E1335" s="852"/>
      <c r="F1335" s="853"/>
    </row>
    <row r="1336" spans="4:6" x14ac:dyDescent="0.2">
      <c r="D1336" s="852"/>
      <c r="E1336" s="852"/>
      <c r="F1336" s="853"/>
    </row>
    <row r="1337" spans="4:6" x14ac:dyDescent="0.2">
      <c r="D1337" s="852"/>
      <c r="E1337" s="852"/>
      <c r="F1337" s="853"/>
    </row>
    <row r="1338" spans="4:6" x14ac:dyDescent="0.2">
      <c r="D1338" s="852"/>
      <c r="E1338" s="852"/>
      <c r="F1338" s="853"/>
    </row>
    <row r="1339" spans="4:6" x14ac:dyDescent="0.2">
      <c r="D1339" s="852"/>
      <c r="E1339" s="852"/>
      <c r="F1339" s="853"/>
    </row>
    <row r="1340" spans="4:6" x14ac:dyDescent="0.2">
      <c r="D1340" s="852"/>
      <c r="E1340" s="852"/>
      <c r="F1340" s="853"/>
    </row>
    <row r="1341" spans="4:6" x14ac:dyDescent="0.2">
      <c r="D1341" s="852"/>
      <c r="E1341" s="852"/>
      <c r="F1341" s="853"/>
    </row>
    <row r="1342" spans="4:6" x14ac:dyDescent="0.2">
      <c r="D1342" s="852"/>
      <c r="E1342" s="852"/>
      <c r="F1342" s="853"/>
    </row>
    <row r="1343" spans="4:6" x14ac:dyDescent="0.2">
      <c r="D1343" s="852"/>
      <c r="E1343" s="852"/>
      <c r="F1343" s="853"/>
    </row>
    <row r="1344" spans="4:6" x14ac:dyDescent="0.2">
      <c r="D1344" s="852"/>
      <c r="E1344" s="852"/>
      <c r="F1344" s="853"/>
    </row>
    <row r="1345" spans="4:6" x14ac:dyDescent="0.2">
      <c r="D1345" s="852"/>
      <c r="E1345" s="852"/>
      <c r="F1345" s="853"/>
    </row>
    <row r="1346" spans="4:6" x14ac:dyDescent="0.2">
      <c r="D1346" s="852"/>
      <c r="E1346" s="852"/>
      <c r="F1346" s="853"/>
    </row>
    <row r="1347" spans="4:6" x14ac:dyDescent="0.2">
      <c r="D1347" s="852"/>
      <c r="E1347" s="852"/>
      <c r="F1347" s="853"/>
    </row>
    <row r="1348" spans="4:6" x14ac:dyDescent="0.2">
      <c r="D1348" s="852"/>
      <c r="E1348" s="852"/>
      <c r="F1348" s="853"/>
    </row>
    <row r="1349" spans="4:6" x14ac:dyDescent="0.2">
      <c r="D1349" s="852"/>
      <c r="E1349" s="852"/>
      <c r="F1349" s="853"/>
    </row>
    <row r="1350" spans="4:6" x14ac:dyDescent="0.2">
      <c r="D1350" s="852"/>
      <c r="E1350" s="852"/>
      <c r="F1350" s="853"/>
    </row>
    <row r="1351" spans="4:6" x14ac:dyDescent="0.2">
      <c r="D1351" s="852"/>
      <c r="E1351" s="852"/>
      <c r="F1351" s="853"/>
    </row>
    <row r="1352" spans="4:6" x14ac:dyDescent="0.2">
      <c r="D1352" s="852"/>
      <c r="E1352" s="852"/>
      <c r="F1352" s="853"/>
    </row>
    <row r="1353" spans="4:6" x14ac:dyDescent="0.2">
      <c r="D1353" s="852"/>
      <c r="E1353" s="852"/>
      <c r="F1353" s="853"/>
    </row>
    <row r="1354" spans="4:6" x14ac:dyDescent="0.2">
      <c r="D1354" s="852"/>
      <c r="E1354" s="852"/>
      <c r="F1354" s="853"/>
    </row>
    <row r="1355" spans="4:6" x14ac:dyDescent="0.2">
      <c r="D1355" s="852"/>
      <c r="E1355" s="852"/>
      <c r="F1355" s="853"/>
    </row>
    <row r="1356" spans="4:6" x14ac:dyDescent="0.2">
      <c r="D1356" s="852"/>
      <c r="E1356" s="852"/>
      <c r="F1356" s="853"/>
    </row>
    <row r="1357" spans="4:6" x14ac:dyDescent="0.2">
      <c r="D1357" s="852"/>
      <c r="E1357" s="852"/>
      <c r="F1357" s="853"/>
    </row>
    <row r="1358" spans="4:6" x14ac:dyDescent="0.2">
      <c r="D1358" s="852"/>
      <c r="E1358" s="852"/>
      <c r="F1358" s="853"/>
    </row>
    <row r="1359" spans="4:6" x14ac:dyDescent="0.2">
      <c r="D1359" s="852"/>
      <c r="E1359" s="852"/>
      <c r="F1359" s="853"/>
    </row>
    <row r="1360" spans="4:6" x14ac:dyDescent="0.2">
      <c r="D1360" s="852"/>
      <c r="E1360" s="852"/>
      <c r="F1360" s="853"/>
    </row>
    <row r="1361" spans="4:6" x14ac:dyDescent="0.2">
      <c r="D1361" s="852"/>
      <c r="E1361" s="852"/>
      <c r="F1361" s="853"/>
    </row>
    <row r="1362" spans="4:6" x14ac:dyDescent="0.2">
      <c r="D1362" s="852"/>
      <c r="E1362" s="852"/>
      <c r="F1362" s="853"/>
    </row>
    <row r="1363" spans="4:6" x14ac:dyDescent="0.2">
      <c r="D1363" s="852"/>
      <c r="E1363" s="852"/>
      <c r="F1363" s="853"/>
    </row>
    <row r="1364" spans="4:6" x14ac:dyDescent="0.2">
      <c r="D1364" s="852"/>
      <c r="E1364" s="852"/>
      <c r="F1364" s="853"/>
    </row>
    <row r="1365" spans="4:6" x14ac:dyDescent="0.2">
      <c r="D1365" s="852"/>
      <c r="E1365" s="852"/>
      <c r="F1365" s="853"/>
    </row>
    <row r="1366" spans="4:6" x14ac:dyDescent="0.2">
      <c r="D1366" s="852"/>
      <c r="E1366" s="852"/>
      <c r="F1366" s="853"/>
    </row>
    <row r="1367" spans="4:6" x14ac:dyDescent="0.2">
      <c r="D1367" s="852"/>
      <c r="E1367" s="852"/>
      <c r="F1367" s="853"/>
    </row>
    <row r="1368" spans="4:6" x14ac:dyDescent="0.2">
      <c r="D1368" s="852"/>
      <c r="E1368" s="852"/>
      <c r="F1368" s="853"/>
    </row>
    <row r="1369" spans="4:6" x14ac:dyDescent="0.2">
      <c r="D1369" s="852"/>
      <c r="E1369" s="852"/>
      <c r="F1369" s="853"/>
    </row>
    <row r="1370" spans="4:6" x14ac:dyDescent="0.2">
      <c r="D1370" s="852"/>
      <c r="E1370" s="852"/>
      <c r="F1370" s="853"/>
    </row>
    <row r="1371" spans="4:6" x14ac:dyDescent="0.2">
      <c r="D1371" s="852"/>
      <c r="E1371" s="852"/>
      <c r="F1371" s="853"/>
    </row>
    <row r="1372" spans="4:6" x14ac:dyDescent="0.2">
      <c r="D1372" s="852"/>
      <c r="E1372" s="852"/>
      <c r="F1372" s="853"/>
    </row>
    <row r="1373" spans="4:6" x14ac:dyDescent="0.2">
      <c r="D1373" s="852"/>
      <c r="E1373" s="852"/>
      <c r="F1373" s="853"/>
    </row>
    <row r="1374" spans="4:6" x14ac:dyDescent="0.2">
      <c r="D1374" s="852"/>
      <c r="E1374" s="852"/>
      <c r="F1374" s="853"/>
    </row>
    <row r="1375" spans="4:6" x14ac:dyDescent="0.2">
      <c r="D1375" s="852"/>
      <c r="E1375" s="852"/>
      <c r="F1375" s="853"/>
    </row>
    <row r="1376" spans="4:6" x14ac:dyDescent="0.2">
      <c r="D1376" s="852"/>
      <c r="E1376" s="852"/>
      <c r="F1376" s="853"/>
    </row>
    <row r="1377" spans="4:6" x14ac:dyDescent="0.2">
      <c r="D1377" s="852"/>
      <c r="E1377" s="852"/>
      <c r="F1377" s="853"/>
    </row>
    <row r="1378" spans="4:6" x14ac:dyDescent="0.2">
      <c r="D1378" s="852"/>
      <c r="E1378" s="852"/>
      <c r="F1378" s="853"/>
    </row>
    <row r="1379" spans="4:6" x14ac:dyDescent="0.2">
      <c r="D1379" s="852"/>
      <c r="E1379" s="852"/>
      <c r="F1379" s="853"/>
    </row>
    <row r="1380" spans="4:6" x14ac:dyDescent="0.2">
      <c r="D1380" s="852"/>
      <c r="E1380" s="852"/>
      <c r="F1380" s="853"/>
    </row>
    <row r="1381" spans="4:6" x14ac:dyDescent="0.2">
      <c r="D1381" s="852"/>
      <c r="E1381" s="852"/>
      <c r="F1381" s="853"/>
    </row>
    <row r="1382" spans="4:6" x14ac:dyDescent="0.2">
      <c r="D1382" s="852"/>
      <c r="E1382" s="852"/>
      <c r="F1382" s="853"/>
    </row>
    <row r="1383" spans="4:6" x14ac:dyDescent="0.2">
      <c r="D1383" s="852"/>
      <c r="E1383" s="852"/>
      <c r="F1383" s="853"/>
    </row>
    <row r="1384" spans="4:6" x14ac:dyDescent="0.2">
      <c r="D1384" s="852"/>
      <c r="E1384" s="852"/>
      <c r="F1384" s="853"/>
    </row>
    <row r="1385" spans="4:6" x14ac:dyDescent="0.2">
      <c r="D1385" s="852"/>
      <c r="E1385" s="852"/>
      <c r="F1385" s="853"/>
    </row>
    <row r="1386" spans="4:6" x14ac:dyDescent="0.2">
      <c r="D1386" s="852"/>
      <c r="E1386" s="852"/>
      <c r="F1386" s="853"/>
    </row>
    <row r="1387" spans="4:6" x14ac:dyDescent="0.2">
      <c r="D1387" s="852"/>
      <c r="E1387" s="852"/>
      <c r="F1387" s="853"/>
    </row>
    <row r="1388" spans="4:6" x14ac:dyDescent="0.2">
      <c r="D1388" s="852"/>
      <c r="E1388" s="852"/>
      <c r="F1388" s="853"/>
    </row>
    <row r="1389" spans="4:6" x14ac:dyDescent="0.2">
      <c r="D1389" s="852"/>
      <c r="E1389" s="852"/>
      <c r="F1389" s="853"/>
    </row>
    <row r="1390" spans="4:6" x14ac:dyDescent="0.2">
      <c r="D1390" s="852"/>
      <c r="E1390" s="852"/>
      <c r="F1390" s="853"/>
    </row>
    <row r="1391" spans="4:6" x14ac:dyDescent="0.2">
      <c r="D1391" s="852"/>
      <c r="E1391" s="852"/>
      <c r="F1391" s="853"/>
    </row>
    <row r="1392" spans="4:6" x14ac:dyDescent="0.2">
      <c r="D1392" s="852"/>
      <c r="E1392" s="852"/>
      <c r="F1392" s="853"/>
    </row>
    <row r="1393" spans="4:6" x14ac:dyDescent="0.2">
      <c r="D1393" s="852"/>
      <c r="E1393" s="852"/>
      <c r="F1393" s="853"/>
    </row>
    <row r="1394" spans="4:6" x14ac:dyDescent="0.2">
      <c r="D1394" s="852"/>
      <c r="E1394" s="852"/>
      <c r="F1394" s="853"/>
    </row>
    <row r="1395" spans="4:6" x14ac:dyDescent="0.2">
      <c r="D1395" s="852"/>
      <c r="E1395" s="852"/>
      <c r="F1395" s="853"/>
    </row>
    <row r="1396" spans="4:6" x14ac:dyDescent="0.2">
      <c r="D1396" s="852"/>
      <c r="E1396" s="852"/>
      <c r="F1396" s="853"/>
    </row>
    <row r="1397" spans="4:6" x14ac:dyDescent="0.2">
      <c r="D1397" s="852"/>
      <c r="E1397" s="852"/>
      <c r="F1397" s="853"/>
    </row>
    <row r="1398" spans="4:6" x14ac:dyDescent="0.2">
      <c r="D1398" s="852"/>
      <c r="E1398" s="852"/>
      <c r="F1398" s="853"/>
    </row>
    <row r="1399" spans="4:6" x14ac:dyDescent="0.2">
      <c r="D1399" s="852"/>
      <c r="E1399" s="852"/>
      <c r="F1399" s="853"/>
    </row>
    <row r="1400" spans="4:6" x14ac:dyDescent="0.2">
      <c r="D1400" s="852"/>
      <c r="E1400" s="852"/>
      <c r="F1400" s="853"/>
    </row>
    <row r="1401" spans="4:6" x14ac:dyDescent="0.2">
      <c r="D1401" s="852"/>
      <c r="E1401" s="852"/>
      <c r="F1401" s="853"/>
    </row>
    <row r="1402" spans="4:6" x14ac:dyDescent="0.2">
      <c r="D1402" s="852"/>
      <c r="E1402" s="852"/>
      <c r="F1402" s="853"/>
    </row>
    <row r="1403" spans="4:6" x14ac:dyDescent="0.2">
      <c r="D1403" s="852"/>
      <c r="E1403" s="852"/>
      <c r="F1403" s="853"/>
    </row>
    <row r="1404" spans="4:6" x14ac:dyDescent="0.2">
      <c r="D1404" s="852"/>
      <c r="E1404" s="852"/>
      <c r="F1404" s="853"/>
    </row>
    <row r="1405" spans="4:6" x14ac:dyDescent="0.2">
      <c r="D1405" s="852"/>
      <c r="E1405" s="852"/>
      <c r="F1405" s="853"/>
    </row>
    <row r="1406" spans="4:6" x14ac:dyDescent="0.2">
      <c r="D1406" s="852"/>
      <c r="E1406" s="852"/>
      <c r="F1406" s="853"/>
    </row>
    <row r="1407" spans="4:6" x14ac:dyDescent="0.2">
      <c r="D1407" s="852"/>
      <c r="E1407" s="852"/>
      <c r="F1407" s="853"/>
    </row>
    <row r="1408" spans="4:6" x14ac:dyDescent="0.2">
      <c r="D1408" s="852"/>
      <c r="E1408" s="852"/>
      <c r="F1408" s="853"/>
    </row>
    <row r="1409" spans="4:6" x14ac:dyDescent="0.2">
      <c r="D1409" s="852"/>
      <c r="E1409" s="852"/>
      <c r="F1409" s="853"/>
    </row>
    <row r="1410" spans="4:6" x14ac:dyDescent="0.2">
      <c r="D1410" s="852"/>
      <c r="E1410" s="852"/>
      <c r="F1410" s="853"/>
    </row>
    <row r="1411" spans="4:6" x14ac:dyDescent="0.2">
      <c r="D1411" s="852"/>
      <c r="E1411" s="852"/>
      <c r="F1411" s="853"/>
    </row>
    <row r="1412" spans="4:6" x14ac:dyDescent="0.2">
      <c r="D1412" s="852"/>
      <c r="E1412" s="852"/>
      <c r="F1412" s="853"/>
    </row>
    <row r="1413" spans="4:6" x14ac:dyDescent="0.2">
      <c r="D1413" s="852"/>
      <c r="E1413" s="852"/>
      <c r="F1413" s="853"/>
    </row>
    <row r="1414" spans="4:6" x14ac:dyDescent="0.2">
      <c r="D1414" s="852"/>
      <c r="E1414" s="852"/>
      <c r="F1414" s="853"/>
    </row>
    <row r="1415" spans="4:6" x14ac:dyDescent="0.2">
      <c r="D1415" s="852"/>
      <c r="E1415" s="852"/>
      <c r="F1415" s="853"/>
    </row>
    <row r="1416" spans="4:6" x14ac:dyDescent="0.2">
      <c r="D1416" s="852"/>
      <c r="E1416" s="852"/>
      <c r="F1416" s="853"/>
    </row>
    <row r="1417" spans="4:6" x14ac:dyDescent="0.2">
      <c r="D1417" s="852"/>
      <c r="E1417" s="852"/>
      <c r="F1417" s="853"/>
    </row>
    <row r="1418" spans="4:6" x14ac:dyDescent="0.2">
      <c r="D1418" s="852"/>
      <c r="E1418" s="852"/>
      <c r="F1418" s="853"/>
    </row>
    <row r="1419" spans="4:6" x14ac:dyDescent="0.2">
      <c r="D1419" s="852"/>
      <c r="E1419" s="852"/>
      <c r="F1419" s="853"/>
    </row>
    <row r="1420" spans="4:6" x14ac:dyDescent="0.2">
      <c r="D1420" s="852"/>
      <c r="E1420" s="852"/>
      <c r="F1420" s="853"/>
    </row>
    <row r="1421" spans="4:6" x14ac:dyDescent="0.2">
      <c r="D1421" s="852"/>
      <c r="E1421" s="852"/>
      <c r="F1421" s="853"/>
    </row>
    <row r="1422" spans="4:6" x14ac:dyDescent="0.2">
      <c r="D1422" s="852"/>
      <c r="E1422" s="852"/>
      <c r="F1422" s="853"/>
    </row>
    <row r="1423" spans="4:6" x14ac:dyDescent="0.2">
      <c r="D1423" s="852"/>
      <c r="E1423" s="852"/>
      <c r="F1423" s="853"/>
    </row>
    <row r="1424" spans="4:6" x14ac:dyDescent="0.2">
      <c r="D1424" s="852"/>
      <c r="E1424" s="852"/>
      <c r="F1424" s="853"/>
    </row>
    <row r="1425" spans="4:6" x14ac:dyDescent="0.2">
      <c r="D1425" s="852"/>
      <c r="E1425" s="852"/>
      <c r="F1425" s="853"/>
    </row>
    <row r="1426" spans="4:6" x14ac:dyDescent="0.2">
      <c r="D1426" s="852"/>
      <c r="E1426" s="852"/>
      <c r="F1426" s="853"/>
    </row>
    <row r="1427" spans="4:6" x14ac:dyDescent="0.2">
      <c r="D1427" s="852"/>
      <c r="E1427" s="852"/>
      <c r="F1427" s="853"/>
    </row>
    <row r="1428" spans="4:6" x14ac:dyDescent="0.2">
      <c r="D1428" s="852"/>
      <c r="E1428" s="852"/>
      <c r="F1428" s="853"/>
    </row>
    <row r="1429" spans="4:6" x14ac:dyDescent="0.2">
      <c r="D1429" s="852"/>
      <c r="E1429" s="852"/>
      <c r="F1429" s="853"/>
    </row>
    <row r="1430" spans="4:6" x14ac:dyDescent="0.2">
      <c r="D1430" s="852"/>
      <c r="E1430" s="852"/>
      <c r="F1430" s="853"/>
    </row>
    <row r="1431" spans="4:6" x14ac:dyDescent="0.2">
      <c r="D1431" s="852"/>
      <c r="E1431" s="852"/>
      <c r="F1431" s="853"/>
    </row>
    <row r="1432" spans="4:6" x14ac:dyDescent="0.2">
      <c r="D1432" s="852"/>
      <c r="E1432" s="852"/>
      <c r="F1432" s="853"/>
    </row>
    <row r="1433" spans="4:6" x14ac:dyDescent="0.2">
      <c r="D1433" s="852"/>
      <c r="E1433" s="852"/>
      <c r="F1433" s="853"/>
    </row>
    <row r="1434" spans="4:6" x14ac:dyDescent="0.2">
      <c r="D1434" s="852"/>
      <c r="E1434" s="852"/>
      <c r="F1434" s="853"/>
    </row>
    <row r="1435" spans="4:6" x14ac:dyDescent="0.2">
      <c r="D1435" s="852"/>
      <c r="E1435" s="852"/>
      <c r="F1435" s="853"/>
    </row>
    <row r="1436" spans="4:6" x14ac:dyDescent="0.2">
      <c r="D1436" s="852"/>
      <c r="E1436" s="852"/>
      <c r="F1436" s="853"/>
    </row>
    <row r="1437" spans="4:6" x14ac:dyDescent="0.2">
      <c r="D1437" s="852"/>
      <c r="E1437" s="852"/>
      <c r="F1437" s="853"/>
    </row>
    <row r="1438" spans="4:6" x14ac:dyDescent="0.2">
      <c r="D1438" s="852"/>
      <c r="E1438" s="852"/>
      <c r="F1438" s="853"/>
    </row>
    <row r="1439" spans="4:6" x14ac:dyDescent="0.2">
      <c r="D1439" s="852"/>
      <c r="E1439" s="852"/>
      <c r="F1439" s="853"/>
    </row>
    <row r="1440" spans="4:6" x14ac:dyDescent="0.2">
      <c r="D1440" s="852"/>
      <c r="E1440" s="852"/>
      <c r="F1440" s="853"/>
    </row>
    <row r="1441" spans="4:6" x14ac:dyDescent="0.2">
      <c r="D1441" s="852"/>
      <c r="E1441" s="852"/>
      <c r="F1441" s="853"/>
    </row>
    <row r="1442" spans="4:6" x14ac:dyDescent="0.2">
      <c r="D1442" s="852"/>
      <c r="E1442" s="852"/>
      <c r="F1442" s="853"/>
    </row>
    <row r="1443" spans="4:6" x14ac:dyDescent="0.2">
      <c r="D1443" s="852"/>
      <c r="E1443" s="852"/>
      <c r="F1443" s="853"/>
    </row>
    <row r="1444" spans="4:6" x14ac:dyDescent="0.2">
      <c r="D1444" s="852"/>
      <c r="E1444" s="852"/>
      <c r="F1444" s="853"/>
    </row>
    <row r="1445" spans="4:6" x14ac:dyDescent="0.2">
      <c r="D1445" s="852"/>
      <c r="E1445" s="852"/>
      <c r="F1445" s="853"/>
    </row>
    <row r="1446" spans="4:6" x14ac:dyDescent="0.2">
      <c r="D1446" s="852"/>
      <c r="E1446" s="852"/>
      <c r="F1446" s="853"/>
    </row>
    <row r="1447" spans="4:6" x14ac:dyDescent="0.2">
      <c r="D1447" s="852"/>
      <c r="E1447" s="852"/>
      <c r="F1447" s="853"/>
    </row>
    <row r="1448" spans="4:6" x14ac:dyDescent="0.2">
      <c r="D1448" s="852"/>
      <c r="E1448" s="852"/>
      <c r="F1448" s="853"/>
    </row>
    <row r="1449" spans="4:6" x14ac:dyDescent="0.2">
      <c r="D1449" s="852"/>
      <c r="E1449" s="852"/>
      <c r="F1449" s="853"/>
    </row>
    <row r="1450" spans="4:6" x14ac:dyDescent="0.2">
      <c r="D1450" s="852"/>
      <c r="E1450" s="852"/>
      <c r="F1450" s="853"/>
    </row>
    <row r="1451" spans="4:6" x14ac:dyDescent="0.2">
      <c r="D1451" s="852"/>
      <c r="E1451" s="852"/>
      <c r="F1451" s="853"/>
    </row>
    <row r="1452" spans="4:6" x14ac:dyDescent="0.2">
      <c r="D1452" s="852"/>
      <c r="E1452" s="852"/>
      <c r="F1452" s="853"/>
    </row>
    <row r="1453" spans="4:6" x14ac:dyDescent="0.2">
      <c r="D1453" s="852"/>
      <c r="E1453" s="852"/>
      <c r="F1453" s="853"/>
    </row>
    <row r="1454" spans="4:6" x14ac:dyDescent="0.2">
      <c r="D1454" s="852"/>
      <c r="E1454" s="852"/>
      <c r="F1454" s="853"/>
    </row>
    <row r="1455" spans="4:6" x14ac:dyDescent="0.2">
      <c r="D1455" s="852"/>
      <c r="E1455" s="852"/>
      <c r="F1455" s="853"/>
    </row>
    <row r="1456" spans="4:6" x14ac:dyDescent="0.2">
      <c r="D1456" s="852"/>
      <c r="E1456" s="852"/>
      <c r="F1456" s="853"/>
    </row>
    <row r="1457" spans="4:6" x14ac:dyDescent="0.2">
      <c r="D1457" s="852"/>
      <c r="E1457" s="852"/>
      <c r="F1457" s="853"/>
    </row>
    <row r="1458" spans="4:6" x14ac:dyDescent="0.2">
      <c r="D1458" s="852"/>
      <c r="E1458" s="852"/>
      <c r="F1458" s="853"/>
    </row>
    <row r="1459" spans="4:6" x14ac:dyDescent="0.2">
      <c r="D1459" s="852"/>
      <c r="E1459" s="852"/>
      <c r="F1459" s="853"/>
    </row>
    <row r="1460" spans="4:6" x14ac:dyDescent="0.2">
      <c r="D1460" s="852"/>
      <c r="E1460" s="852"/>
      <c r="F1460" s="853"/>
    </row>
    <row r="1461" spans="4:6" x14ac:dyDescent="0.2">
      <c r="D1461" s="852"/>
      <c r="E1461" s="852"/>
      <c r="F1461" s="853"/>
    </row>
    <row r="1462" spans="4:6" x14ac:dyDescent="0.2">
      <c r="D1462" s="852"/>
      <c r="E1462" s="852"/>
      <c r="F1462" s="853"/>
    </row>
    <row r="1463" spans="4:6" x14ac:dyDescent="0.2">
      <c r="D1463" s="852"/>
      <c r="E1463" s="852"/>
      <c r="F1463" s="853"/>
    </row>
    <row r="1464" spans="4:6" x14ac:dyDescent="0.2">
      <c r="D1464" s="852"/>
      <c r="E1464" s="852"/>
      <c r="F1464" s="853"/>
    </row>
    <row r="1465" spans="4:6" x14ac:dyDescent="0.2">
      <c r="D1465" s="852"/>
      <c r="E1465" s="852"/>
      <c r="F1465" s="853"/>
    </row>
    <row r="1466" spans="4:6" x14ac:dyDescent="0.2">
      <c r="D1466" s="852"/>
      <c r="E1466" s="852"/>
      <c r="F1466" s="853"/>
    </row>
    <row r="1467" spans="4:6" x14ac:dyDescent="0.2">
      <c r="D1467" s="852"/>
      <c r="E1467" s="852"/>
      <c r="F1467" s="853"/>
    </row>
    <row r="1468" spans="4:6" x14ac:dyDescent="0.2">
      <c r="D1468" s="852"/>
      <c r="E1468" s="852"/>
      <c r="F1468" s="853"/>
    </row>
    <row r="1469" spans="4:6" x14ac:dyDescent="0.2">
      <c r="D1469" s="852"/>
      <c r="E1469" s="852"/>
      <c r="F1469" s="853"/>
    </row>
    <row r="1470" spans="4:6" x14ac:dyDescent="0.2">
      <c r="D1470" s="852"/>
      <c r="E1470" s="852"/>
      <c r="F1470" s="853"/>
    </row>
    <row r="1471" spans="4:6" x14ac:dyDescent="0.2">
      <c r="D1471" s="852"/>
      <c r="E1471" s="852"/>
      <c r="F1471" s="853"/>
    </row>
    <row r="1472" spans="4:6" x14ac:dyDescent="0.2">
      <c r="D1472" s="852"/>
      <c r="E1472" s="852"/>
      <c r="F1472" s="853"/>
    </row>
    <row r="1473" spans="4:6" x14ac:dyDescent="0.2">
      <c r="D1473" s="852"/>
      <c r="E1473" s="852"/>
      <c r="F1473" s="853"/>
    </row>
    <row r="1474" spans="4:6" x14ac:dyDescent="0.2">
      <c r="D1474" s="852"/>
      <c r="E1474" s="852"/>
      <c r="F1474" s="853"/>
    </row>
    <row r="1475" spans="4:6" x14ac:dyDescent="0.2">
      <c r="D1475" s="852"/>
      <c r="E1475" s="852"/>
      <c r="F1475" s="853"/>
    </row>
    <row r="1476" spans="4:6" x14ac:dyDescent="0.2">
      <c r="D1476" s="852"/>
      <c r="E1476" s="852"/>
      <c r="F1476" s="853"/>
    </row>
    <row r="1477" spans="4:6" x14ac:dyDescent="0.2">
      <c r="D1477" s="852"/>
      <c r="E1477" s="852"/>
      <c r="F1477" s="853"/>
    </row>
    <row r="1478" spans="4:6" x14ac:dyDescent="0.2">
      <c r="D1478" s="852"/>
      <c r="E1478" s="852"/>
      <c r="F1478" s="853"/>
    </row>
    <row r="1479" spans="4:6" x14ac:dyDescent="0.2">
      <c r="D1479" s="852"/>
      <c r="E1479" s="852"/>
      <c r="F1479" s="853"/>
    </row>
    <row r="1480" spans="4:6" x14ac:dyDescent="0.2">
      <c r="D1480" s="852"/>
      <c r="E1480" s="852"/>
      <c r="F1480" s="853"/>
    </row>
    <row r="1481" spans="4:6" x14ac:dyDescent="0.2">
      <c r="D1481" s="852"/>
      <c r="E1481" s="852"/>
      <c r="F1481" s="853"/>
    </row>
    <row r="1482" spans="4:6" x14ac:dyDescent="0.2">
      <c r="D1482" s="852"/>
      <c r="E1482" s="852"/>
      <c r="F1482" s="853"/>
    </row>
    <row r="1483" spans="4:6" x14ac:dyDescent="0.2">
      <c r="D1483" s="852"/>
      <c r="E1483" s="852"/>
      <c r="F1483" s="853"/>
    </row>
    <row r="1484" spans="4:6" x14ac:dyDescent="0.2">
      <c r="D1484" s="852"/>
      <c r="E1484" s="852"/>
      <c r="F1484" s="853"/>
    </row>
    <row r="1485" spans="4:6" x14ac:dyDescent="0.2">
      <c r="D1485" s="852"/>
      <c r="E1485" s="852"/>
      <c r="F1485" s="853"/>
    </row>
    <row r="1486" spans="4:6" x14ac:dyDescent="0.2">
      <c r="D1486" s="852"/>
      <c r="E1486" s="852"/>
      <c r="F1486" s="853"/>
    </row>
    <row r="1487" spans="4:6" x14ac:dyDescent="0.2">
      <c r="D1487" s="852"/>
      <c r="E1487" s="852"/>
      <c r="F1487" s="853"/>
    </row>
    <row r="1488" spans="4:6" x14ac:dyDescent="0.2">
      <c r="D1488" s="852"/>
      <c r="E1488" s="852"/>
      <c r="F1488" s="853"/>
    </row>
    <row r="1489" spans="4:6" x14ac:dyDescent="0.2">
      <c r="D1489" s="852"/>
      <c r="E1489" s="852"/>
      <c r="F1489" s="853"/>
    </row>
    <row r="1490" spans="4:6" x14ac:dyDescent="0.2">
      <c r="D1490" s="852"/>
      <c r="E1490" s="852"/>
      <c r="F1490" s="853"/>
    </row>
    <row r="1491" spans="4:6" x14ac:dyDescent="0.2">
      <c r="D1491" s="852"/>
      <c r="E1491" s="852"/>
      <c r="F1491" s="853"/>
    </row>
    <row r="1492" spans="4:6" x14ac:dyDescent="0.2">
      <c r="D1492" s="852"/>
      <c r="E1492" s="852"/>
      <c r="F1492" s="853"/>
    </row>
    <row r="1493" spans="4:6" x14ac:dyDescent="0.2">
      <c r="D1493" s="852"/>
      <c r="E1493" s="852"/>
      <c r="F1493" s="853"/>
    </row>
    <row r="1494" spans="4:6" x14ac:dyDescent="0.2">
      <c r="D1494" s="852"/>
      <c r="E1494" s="852"/>
      <c r="F1494" s="853"/>
    </row>
    <row r="1495" spans="4:6" x14ac:dyDescent="0.2">
      <c r="D1495" s="852"/>
      <c r="E1495" s="852"/>
      <c r="F1495" s="853"/>
    </row>
    <row r="1496" spans="4:6" x14ac:dyDescent="0.2">
      <c r="D1496" s="852"/>
      <c r="E1496" s="852"/>
      <c r="F1496" s="853"/>
    </row>
    <row r="1497" spans="4:6" x14ac:dyDescent="0.2">
      <c r="D1497" s="852"/>
      <c r="E1497" s="852"/>
      <c r="F1497" s="853"/>
    </row>
    <row r="1498" spans="4:6" x14ac:dyDescent="0.2">
      <c r="D1498" s="852"/>
      <c r="E1498" s="852"/>
      <c r="F1498" s="853"/>
    </row>
    <row r="1499" spans="4:6" x14ac:dyDescent="0.2">
      <c r="D1499" s="852"/>
      <c r="E1499" s="852"/>
      <c r="F1499" s="853"/>
    </row>
    <row r="1500" spans="4:6" x14ac:dyDescent="0.2">
      <c r="D1500" s="852"/>
      <c r="E1500" s="852"/>
      <c r="F1500" s="853"/>
    </row>
    <row r="1501" spans="4:6" x14ac:dyDescent="0.2">
      <c r="D1501" s="852"/>
      <c r="E1501" s="852"/>
      <c r="F1501" s="853"/>
    </row>
    <row r="1502" spans="4:6" x14ac:dyDescent="0.2">
      <c r="D1502" s="852"/>
      <c r="E1502" s="852"/>
      <c r="F1502" s="853"/>
    </row>
    <row r="1503" spans="4:6" x14ac:dyDescent="0.2">
      <c r="D1503" s="852"/>
      <c r="E1503" s="852"/>
      <c r="F1503" s="853"/>
    </row>
    <row r="1504" spans="4:6" x14ac:dyDescent="0.2">
      <c r="D1504" s="852"/>
      <c r="E1504" s="852"/>
      <c r="F1504" s="853"/>
    </row>
    <row r="1505" spans="4:6" x14ac:dyDescent="0.2">
      <c r="D1505" s="852"/>
      <c r="E1505" s="852"/>
      <c r="F1505" s="853"/>
    </row>
    <row r="1506" spans="4:6" x14ac:dyDescent="0.2">
      <c r="D1506" s="852"/>
      <c r="E1506" s="852"/>
      <c r="F1506" s="853"/>
    </row>
    <row r="1507" spans="4:6" x14ac:dyDescent="0.2">
      <c r="D1507" s="852"/>
      <c r="E1507" s="852"/>
      <c r="F1507" s="853"/>
    </row>
    <row r="1508" spans="4:6" x14ac:dyDescent="0.2">
      <c r="D1508" s="852"/>
      <c r="E1508" s="852"/>
      <c r="F1508" s="853"/>
    </row>
    <row r="1509" spans="4:6" x14ac:dyDescent="0.2">
      <c r="D1509" s="852"/>
      <c r="E1509" s="852"/>
      <c r="F1509" s="853"/>
    </row>
    <row r="1510" spans="4:6" x14ac:dyDescent="0.2">
      <c r="D1510" s="852"/>
      <c r="E1510" s="852"/>
      <c r="F1510" s="853"/>
    </row>
    <row r="1511" spans="4:6" x14ac:dyDescent="0.2">
      <c r="D1511" s="852"/>
      <c r="E1511" s="852"/>
      <c r="F1511" s="853"/>
    </row>
    <row r="1512" spans="4:6" x14ac:dyDescent="0.2">
      <c r="D1512" s="852"/>
      <c r="E1512" s="852"/>
      <c r="F1512" s="853"/>
    </row>
    <row r="1513" spans="4:6" x14ac:dyDescent="0.2">
      <c r="D1513" s="852"/>
      <c r="E1513" s="852"/>
      <c r="F1513" s="853"/>
    </row>
    <row r="1514" spans="4:6" x14ac:dyDescent="0.2">
      <c r="D1514" s="852"/>
      <c r="E1514" s="852"/>
      <c r="F1514" s="853"/>
    </row>
    <row r="1515" spans="4:6" x14ac:dyDescent="0.2">
      <c r="D1515" s="852"/>
      <c r="E1515" s="852"/>
      <c r="F1515" s="853"/>
    </row>
    <row r="1516" spans="4:6" x14ac:dyDescent="0.2">
      <c r="D1516" s="852"/>
      <c r="E1516" s="852"/>
      <c r="F1516" s="853"/>
    </row>
    <row r="1517" spans="4:6" x14ac:dyDescent="0.2">
      <c r="D1517" s="852"/>
      <c r="E1517" s="852"/>
      <c r="F1517" s="853"/>
    </row>
    <row r="1518" spans="4:6" x14ac:dyDescent="0.2">
      <c r="D1518" s="852"/>
      <c r="E1518" s="852"/>
      <c r="F1518" s="853"/>
    </row>
    <row r="1519" spans="4:6" x14ac:dyDescent="0.2">
      <c r="D1519" s="852"/>
      <c r="E1519" s="852"/>
      <c r="F1519" s="853"/>
    </row>
    <row r="1520" spans="4:6" x14ac:dyDescent="0.2">
      <c r="D1520" s="852"/>
      <c r="E1520" s="852"/>
      <c r="F1520" s="853"/>
    </row>
    <row r="1521" spans="4:6" x14ac:dyDescent="0.2">
      <c r="D1521" s="852"/>
      <c r="E1521" s="852"/>
      <c r="F1521" s="853"/>
    </row>
    <row r="1522" spans="4:6" x14ac:dyDescent="0.2">
      <c r="D1522" s="852"/>
      <c r="E1522" s="852"/>
      <c r="F1522" s="853"/>
    </row>
    <row r="1523" spans="4:6" x14ac:dyDescent="0.2">
      <c r="D1523" s="852"/>
      <c r="E1523" s="852"/>
      <c r="F1523" s="853"/>
    </row>
    <row r="1524" spans="4:6" x14ac:dyDescent="0.2">
      <c r="D1524" s="852"/>
      <c r="E1524" s="852"/>
      <c r="F1524" s="853"/>
    </row>
    <row r="1525" spans="4:6" x14ac:dyDescent="0.2">
      <c r="D1525" s="852"/>
      <c r="E1525" s="852"/>
      <c r="F1525" s="853"/>
    </row>
    <row r="1526" spans="4:6" x14ac:dyDescent="0.2">
      <c r="D1526" s="852"/>
      <c r="E1526" s="852"/>
      <c r="F1526" s="853"/>
    </row>
    <row r="1527" spans="4:6" x14ac:dyDescent="0.2">
      <c r="D1527" s="852"/>
      <c r="E1527" s="852"/>
      <c r="F1527" s="853"/>
    </row>
    <row r="1528" spans="4:6" x14ac:dyDescent="0.2">
      <c r="D1528" s="852"/>
      <c r="E1528" s="852"/>
      <c r="F1528" s="853"/>
    </row>
    <row r="1529" spans="4:6" x14ac:dyDescent="0.2">
      <c r="D1529" s="852"/>
      <c r="E1529" s="852"/>
      <c r="F1529" s="853"/>
    </row>
    <row r="1530" spans="4:6" x14ac:dyDescent="0.2">
      <c r="D1530" s="852"/>
      <c r="E1530" s="852"/>
      <c r="F1530" s="853"/>
    </row>
    <row r="1531" spans="4:6" x14ac:dyDescent="0.2">
      <c r="D1531" s="852"/>
      <c r="E1531" s="852"/>
      <c r="F1531" s="853"/>
    </row>
    <row r="1532" spans="4:6" x14ac:dyDescent="0.2">
      <c r="D1532" s="852"/>
      <c r="E1532" s="852"/>
      <c r="F1532" s="853"/>
    </row>
    <row r="1533" spans="4:6" x14ac:dyDescent="0.2">
      <c r="D1533" s="852"/>
      <c r="E1533" s="852"/>
      <c r="F1533" s="853"/>
    </row>
    <row r="1534" spans="4:6" x14ac:dyDescent="0.2">
      <c r="D1534" s="852"/>
      <c r="E1534" s="852"/>
      <c r="F1534" s="853"/>
    </row>
    <row r="1535" spans="4:6" x14ac:dyDescent="0.2">
      <c r="D1535" s="852"/>
      <c r="E1535" s="852"/>
      <c r="F1535" s="853"/>
    </row>
    <row r="1536" spans="4:6" x14ac:dyDescent="0.2">
      <c r="D1536" s="852"/>
      <c r="E1536" s="852"/>
      <c r="F1536" s="853"/>
    </row>
    <row r="1537" spans="4:6" x14ac:dyDescent="0.2">
      <c r="D1537" s="852"/>
      <c r="E1537" s="852"/>
      <c r="F1537" s="853"/>
    </row>
    <row r="1538" spans="4:6" x14ac:dyDescent="0.2">
      <c r="D1538" s="852"/>
      <c r="E1538" s="852"/>
      <c r="F1538" s="853"/>
    </row>
    <row r="1539" spans="4:6" x14ac:dyDescent="0.2">
      <c r="D1539" s="852"/>
      <c r="E1539" s="852"/>
      <c r="F1539" s="853"/>
    </row>
    <row r="1540" spans="4:6" x14ac:dyDescent="0.2">
      <c r="D1540" s="852"/>
      <c r="E1540" s="852"/>
      <c r="F1540" s="853"/>
    </row>
    <row r="1541" spans="4:6" x14ac:dyDescent="0.2">
      <c r="D1541" s="852"/>
      <c r="E1541" s="852"/>
      <c r="F1541" s="853"/>
    </row>
    <row r="1542" spans="4:6" x14ac:dyDescent="0.2">
      <c r="D1542" s="852"/>
      <c r="E1542" s="852"/>
      <c r="F1542" s="853"/>
    </row>
    <row r="1543" spans="4:6" x14ac:dyDescent="0.2">
      <c r="D1543" s="852"/>
      <c r="E1543" s="852"/>
      <c r="F1543" s="853"/>
    </row>
    <row r="1544" spans="4:6" x14ac:dyDescent="0.2">
      <c r="D1544" s="852"/>
      <c r="E1544" s="852"/>
      <c r="F1544" s="853"/>
    </row>
    <row r="1545" spans="4:6" x14ac:dyDescent="0.2">
      <c r="D1545" s="852"/>
      <c r="E1545" s="852"/>
      <c r="F1545" s="853"/>
    </row>
    <row r="1546" spans="4:6" x14ac:dyDescent="0.2">
      <c r="D1546" s="852"/>
      <c r="E1546" s="852"/>
      <c r="F1546" s="853"/>
    </row>
    <row r="1547" spans="4:6" x14ac:dyDescent="0.2">
      <c r="D1547" s="852"/>
      <c r="E1547" s="852"/>
      <c r="F1547" s="853"/>
    </row>
    <row r="1548" spans="4:6" x14ac:dyDescent="0.2">
      <c r="D1548" s="852"/>
      <c r="E1548" s="852"/>
      <c r="F1548" s="853"/>
    </row>
    <row r="1549" spans="4:6" x14ac:dyDescent="0.2">
      <c r="D1549" s="852"/>
      <c r="E1549" s="852"/>
      <c r="F1549" s="853"/>
    </row>
    <row r="1550" spans="4:6" x14ac:dyDescent="0.2">
      <c r="D1550" s="852"/>
      <c r="E1550" s="852"/>
      <c r="F1550" s="853"/>
    </row>
    <row r="1551" spans="4:6" x14ac:dyDescent="0.2">
      <c r="D1551" s="852"/>
      <c r="E1551" s="852"/>
      <c r="F1551" s="853"/>
    </row>
    <row r="1552" spans="4:6" x14ac:dyDescent="0.2">
      <c r="D1552" s="852"/>
      <c r="E1552" s="852"/>
      <c r="F1552" s="853"/>
    </row>
    <row r="1553" spans="4:6" x14ac:dyDescent="0.2">
      <c r="D1553" s="852"/>
      <c r="E1553" s="852"/>
      <c r="F1553" s="853"/>
    </row>
    <row r="1554" spans="4:6" x14ac:dyDescent="0.2">
      <c r="D1554" s="852"/>
      <c r="E1554" s="852"/>
      <c r="F1554" s="853"/>
    </row>
    <row r="1555" spans="4:6" x14ac:dyDescent="0.2">
      <c r="D1555" s="852"/>
      <c r="E1555" s="852"/>
      <c r="F1555" s="853"/>
    </row>
    <row r="1556" spans="4:6" x14ac:dyDescent="0.2">
      <c r="D1556" s="852"/>
      <c r="E1556" s="852"/>
      <c r="F1556" s="853"/>
    </row>
    <row r="1557" spans="4:6" x14ac:dyDescent="0.2">
      <c r="D1557" s="852"/>
      <c r="E1557" s="852"/>
      <c r="F1557" s="853"/>
    </row>
    <row r="1558" spans="4:6" x14ac:dyDescent="0.2">
      <c r="D1558" s="852"/>
      <c r="E1558" s="852"/>
      <c r="F1558" s="853"/>
    </row>
    <row r="1559" spans="4:6" x14ac:dyDescent="0.2">
      <c r="D1559" s="852"/>
      <c r="E1559" s="852"/>
      <c r="F1559" s="853"/>
    </row>
    <row r="1560" spans="4:6" x14ac:dyDescent="0.2">
      <c r="D1560" s="852"/>
      <c r="E1560" s="852"/>
      <c r="F1560" s="853"/>
    </row>
    <row r="1561" spans="4:6" x14ac:dyDescent="0.2">
      <c r="D1561" s="852"/>
      <c r="E1561" s="852"/>
      <c r="F1561" s="853"/>
    </row>
    <row r="1562" spans="4:6" x14ac:dyDescent="0.2">
      <c r="D1562" s="852"/>
      <c r="E1562" s="852"/>
      <c r="F1562" s="853"/>
    </row>
    <row r="1563" spans="4:6" x14ac:dyDescent="0.2">
      <c r="D1563" s="852"/>
      <c r="E1563" s="852"/>
      <c r="F1563" s="853"/>
    </row>
    <row r="1564" spans="4:6" x14ac:dyDescent="0.2">
      <c r="D1564" s="852"/>
      <c r="E1564" s="852"/>
      <c r="F1564" s="853"/>
    </row>
    <row r="1565" spans="4:6" x14ac:dyDescent="0.2">
      <c r="D1565" s="852"/>
      <c r="E1565" s="852"/>
      <c r="F1565" s="853"/>
    </row>
    <row r="1566" spans="4:6" x14ac:dyDescent="0.2">
      <c r="D1566" s="852"/>
      <c r="E1566" s="852"/>
      <c r="F1566" s="853"/>
    </row>
    <row r="1567" spans="4:6" x14ac:dyDescent="0.2">
      <c r="D1567" s="852"/>
      <c r="E1567" s="852"/>
      <c r="F1567" s="853"/>
    </row>
    <row r="1568" spans="4:6" x14ac:dyDescent="0.2">
      <c r="D1568" s="852"/>
      <c r="E1568" s="852"/>
      <c r="F1568" s="853"/>
    </row>
    <row r="1569" spans="4:6" x14ac:dyDescent="0.2">
      <c r="D1569" s="852"/>
      <c r="E1569" s="852"/>
      <c r="F1569" s="853"/>
    </row>
    <row r="1570" spans="4:6" x14ac:dyDescent="0.2">
      <c r="D1570" s="852"/>
      <c r="E1570" s="852"/>
      <c r="F1570" s="853"/>
    </row>
    <row r="1571" spans="4:6" x14ac:dyDescent="0.2">
      <c r="D1571" s="852"/>
      <c r="E1571" s="852"/>
      <c r="F1571" s="853"/>
    </row>
    <row r="1572" spans="4:6" x14ac:dyDescent="0.2">
      <c r="D1572" s="852"/>
      <c r="E1572" s="852"/>
      <c r="F1572" s="853"/>
    </row>
    <row r="1573" spans="4:6" x14ac:dyDescent="0.2">
      <c r="D1573" s="852"/>
      <c r="E1573" s="852"/>
      <c r="F1573" s="853"/>
    </row>
    <row r="1574" spans="4:6" x14ac:dyDescent="0.2">
      <c r="D1574" s="852"/>
      <c r="E1574" s="852"/>
      <c r="F1574" s="853"/>
    </row>
    <row r="1575" spans="4:6" x14ac:dyDescent="0.2">
      <c r="D1575" s="852"/>
      <c r="E1575" s="852"/>
      <c r="F1575" s="853"/>
    </row>
    <row r="1576" spans="4:6" x14ac:dyDescent="0.2">
      <c r="D1576" s="852"/>
      <c r="E1576" s="852"/>
      <c r="F1576" s="853"/>
    </row>
    <row r="1577" spans="4:6" x14ac:dyDescent="0.2">
      <c r="D1577" s="852"/>
      <c r="E1577" s="852"/>
      <c r="F1577" s="853"/>
    </row>
    <row r="1578" spans="4:6" x14ac:dyDescent="0.2">
      <c r="D1578" s="852"/>
      <c r="E1578" s="852"/>
      <c r="F1578" s="853"/>
    </row>
  </sheetData>
  <mergeCells count="3">
    <mergeCell ref="B2:C2"/>
    <mergeCell ref="D2:E2"/>
    <mergeCell ref="A1:F1"/>
  </mergeCells>
  <phoneticPr fontId="21" type="noConversion"/>
  <printOptions horizontalCentered="1"/>
  <pageMargins left="0" right="0" top="1.5" bottom="1" header="0.33" footer="0.5"/>
  <pageSetup scale="99" fitToHeight="0" orientation="portrait" r:id="rId1"/>
  <headerFooter alignWithMargins="0">
    <oddHeader>&amp;C&amp;"Arial,Bold"&amp;12DEPARTMENT OF CORRECTIONS
 COST OF CARE Year 2018
(Based on Fiscal Year 2017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1:J127"/>
  <sheetViews>
    <sheetView showGridLines="0" zoomScaleNormal="100" workbookViewId="0">
      <pane ySplit="2" topLeftCell="A102" activePane="bottomLeft" state="frozen"/>
      <selection activeCell="B35" sqref="B35"/>
      <selection pane="bottomLeft" activeCell="F123" sqref="F123"/>
    </sheetView>
  </sheetViews>
  <sheetFormatPr defaultColWidth="9.140625" defaultRowHeight="12.75" x14ac:dyDescent="0.2"/>
  <cols>
    <col min="1" max="1" width="22.85546875" style="803" customWidth="1"/>
    <col min="2" max="2" width="9.140625" style="803"/>
    <col min="3" max="3" width="25.28515625" style="803" customWidth="1"/>
    <col min="4" max="4" width="15.140625" style="803" customWidth="1"/>
    <col min="5" max="5" width="15" style="803" customWidth="1"/>
    <col min="6" max="6" width="19.140625" style="803" customWidth="1"/>
    <col min="7" max="7" width="10.140625" style="803" customWidth="1"/>
    <col min="8" max="8" width="15.42578125" style="803" customWidth="1"/>
    <col min="9" max="9" width="12.28515625" style="803" bestFit="1" customWidth="1"/>
    <col min="10" max="10" width="10.5703125" style="803" bestFit="1" customWidth="1"/>
    <col min="11" max="16384" width="9.140625" style="803"/>
  </cols>
  <sheetData>
    <row r="1" spans="1:9" ht="29.25" customHeight="1" thickBot="1" x14ac:dyDescent="0.25">
      <c r="A1" s="1133" t="s">
        <v>122</v>
      </c>
      <c r="B1" s="1133"/>
      <c r="C1" s="1133"/>
      <c r="D1" s="1133"/>
      <c r="E1" s="1133"/>
      <c r="F1" s="1133"/>
    </row>
    <row r="2" spans="1:9" ht="36.75" customHeight="1" thickTop="1" thickBot="1" x14ac:dyDescent="0.25">
      <c r="A2" s="876" t="s">
        <v>1</v>
      </c>
      <c r="B2" s="1142" t="s">
        <v>49</v>
      </c>
      <c r="C2" s="1143"/>
      <c r="D2" s="1134" t="s">
        <v>4</v>
      </c>
      <c r="E2" s="1135"/>
      <c r="F2" s="877" t="s">
        <v>27</v>
      </c>
      <c r="G2" s="806" t="s">
        <v>679</v>
      </c>
      <c r="H2" s="807"/>
    </row>
    <row r="3" spans="1:9" ht="15" customHeight="1" thickTop="1" x14ac:dyDescent="0.2">
      <c r="A3" s="878" t="s">
        <v>783</v>
      </c>
      <c r="B3" s="1144" t="s">
        <v>235</v>
      </c>
      <c r="C3" s="1145"/>
      <c r="D3" s="879"/>
      <c r="E3" s="880">
        <v>0</v>
      </c>
      <c r="F3" s="881"/>
    </row>
    <row r="4" spans="1:9" x14ac:dyDescent="0.2">
      <c r="A4" s="882" t="s">
        <v>782</v>
      </c>
      <c r="B4" s="883" t="s">
        <v>50</v>
      </c>
      <c r="C4" s="884"/>
      <c r="D4" s="842"/>
      <c r="E4" s="812">
        <v>0</v>
      </c>
      <c r="F4" s="813"/>
    </row>
    <row r="5" spans="1:9" x14ac:dyDescent="0.2">
      <c r="A5" s="541"/>
      <c r="B5" s="885" t="s">
        <v>132</v>
      </c>
      <c r="C5" s="814"/>
      <c r="D5" s="815"/>
      <c r="E5" s="862">
        <f>SUM(D6:D10)</f>
        <v>0</v>
      </c>
      <c r="F5" s="816"/>
    </row>
    <row r="6" spans="1:9" x14ac:dyDescent="0.2">
      <c r="A6" s="541"/>
      <c r="B6" s="817"/>
      <c r="C6" s="814" t="s">
        <v>313</v>
      </c>
      <c r="D6" s="815">
        <v>0</v>
      </c>
      <c r="E6" s="815"/>
      <c r="F6" s="816"/>
    </row>
    <row r="7" spans="1:9" x14ac:dyDescent="0.2">
      <c r="A7" s="541"/>
      <c r="B7" s="817"/>
      <c r="C7" s="814" t="s">
        <v>315</v>
      </c>
      <c r="D7" s="815">
        <v>0</v>
      </c>
      <c r="E7" s="815"/>
      <c r="F7" s="816"/>
    </row>
    <row r="8" spans="1:9" x14ac:dyDescent="0.2">
      <c r="A8" s="541"/>
      <c r="B8" s="817"/>
      <c r="C8" s="814" t="s">
        <v>316</v>
      </c>
      <c r="D8" s="815">
        <v>0</v>
      </c>
      <c r="E8" s="815"/>
      <c r="F8" s="816"/>
    </row>
    <row r="9" spans="1:9" x14ac:dyDescent="0.2">
      <c r="A9" s="541"/>
      <c r="B9" s="817"/>
      <c r="C9" s="814" t="s">
        <v>318</v>
      </c>
      <c r="D9" s="815">
        <v>0</v>
      </c>
      <c r="E9" s="815"/>
      <c r="F9" s="816"/>
    </row>
    <row r="10" spans="1:9" x14ac:dyDescent="0.2">
      <c r="A10" s="541"/>
      <c r="B10" s="817"/>
      <c r="C10" s="814" t="s">
        <v>466</v>
      </c>
      <c r="D10" s="815">
        <v>0</v>
      </c>
      <c r="E10" s="815"/>
      <c r="F10" s="816"/>
    </row>
    <row r="11" spans="1:9" x14ac:dyDescent="0.2">
      <c r="A11" s="541"/>
      <c r="B11" s="817"/>
      <c r="C11" s="863" t="s">
        <v>319</v>
      </c>
      <c r="D11" s="815">
        <v>0</v>
      </c>
      <c r="E11" s="862">
        <f>SUM(D11)</f>
        <v>0</v>
      </c>
      <c r="F11" s="816"/>
      <c r="I11" s="818"/>
    </row>
    <row r="12" spans="1:9" x14ac:dyDescent="0.2">
      <c r="A12" s="541"/>
      <c r="B12" s="864" t="s">
        <v>465</v>
      </c>
      <c r="C12" s="820"/>
      <c r="D12" s="815"/>
      <c r="E12" s="862">
        <f>SUM(D13:D15)</f>
        <v>0</v>
      </c>
      <c r="F12" s="816"/>
    </row>
    <row r="13" spans="1:9" x14ac:dyDescent="0.2">
      <c r="A13" s="541"/>
      <c r="B13" s="817"/>
      <c r="C13" s="819" t="s">
        <v>320</v>
      </c>
      <c r="D13" s="815">
        <v>0</v>
      </c>
      <c r="E13" s="815"/>
      <c r="F13" s="816"/>
    </row>
    <row r="14" spans="1:9" x14ac:dyDescent="0.2">
      <c r="A14" s="541"/>
      <c r="B14" s="817"/>
      <c r="C14" s="820" t="s">
        <v>324</v>
      </c>
      <c r="D14" s="815">
        <v>0</v>
      </c>
      <c r="E14" s="815"/>
      <c r="F14" s="816"/>
    </row>
    <row r="15" spans="1:9" x14ac:dyDescent="0.2">
      <c r="A15" s="541"/>
      <c r="B15" s="817"/>
      <c r="C15" s="820" t="s">
        <v>131</v>
      </c>
      <c r="D15" s="815">
        <v>0</v>
      </c>
      <c r="E15" s="815"/>
      <c r="F15" s="816"/>
    </row>
    <row r="16" spans="1:9" x14ac:dyDescent="0.2">
      <c r="A16" s="541"/>
      <c r="B16" s="886" t="s">
        <v>325</v>
      </c>
      <c r="C16" s="823"/>
      <c r="D16" s="835">
        <v>0</v>
      </c>
      <c r="E16" s="824">
        <f>SUM(D16)</f>
        <v>0</v>
      </c>
      <c r="F16" s="816"/>
    </row>
    <row r="17" spans="1:8" ht="13.5" thickBot="1" x14ac:dyDescent="0.25">
      <c r="A17" s="887"/>
      <c r="B17" s="888"/>
      <c r="C17" s="889"/>
      <c r="D17" s="843"/>
      <c r="E17" s="833"/>
      <c r="F17" s="890">
        <f>SUM(E3:E16)</f>
        <v>0</v>
      </c>
      <c r="H17" s="831">
        <f>F17-0</f>
        <v>0</v>
      </c>
    </row>
    <row r="18" spans="1:8" ht="13.5" thickTop="1" x14ac:dyDescent="0.2">
      <c r="A18" s="891" t="s">
        <v>415</v>
      </c>
      <c r="B18" s="1138" t="s">
        <v>235</v>
      </c>
      <c r="C18" s="1139"/>
      <c r="D18" s="879"/>
      <c r="E18" s="880">
        <f>316719.35+181872.14+609.45</f>
        <v>499200.94</v>
      </c>
      <c r="F18" s="881"/>
      <c r="G18" s="803">
        <v>1001</v>
      </c>
      <c r="H18" s="803" t="s">
        <v>768</v>
      </c>
    </row>
    <row r="19" spans="1:8" x14ac:dyDescent="0.2">
      <c r="A19" s="882"/>
      <c r="B19" s="883" t="s">
        <v>50</v>
      </c>
      <c r="C19" s="884"/>
      <c r="D19" s="842"/>
      <c r="E19" s="812"/>
      <c r="F19" s="813"/>
    </row>
    <row r="20" spans="1:8" x14ac:dyDescent="0.2">
      <c r="A20" s="541"/>
      <c r="B20" s="858" t="s">
        <v>680</v>
      </c>
      <c r="C20" s="814"/>
      <c r="D20" s="815"/>
      <c r="E20" s="862">
        <f>SUM(D21:D23)</f>
        <v>0</v>
      </c>
      <c r="F20" s="816"/>
    </row>
    <row r="21" spans="1:8" x14ac:dyDescent="0.2">
      <c r="A21" s="541"/>
      <c r="B21" s="860" t="s">
        <v>685</v>
      </c>
      <c r="C21" s="814"/>
      <c r="D21" s="815"/>
      <c r="E21" s="815"/>
      <c r="F21" s="816"/>
      <c r="G21" s="803">
        <v>3019</v>
      </c>
    </row>
    <row r="22" spans="1:8" x14ac:dyDescent="0.2">
      <c r="A22" s="541"/>
      <c r="B22" s="860" t="s">
        <v>687</v>
      </c>
      <c r="C22" s="814"/>
      <c r="D22" s="815">
        <v>0</v>
      </c>
      <c r="E22" s="815"/>
      <c r="F22" s="816"/>
      <c r="G22" s="803">
        <v>3033</v>
      </c>
    </row>
    <row r="23" spans="1:8" x14ac:dyDescent="0.2">
      <c r="A23" s="541"/>
      <c r="B23" s="860" t="s">
        <v>707</v>
      </c>
      <c r="C23" s="814"/>
      <c r="D23" s="815">
        <v>0</v>
      </c>
      <c r="E23" s="815"/>
      <c r="F23" s="816"/>
      <c r="G23" s="803">
        <v>3069</v>
      </c>
    </row>
    <row r="24" spans="1:8" x14ac:dyDescent="0.2">
      <c r="A24" s="541"/>
      <c r="B24" s="863" t="s">
        <v>319</v>
      </c>
      <c r="C24" s="863"/>
      <c r="D24" s="815">
        <v>47076.85</v>
      </c>
      <c r="E24" s="862">
        <f>SUM(D24)</f>
        <v>47076.85</v>
      </c>
      <c r="F24" s="816"/>
    </row>
    <row r="25" spans="1:8" x14ac:dyDescent="0.2">
      <c r="A25" s="541"/>
      <c r="B25" s="864" t="s">
        <v>465</v>
      </c>
      <c r="C25" s="820"/>
      <c r="D25" s="815"/>
      <c r="E25" s="862">
        <f>D26+D27</f>
        <v>0</v>
      </c>
      <c r="F25" s="816"/>
    </row>
    <row r="26" spans="1:8" x14ac:dyDescent="0.2">
      <c r="A26" s="541"/>
      <c r="B26" s="817"/>
      <c r="C26" s="819" t="s">
        <v>320</v>
      </c>
      <c r="D26" s="815">
        <v>0</v>
      </c>
      <c r="E26" s="815"/>
      <c r="F26" s="816"/>
    </row>
    <row r="27" spans="1:8" x14ac:dyDescent="0.2">
      <c r="A27" s="541"/>
      <c r="B27" s="817"/>
      <c r="C27" s="819" t="s">
        <v>131</v>
      </c>
      <c r="D27" s="815">
        <v>0</v>
      </c>
      <c r="E27" s="815"/>
      <c r="F27" s="816"/>
    </row>
    <row r="28" spans="1:8" ht="13.5" thickBot="1" x14ac:dyDescent="0.25">
      <c r="A28" s="887"/>
      <c r="B28" s="888"/>
      <c r="C28" s="889"/>
      <c r="D28" s="892"/>
      <c r="E28" s="830"/>
      <c r="F28" s="890">
        <f>SUM(E18:E27)</f>
        <v>546277.79</v>
      </c>
      <c r="G28" s="818"/>
      <c r="H28" s="831">
        <f>F28-546277.79</f>
        <v>0</v>
      </c>
    </row>
    <row r="29" spans="1:8" ht="15" customHeight="1" x14ac:dyDescent="0.2">
      <c r="A29" s="893" t="s">
        <v>770</v>
      </c>
      <c r="B29" s="1140" t="s">
        <v>235</v>
      </c>
      <c r="C29" s="1141"/>
      <c r="D29" s="812"/>
      <c r="E29" s="894">
        <f>18479341.81+9546110.2+41645.2</f>
        <v>28067097.209999997</v>
      </c>
      <c r="F29" s="895"/>
      <c r="H29" s="803" t="s">
        <v>955</v>
      </c>
    </row>
    <row r="30" spans="1:8" x14ac:dyDescent="0.2">
      <c r="A30" s="882" t="s">
        <v>769</v>
      </c>
      <c r="B30" s="883" t="s">
        <v>957</v>
      </c>
      <c r="C30" s="884"/>
      <c r="D30" s="842"/>
      <c r="E30" s="812">
        <f>223448.06+15752.99+18504.85+6.05</f>
        <v>257711.94999999998</v>
      </c>
      <c r="F30" s="813"/>
    </row>
    <row r="31" spans="1:8" x14ac:dyDescent="0.2">
      <c r="A31" s="541"/>
      <c r="B31" s="858" t="s">
        <v>680</v>
      </c>
      <c r="C31" s="814"/>
      <c r="D31" s="815">
        <v>23026086.329999998</v>
      </c>
      <c r="E31" s="862">
        <f>D31</f>
        <v>23026086.329999998</v>
      </c>
      <c r="F31" s="816"/>
      <c r="G31" s="803">
        <v>3000</v>
      </c>
    </row>
    <row r="32" spans="1:8" x14ac:dyDescent="0.2">
      <c r="A32" s="541"/>
      <c r="B32" s="863" t="s">
        <v>319</v>
      </c>
      <c r="C32" s="863"/>
      <c r="D32" s="815">
        <v>1670030.65</v>
      </c>
      <c r="E32" s="862">
        <f>D32</f>
        <v>1670030.65</v>
      </c>
      <c r="F32" s="816"/>
    </row>
    <row r="33" spans="1:10" x14ac:dyDescent="0.2">
      <c r="A33" s="541"/>
      <c r="B33" s="864" t="s">
        <v>465</v>
      </c>
      <c r="C33" s="820"/>
      <c r="D33" s="815"/>
      <c r="E33" s="862">
        <f>SUM(D34:D38)</f>
        <v>3794887.1399999997</v>
      </c>
      <c r="F33" s="816"/>
    </row>
    <row r="34" spans="1:10" x14ac:dyDescent="0.2">
      <c r="A34" s="541"/>
      <c r="B34" s="817"/>
      <c r="C34" s="819" t="s">
        <v>320</v>
      </c>
      <c r="D34" s="815">
        <v>175333.52</v>
      </c>
      <c r="E34" s="815"/>
      <c r="F34" s="816"/>
    </row>
    <row r="35" spans="1:10" x14ac:dyDescent="0.2">
      <c r="A35" s="541"/>
      <c r="B35" s="817"/>
      <c r="C35" s="819" t="s">
        <v>322</v>
      </c>
      <c r="D35" s="815">
        <v>3326.79</v>
      </c>
      <c r="E35" s="815"/>
      <c r="F35" s="816"/>
    </row>
    <row r="36" spans="1:10" x14ac:dyDescent="0.2">
      <c r="A36" s="541"/>
      <c r="B36" s="817"/>
      <c r="C36" s="819" t="s">
        <v>323</v>
      </c>
      <c r="D36" s="815">
        <v>3609238.36</v>
      </c>
      <c r="E36" s="815"/>
      <c r="F36" s="816"/>
    </row>
    <row r="37" spans="1:10" x14ac:dyDescent="0.2">
      <c r="A37" s="541"/>
      <c r="B37" s="817"/>
      <c r="C37" s="819" t="s">
        <v>324</v>
      </c>
      <c r="D37" s="815">
        <v>118.86</v>
      </c>
      <c r="E37" s="815"/>
      <c r="F37" s="816"/>
    </row>
    <row r="38" spans="1:10" x14ac:dyDescent="0.2">
      <c r="A38" s="541"/>
      <c r="B38" s="817"/>
      <c r="C38" s="819" t="s">
        <v>131</v>
      </c>
      <c r="D38" s="815">
        <v>6869.61</v>
      </c>
      <c r="E38" s="815"/>
      <c r="F38" s="816"/>
    </row>
    <row r="39" spans="1:10" x14ac:dyDescent="0.2">
      <c r="A39" s="541"/>
      <c r="B39" s="1150" t="s">
        <v>325</v>
      </c>
      <c r="C39" s="1151"/>
      <c r="D39" s="835">
        <f>30000+6370</f>
        <v>36370</v>
      </c>
      <c r="E39" s="865">
        <f>SUM(D39)</f>
        <v>36370</v>
      </c>
      <c r="F39" s="825"/>
    </row>
    <row r="40" spans="1:10" x14ac:dyDescent="0.2">
      <c r="A40" s="541"/>
      <c r="B40" s="822" t="s">
        <v>355</v>
      </c>
      <c r="C40" s="823"/>
      <c r="D40" s="835"/>
      <c r="E40" s="819">
        <v>0</v>
      </c>
      <c r="F40" s="825"/>
    </row>
    <row r="41" spans="1:10" x14ac:dyDescent="0.2">
      <c r="A41" s="541"/>
      <c r="B41" s="1146" t="s">
        <v>771</v>
      </c>
      <c r="C41" s="1147"/>
      <c r="D41" s="815"/>
      <c r="E41" s="919">
        <v>-58016</v>
      </c>
      <c r="F41" s="872"/>
      <c r="H41" s="851" t="s">
        <v>772</v>
      </c>
    </row>
    <row r="42" spans="1:10" x14ac:dyDescent="0.2">
      <c r="A42" s="541"/>
      <c r="B42" s="1146" t="s">
        <v>773</v>
      </c>
      <c r="C42" s="1147"/>
      <c r="D42" s="815"/>
      <c r="E42" s="819">
        <v>-52400</v>
      </c>
      <c r="F42" s="872"/>
      <c r="H42" s="836" t="s">
        <v>772</v>
      </c>
    </row>
    <row r="43" spans="1:10" ht="13.5" thickBot="1" x14ac:dyDescent="0.25">
      <c r="A43" s="541"/>
      <c r="B43" s="1136" t="s">
        <v>774</v>
      </c>
      <c r="C43" s="1137"/>
      <c r="D43" s="815"/>
      <c r="E43" s="819">
        <v>-70800</v>
      </c>
      <c r="F43" s="872"/>
      <c r="H43" s="836"/>
    </row>
    <row r="44" spans="1:10" x14ac:dyDescent="0.2">
      <c r="A44" s="541"/>
      <c r="B44" s="819"/>
      <c r="C44" s="815"/>
      <c r="D44" s="815"/>
      <c r="E44" s="819"/>
      <c r="F44" s="872"/>
      <c r="H44" s="851">
        <f>52400+58016+70800</f>
        <v>181216</v>
      </c>
      <c r="I44" s="803" t="s">
        <v>778</v>
      </c>
    </row>
    <row r="45" spans="1:10" ht="13.5" thickBot="1" x14ac:dyDescent="0.25">
      <c r="A45" s="541"/>
      <c r="B45" s="896"/>
      <c r="C45" s="843"/>
      <c r="D45" s="833"/>
      <c r="E45" s="897"/>
      <c r="F45" s="890">
        <f>SUM(E29:E45)</f>
        <v>56670967.279999994</v>
      </c>
      <c r="H45" s="840">
        <f>F45+H44</f>
        <v>56852183.279999994</v>
      </c>
      <c r="I45" s="803" t="s">
        <v>956</v>
      </c>
      <c r="J45" s="898"/>
    </row>
    <row r="46" spans="1:10" x14ac:dyDescent="0.2">
      <c r="A46" s="899" t="s">
        <v>501</v>
      </c>
      <c r="B46" s="1140" t="s">
        <v>235</v>
      </c>
      <c r="C46" s="1141"/>
      <c r="D46" s="900"/>
      <c r="E46" s="894">
        <f>140009.21+84445.9+205.78</f>
        <v>224660.88999999998</v>
      </c>
      <c r="F46" s="895"/>
    </row>
    <row r="47" spans="1:10" x14ac:dyDescent="0.2">
      <c r="A47" s="901" t="s">
        <v>561</v>
      </c>
      <c r="B47" s="883" t="s">
        <v>957</v>
      </c>
      <c r="C47" s="884"/>
      <c r="D47" s="842"/>
      <c r="E47" s="812">
        <f>8707.41+6615.67</f>
        <v>15323.08</v>
      </c>
      <c r="F47" s="813"/>
      <c r="H47" s="898"/>
    </row>
    <row r="48" spans="1:10" x14ac:dyDescent="0.2">
      <c r="A48" s="541"/>
      <c r="B48" s="858" t="s">
        <v>680</v>
      </c>
      <c r="C48" s="814"/>
      <c r="D48" s="815">
        <v>594410.18999999994</v>
      </c>
      <c r="E48" s="862">
        <f>D48</f>
        <v>594410.18999999994</v>
      </c>
      <c r="F48" s="816"/>
      <c r="G48" s="803">
        <v>3000</v>
      </c>
    </row>
    <row r="49" spans="1:9" x14ac:dyDescent="0.2">
      <c r="A49" s="541"/>
      <c r="B49" s="863" t="s">
        <v>319</v>
      </c>
      <c r="C49" s="863"/>
      <c r="D49" s="815">
        <v>36653.760000000002</v>
      </c>
      <c r="E49" s="862">
        <f>D49</f>
        <v>36653.760000000002</v>
      </c>
      <c r="F49" s="816"/>
    </row>
    <row r="50" spans="1:9" x14ac:dyDescent="0.2">
      <c r="A50" s="541"/>
      <c r="B50" s="864" t="s">
        <v>465</v>
      </c>
      <c r="C50" s="820"/>
      <c r="D50" s="815"/>
      <c r="E50" s="862">
        <f>SUM(D51:D56)</f>
        <v>234154.08999999997</v>
      </c>
      <c r="F50" s="816"/>
    </row>
    <row r="51" spans="1:9" x14ac:dyDescent="0.2">
      <c r="A51" s="541"/>
      <c r="B51" s="817"/>
      <c r="C51" s="819" t="s">
        <v>320</v>
      </c>
      <c r="D51" s="815">
        <v>128585.23</v>
      </c>
      <c r="E51" s="815"/>
      <c r="F51" s="816"/>
    </row>
    <row r="52" spans="1:9" x14ac:dyDescent="0.2">
      <c r="A52" s="541"/>
      <c r="B52" s="817"/>
      <c r="C52" s="819" t="s">
        <v>321</v>
      </c>
      <c r="D52" s="815">
        <v>0</v>
      </c>
      <c r="E52" s="815"/>
      <c r="F52" s="816"/>
      <c r="G52" s="803">
        <v>4001</v>
      </c>
    </row>
    <row r="53" spans="1:9" x14ac:dyDescent="0.2">
      <c r="A53" s="541"/>
      <c r="B53" s="817"/>
      <c r="C53" s="819" t="s">
        <v>322</v>
      </c>
      <c r="D53" s="815">
        <v>9084.74</v>
      </c>
      <c r="E53" s="815"/>
      <c r="F53" s="816"/>
    </row>
    <row r="54" spans="1:9" ht="12" customHeight="1" x14ac:dyDescent="0.2">
      <c r="A54" s="541"/>
      <c r="B54" s="817"/>
      <c r="C54" s="819" t="s">
        <v>323</v>
      </c>
      <c r="D54" s="815">
        <v>428.49</v>
      </c>
      <c r="E54" s="815"/>
      <c r="F54" s="816"/>
      <c r="G54" s="803">
        <v>4004</v>
      </c>
    </row>
    <row r="55" spans="1:9" ht="12" customHeight="1" x14ac:dyDescent="0.2">
      <c r="A55" s="541"/>
      <c r="B55" s="817"/>
      <c r="C55" s="819" t="s">
        <v>324</v>
      </c>
      <c r="D55" s="815">
        <v>19709.05</v>
      </c>
      <c r="E55" s="815"/>
      <c r="F55" s="816"/>
      <c r="G55" s="803">
        <v>4004</v>
      </c>
    </row>
    <row r="56" spans="1:9" ht="12" customHeight="1" x14ac:dyDescent="0.2">
      <c r="A56" s="541"/>
      <c r="B56" s="817"/>
      <c r="C56" s="819" t="s">
        <v>131</v>
      </c>
      <c r="D56" s="815">
        <v>76346.58</v>
      </c>
      <c r="E56" s="815"/>
      <c r="F56" s="816"/>
    </row>
    <row r="57" spans="1:9" x14ac:dyDescent="0.2">
      <c r="A57" s="541"/>
      <c r="B57" s="886" t="s">
        <v>325</v>
      </c>
      <c r="C57" s="823"/>
      <c r="D57" s="815">
        <v>23527.9</v>
      </c>
      <c r="E57" s="865">
        <f>SUM(D57)</f>
        <v>23527.9</v>
      </c>
      <c r="F57" s="825"/>
    </row>
    <row r="58" spans="1:9" x14ac:dyDescent="0.2">
      <c r="A58" s="541"/>
      <c r="B58" s="886"/>
      <c r="C58" s="823"/>
      <c r="D58" s="815"/>
      <c r="E58" s="865"/>
      <c r="F58" s="825"/>
    </row>
    <row r="59" spans="1:9" x14ac:dyDescent="0.2">
      <c r="A59" s="541"/>
      <c r="B59" s="1146" t="s">
        <v>776</v>
      </c>
      <c r="C59" s="1147"/>
      <c r="D59" s="835"/>
      <c r="E59" s="920">
        <v>-59970.84</v>
      </c>
      <c r="F59" s="825"/>
    </row>
    <row r="60" spans="1:9" x14ac:dyDescent="0.2">
      <c r="A60" s="541"/>
      <c r="B60" s="1146" t="s">
        <v>777</v>
      </c>
      <c r="C60" s="1147"/>
      <c r="D60" s="835"/>
      <c r="E60" s="921">
        <v>-8289.18</v>
      </c>
      <c r="F60" s="825"/>
      <c r="H60" s="851">
        <v>0</v>
      </c>
      <c r="I60" s="803" t="s">
        <v>958</v>
      </c>
    </row>
    <row r="61" spans="1:9" x14ac:dyDescent="0.2">
      <c r="A61" s="541"/>
      <c r="B61" s="1146" t="s">
        <v>775</v>
      </c>
      <c r="C61" s="1147"/>
      <c r="D61" s="815"/>
      <c r="E61" s="919">
        <v>-35000</v>
      </c>
      <c r="F61" s="872"/>
      <c r="G61" s="803">
        <v>70200</v>
      </c>
      <c r="H61" s="818">
        <f>8289.18+59970.84+35000</f>
        <v>103260.01999999999</v>
      </c>
      <c r="I61" s="803" t="s">
        <v>778</v>
      </c>
    </row>
    <row r="62" spans="1:9" ht="13.5" thickBot="1" x14ac:dyDescent="0.25">
      <c r="A62" s="541"/>
      <c r="B62" s="1136"/>
      <c r="C62" s="1137"/>
      <c r="D62" s="902"/>
      <c r="E62" s="903"/>
      <c r="F62" s="890">
        <f>SUM(E46:E62)</f>
        <v>1025469.8899999997</v>
      </c>
      <c r="G62" s="803">
        <v>70200</v>
      </c>
      <c r="H62" s="840">
        <f>F62+H61</f>
        <v>1128729.9099999997</v>
      </c>
      <c r="I62" s="803" t="s">
        <v>959</v>
      </c>
    </row>
    <row r="63" spans="1:9" ht="13.15" customHeight="1" x14ac:dyDescent="0.2">
      <c r="A63" s="904" t="s">
        <v>542</v>
      </c>
      <c r="B63" s="1140" t="s">
        <v>235</v>
      </c>
      <c r="C63" s="1141"/>
      <c r="D63" s="900"/>
      <c r="E63" s="900">
        <f>883378.39+517502.47+154.94</f>
        <v>1401035.7999999998</v>
      </c>
      <c r="F63" s="895"/>
      <c r="H63" s="898"/>
    </row>
    <row r="64" spans="1:9" x14ac:dyDescent="0.2">
      <c r="A64" s="821"/>
      <c r="B64" s="883" t="s">
        <v>50</v>
      </c>
      <c r="C64" s="884"/>
      <c r="D64" s="842"/>
      <c r="E64" s="812">
        <f>23536.53+3749.91</f>
        <v>27286.44</v>
      </c>
      <c r="F64" s="813"/>
    </row>
    <row r="65" spans="1:8" x14ac:dyDescent="0.2">
      <c r="A65" s="541"/>
      <c r="B65" s="858" t="s">
        <v>680</v>
      </c>
      <c r="C65" s="814"/>
      <c r="D65" s="815">
        <v>50916.160000000003</v>
      </c>
      <c r="E65" s="862">
        <f>D65</f>
        <v>50916.160000000003</v>
      </c>
      <c r="F65" s="816"/>
    </row>
    <row r="66" spans="1:8" x14ac:dyDescent="0.2">
      <c r="A66" s="541"/>
      <c r="B66" s="863" t="s">
        <v>319</v>
      </c>
      <c r="C66" s="863"/>
      <c r="D66" s="815">
        <v>313846.2</v>
      </c>
      <c r="E66" s="862">
        <f>D66</f>
        <v>313846.2</v>
      </c>
      <c r="F66" s="872"/>
      <c r="H66" s="851"/>
    </row>
    <row r="67" spans="1:8" x14ac:dyDescent="0.2">
      <c r="A67" s="541"/>
      <c r="B67" s="864" t="s">
        <v>465</v>
      </c>
      <c r="C67" s="820"/>
      <c r="D67" s="815"/>
      <c r="E67" s="862">
        <f>SUM(D68:D70)</f>
        <v>11562.710000000001</v>
      </c>
      <c r="F67" s="816"/>
    </row>
    <row r="68" spans="1:8" x14ac:dyDescent="0.2">
      <c r="A68" s="901"/>
      <c r="B68" s="817"/>
      <c r="C68" s="814" t="s">
        <v>320</v>
      </c>
      <c r="D68" s="815">
        <v>11296.69</v>
      </c>
      <c r="E68" s="815"/>
      <c r="F68" s="816"/>
      <c r="G68" s="803">
        <v>4000</v>
      </c>
    </row>
    <row r="69" spans="1:8" x14ac:dyDescent="0.2">
      <c r="A69" s="541"/>
      <c r="B69" s="817"/>
      <c r="C69" s="814" t="s">
        <v>322</v>
      </c>
      <c r="D69" s="815">
        <v>182.12</v>
      </c>
      <c r="E69" s="815"/>
      <c r="F69" s="816"/>
      <c r="G69" s="803">
        <v>4002</v>
      </c>
    </row>
    <row r="70" spans="1:8" x14ac:dyDescent="0.2">
      <c r="A70" s="541"/>
      <c r="B70" s="822"/>
      <c r="C70" s="922" t="s">
        <v>131</v>
      </c>
      <c r="D70" s="815">
        <v>83.9</v>
      </c>
      <c r="E70" s="824"/>
      <c r="F70" s="816"/>
      <c r="G70" s="803">
        <v>4005</v>
      </c>
    </row>
    <row r="71" spans="1:8" x14ac:dyDescent="0.2">
      <c r="A71" s="541"/>
      <c r="B71" s="886" t="s">
        <v>325</v>
      </c>
      <c r="C71" s="823"/>
      <c r="D71" s="815">
        <v>0</v>
      </c>
      <c r="E71" s="865">
        <f>SUM(D71)</f>
        <v>0</v>
      </c>
      <c r="F71" s="816"/>
    </row>
    <row r="72" spans="1:8" ht="13.5" thickBot="1" x14ac:dyDescent="0.25">
      <c r="A72" s="821"/>
      <c r="B72" s="827"/>
      <c r="C72" s="828"/>
      <c r="D72" s="829"/>
      <c r="E72" s="830"/>
      <c r="F72" s="890">
        <f>SUM(E63:E71)</f>
        <v>1804647.3099999996</v>
      </c>
      <c r="H72" s="831">
        <f>F72-1804647.31</f>
        <v>0</v>
      </c>
    </row>
    <row r="73" spans="1:8" ht="13.15" customHeight="1" x14ac:dyDescent="0.2">
      <c r="A73" s="899" t="s">
        <v>329</v>
      </c>
      <c r="B73" s="1140" t="s">
        <v>235</v>
      </c>
      <c r="C73" s="1141"/>
      <c r="D73" s="900"/>
      <c r="E73" s="900">
        <f>620594.04+368541.25+1839.54</f>
        <v>990974.83000000007</v>
      </c>
      <c r="F73" s="895"/>
      <c r="H73" s="898"/>
    </row>
    <row r="74" spans="1:8" x14ac:dyDescent="0.2">
      <c r="A74" s="821"/>
      <c r="B74" s="883" t="s">
        <v>50</v>
      </c>
      <c r="C74" s="884"/>
      <c r="D74" s="842"/>
      <c r="E74" s="812">
        <f>2465.33</f>
        <v>2465.33</v>
      </c>
      <c r="F74" s="813"/>
    </row>
    <row r="75" spans="1:8" x14ac:dyDescent="0.2">
      <c r="A75" s="541"/>
      <c r="B75" s="858" t="s">
        <v>680</v>
      </c>
      <c r="C75" s="814"/>
      <c r="D75" s="815">
        <v>4472.53</v>
      </c>
      <c r="E75" s="862">
        <f>D75</f>
        <v>4472.53</v>
      </c>
      <c r="F75" s="816"/>
    </row>
    <row r="76" spans="1:8" x14ac:dyDescent="0.2">
      <c r="A76" s="541"/>
      <c r="B76" s="863" t="s">
        <v>319</v>
      </c>
      <c r="C76" s="863"/>
      <c r="D76" s="815">
        <v>20558.32</v>
      </c>
      <c r="E76" s="862">
        <f>D76</f>
        <v>20558.32</v>
      </c>
      <c r="F76" s="872"/>
      <c r="H76" s="851"/>
    </row>
    <row r="77" spans="1:8" x14ac:dyDescent="0.2">
      <c r="A77" s="541"/>
      <c r="B77" s="864" t="s">
        <v>465</v>
      </c>
      <c r="C77" s="820"/>
      <c r="D77" s="815"/>
      <c r="E77" s="862">
        <f>SUM(D78:D80)</f>
        <v>1257.24</v>
      </c>
      <c r="F77" s="816"/>
    </row>
    <row r="78" spans="1:8" x14ac:dyDescent="0.2">
      <c r="A78" s="901"/>
      <c r="B78" s="817"/>
      <c r="C78" s="814" t="s">
        <v>320</v>
      </c>
      <c r="D78" s="815">
        <v>1241.32</v>
      </c>
      <c r="E78" s="815"/>
      <c r="F78" s="816"/>
      <c r="G78" s="803">
        <v>4000</v>
      </c>
    </row>
    <row r="79" spans="1:8" x14ac:dyDescent="0.2">
      <c r="A79" s="541"/>
      <c r="B79" s="817"/>
      <c r="C79" s="814" t="s">
        <v>322</v>
      </c>
      <c r="D79" s="815">
        <v>0</v>
      </c>
      <c r="E79" s="815"/>
      <c r="F79" s="816"/>
      <c r="G79" s="803">
        <v>4002</v>
      </c>
    </row>
    <row r="80" spans="1:8" x14ac:dyDescent="0.2">
      <c r="A80" s="541"/>
      <c r="B80" s="822"/>
      <c r="C80" s="922" t="s">
        <v>779</v>
      </c>
      <c r="D80" s="815">
        <v>15.92</v>
      </c>
      <c r="E80" s="824"/>
      <c r="F80" s="816"/>
      <c r="G80" s="803">
        <v>4005</v>
      </c>
    </row>
    <row r="81" spans="1:9" x14ac:dyDescent="0.2">
      <c r="A81" s="541"/>
      <c r="B81" s="886" t="s">
        <v>325</v>
      </c>
      <c r="C81" s="823"/>
      <c r="D81" s="815">
        <v>0</v>
      </c>
      <c r="E81" s="865">
        <f>SUM(D81)</f>
        <v>0</v>
      </c>
      <c r="F81" s="816"/>
    </row>
    <row r="82" spans="1:9" ht="13.5" thickBot="1" x14ac:dyDescent="0.25">
      <c r="A82" s="826"/>
      <c r="B82" s="827"/>
      <c r="C82" s="828"/>
      <c r="D82" s="829"/>
      <c r="E82" s="830"/>
      <c r="F82" s="890">
        <f>SUM(E73:E81)</f>
        <v>1019728.25</v>
      </c>
      <c r="H82" s="831">
        <f>F82-1019728.25</f>
        <v>0</v>
      </c>
    </row>
    <row r="83" spans="1:9" ht="13.15" customHeight="1" x14ac:dyDescent="0.2">
      <c r="A83" s="882" t="s">
        <v>55</v>
      </c>
      <c r="B83" s="1140" t="s">
        <v>235</v>
      </c>
      <c r="C83" s="1141"/>
      <c r="D83" s="900"/>
      <c r="E83" s="894">
        <f>1500831.86+771574.64-1106.54</f>
        <v>2271299.96</v>
      </c>
      <c r="F83" s="895"/>
    </row>
    <row r="84" spans="1:9" x14ac:dyDescent="0.2">
      <c r="A84" s="541"/>
      <c r="B84" s="883" t="s">
        <v>50</v>
      </c>
      <c r="C84" s="884"/>
      <c r="D84" s="842"/>
      <c r="E84" s="812">
        <f>71291.61+15136.68</f>
        <v>86428.290000000008</v>
      </c>
      <c r="F84" s="813"/>
    </row>
    <row r="85" spans="1:9" x14ac:dyDescent="0.2">
      <c r="A85" s="541"/>
      <c r="B85" s="858" t="s">
        <v>680</v>
      </c>
      <c r="C85" s="814"/>
      <c r="D85" s="815">
        <v>100291.07</v>
      </c>
      <c r="E85" s="862">
        <f>D85</f>
        <v>100291.07</v>
      </c>
      <c r="F85" s="816"/>
    </row>
    <row r="86" spans="1:9" x14ac:dyDescent="0.2">
      <c r="A86" s="541"/>
      <c r="B86" s="863" t="s">
        <v>319</v>
      </c>
      <c r="C86" s="814"/>
      <c r="D86" s="815">
        <v>199093.32</v>
      </c>
      <c r="E86" s="862">
        <f>D86</f>
        <v>199093.32</v>
      </c>
      <c r="F86" s="816"/>
    </row>
    <row r="87" spans="1:9" x14ac:dyDescent="0.2">
      <c r="A87" s="541"/>
      <c r="B87" s="864" t="s">
        <v>465</v>
      </c>
      <c r="C87" s="814"/>
      <c r="D87" s="815"/>
      <c r="E87" s="862">
        <f>SUM(D88:D92)</f>
        <v>6919.95</v>
      </c>
      <c r="F87" s="816"/>
    </row>
    <row r="88" spans="1:9" x14ac:dyDescent="0.2">
      <c r="A88" s="541"/>
      <c r="B88" s="817"/>
      <c r="C88" s="814" t="s">
        <v>320</v>
      </c>
      <c r="D88" s="815">
        <v>324.38</v>
      </c>
      <c r="E88" s="815"/>
      <c r="F88" s="816"/>
    </row>
    <row r="89" spans="1:9" x14ac:dyDescent="0.2">
      <c r="A89" s="541"/>
      <c r="B89" s="817"/>
      <c r="C89" s="814" t="s">
        <v>322</v>
      </c>
      <c r="D89" s="815">
        <v>4834.9399999999996</v>
      </c>
      <c r="E89" s="815"/>
      <c r="F89" s="816"/>
    </row>
    <row r="90" spans="1:9" x14ac:dyDescent="0.2">
      <c r="A90" s="541"/>
      <c r="B90" s="817"/>
      <c r="C90" s="922" t="s">
        <v>779</v>
      </c>
      <c r="D90" s="815">
        <v>806.18</v>
      </c>
      <c r="E90" s="815"/>
      <c r="F90" s="816"/>
    </row>
    <row r="91" spans="1:9" x14ac:dyDescent="0.2">
      <c r="A91" s="541"/>
      <c r="B91" s="817"/>
      <c r="C91" s="922" t="s">
        <v>324</v>
      </c>
      <c r="D91" s="815">
        <v>954.45</v>
      </c>
      <c r="E91" s="815"/>
      <c r="F91" s="816"/>
    </row>
    <row r="92" spans="1:9" x14ac:dyDescent="0.2">
      <c r="A92" s="541"/>
      <c r="B92" s="817"/>
      <c r="C92" s="922" t="s">
        <v>131</v>
      </c>
      <c r="D92" s="815">
        <v>0</v>
      </c>
      <c r="E92" s="815"/>
      <c r="F92" s="816"/>
    </row>
    <row r="93" spans="1:9" x14ac:dyDescent="0.2">
      <c r="A93" s="541"/>
      <c r="B93" s="886" t="s">
        <v>325</v>
      </c>
      <c r="C93" s="823"/>
      <c r="D93" s="815">
        <v>0</v>
      </c>
      <c r="E93" s="865">
        <f>SUM(D93)</f>
        <v>0</v>
      </c>
      <c r="F93" s="816"/>
      <c r="H93" s="851">
        <v>140000</v>
      </c>
      <c r="I93" s="803" t="s">
        <v>960</v>
      </c>
    </row>
    <row r="94" spans="1:9" ht="13.5" thickBot="1" x14ac:dyDescent="0.25">
      <c r="A94" s="826"/>
      <c r="B94" s="1148" t="s">
        <v>238</v>
      </c>
      <c r="C94" s="1149"/>
      <c r="D94" s="830"/>
      <c r="E94" s="905">
        <v>-140000</v>
      </c>
      <c r="F94" s="890">
        <f>SUM(E83:E94)</f>
        <v>2524032.59</v>
      </c>
      <c r="H94" s="923">
        <f>F94-2664032.59+H93</f>
        <v>0</v>
      </c>
    </row>
    <row r="95" spans="1:9" ht="13.15" customHeight="1" x14ac:dyDescent="0.2">
      <c r="A95" s="906" t="s">
        <v>330</v>
      </c>
      <c r="B95" s="1140" t="s">
        <v>235</v>
      </c>
      <c r="C95" s="1141"/>
      <c r="D95" s="900"/>
      <c r="E95" s="841">
        <v>0</v>
      </c>
      <c r="F95" s="895"/>
      <c r="G95" s="803">
        <v>1000</v>
      </c>
    </row>
    <row r="96" spans="1:9" x14ac:dyDescent="0.2">
      <c r="A96" s="541"/>
      <c r="B96" s="883" t="s">
        <v>50</v>
      </c>
      <c r="C96" s="884"/>
      <c r="D96" s="842"/>
      <c r="E96" s="812">
        <v>562159.1</v>
      </c>
      <c r="F96" s="813"/>
      <c r="G96" s="803">
        <v>2000</v>
      </c>
    </row>
    <row r="97" spans="1:8" x14ac:dyDescent="0.2">
      <c r="A97" s="541"/>
      <c r="B97" s="858" t="s">
        <v>680</v>
      </c>
      <c r="C97" s="814"/>
      <c r="D97" s="815">
        <v>18587.099999999999</v>
      </c>
      <c r="E97" s="815">
        <f>D97</f>
        <v>18587.099999999999</v>
      </c>
      <c r="F97" s="816"/>
      <c r="G97" s="803">
        <v>3000</v>
      </c>
    </row>
    <row r="98" spans="1:8" x14ac:dyDescent="0.2">
      <c r="A98" s="541"/>
      <c r="B98" s="863" t="s">
        <v>319</v>
      </c>
      <c r="C98" s="863"/>
      <c r="D98" s="815">
        <v>0</v>
      </c>
      <c r="E98" s="862">
        <f>SUM(D98)</f>
        <v>0</v>
      </c>
      <c r="F98" s="816"/>
    </row>
    <row r="99" spans="1:8" x14ac:dyDescent="0.2">
      <c r="A99" s="821"/>
      <c r="B99" s="886" t="s">
        <v>325</v>
      </c>
      <c r="C99" s="924"/>
      <c r="D99" s="815">
        <v>0</v>
      </c>
      <c r="E99" s="865">
        <f>D99</f>
        <v>0</v>
      </c>
      <c r="F99" s="816"/>
    </row>
    <row r="100" spans="1:8" ht="13.5" thickBot="1" x14ac:dyDescent="0.25">
      <c r="A100" s="826"/>
      <c r="B100" s="827"/>
      <c r="C100" s="828"/>
      <c r="D100" s="829"/>
      <c r="E100" s="830"/>
      <c r="F100" s="890">
        <f>SUM(E96:E100)</f>
        <v>580746.19999999995</v>
      </c>
      <c r="H100" s="831">
        <f>F100-580746.2</f>
        <v>0</v>
      </c>
    </row>
    <row r="101" spans="1:8" ht="13.15" customHeight="1" x14ac:dyDescent="0.2">
      <c r="A101" s="906" t="s">
        <v>971</v>
      </c>
      <c r="B101" s="1140" t="s">
        <v>235</v>
      </c>
      <c r="C101" s="1141"/>
      <c r="D101" s="900"/>
      <c r="E101" s="841">
        <f>339088.68</f>
        <v>339088.68</v>
      </c>
      <c r="F101" s="895"/>
      <c r="G101" s="803">
        <v>1000</v>
      </c>
    </row>
    <row r="102" spans="1:8" x14ac:dyDescent="0.2">
      <c r="A102" s="541"/>
      <c r="B102" s="883" t="s">
        <v>50</v>
      </c>
      <c r="C102" s="884"/>
      <c r="D102" s="842">
        <v>19953.2</v>
      </c>
      <c r="E102" s="812">
        <f>D102</f>
        <v>19953.2</v>
      </c>
      <c r="F102" s="813"/>
      <c r="G102" s="803">
        <v>2000</v>
      </c>
    </row>
    <row r="103" spans="1:8" x14ac:dyDescent="0.2">
      <c r="A103" s="541"/>
      <c r="B103" s="858" t="s">
        <v>680</v>
      </c>
      <c r="C103" s="814"/>
      <c r="D103" s="815">
        <v>1441182.49</v>
      </c>
      <c r="E103" s="815">
        <f>D103</f>
        <v>1441182.49</v>
      </c>
      <c r="F103" s="816"/>
      <c r="G103" s="803">
        <v>3000</v>
      </c>
    </row>
    <row r="104" spans="1:8" x14ac:dyDescent="0.2">
      <c r="A104" s="541"/>
      <c r="B104" s="863" t="s">
        <v>319</v>
      </c>
      <c r="C104" s="863"/>
      <c r="D104" s="815">
        <v>49831.33</v>
      </c>
      <c r="E104" s="862">
        <f>SUM(D104)</f>
        <v>49831.33</v>
      </c>
      <c r="F104" s="816"/>
    </row>
    <row r="105" spans="1:8" x14ac:dyDescent="0.2">
      <c r="A105" s="821"/>
      <c r="B105" s="924" t="s">
        <v>465</v>
      </c>
      <c r="C105" s="924"/>
      <c r="D105" s="815">
        <v>392200.44</v>
      </c>
      <c r="E105" s="865">
        <f>D105</f>
        <v>392200.44</v>
      </c>
      <c r="F105" s="816"/>
    </row>
    <row r="106" spans="1:8" x14ac:dyDescent="0.2">
      <c r="A106" s="821"/>
      <c r="B106" s="886" t="s">
        <v>325</v>
      </c>
      <c r="C106" s="924"/>
      <c r="D106" s="815">
        <v>538902.6</v>
      </c>
      <c r="E106" s="865">
        <f>D106</f>
        <v>538902.6</v>
      </c>
      <c r="F106" s="816"/>
      <c r="H106" s="627" t="s">
        <v>997</v>
      </c>
    </row>
    <row r="107" spans="1:8" ht="13.5" thickBot="1" x14ac:dyDescent="0.25">
      <c r="A107" s="826"/>
      <c r="B107" s="827"/>
      <c r="C107" s="828"/>
      <c r="D107" s="829"/>
      <c r="E107" s="830"/>
      <c r="F107" s="890">
        <f>SUM(E101:E107)*0</f>
        <v>0</v>
      </c>
      <c r="H107" s="831">
        <f>F107-2781158.74</f>
        <v>-2781158.74</v>
      </c>
    </row>
    <row r="108" spans="1:8" ht="13.9" customHeight="1" x14ac:dyDescent="0.2">
      <c r="A108" s="906" t="s">
        <v>781</v>
      </c>
      <c r="B108" s="1140" t="s">
        <v>235</v>
      </c>
      <c r="C108" s="1141"/>
      <c r="D108" s="900">
        <f>46085.26+25114.74</f>
        <v>71200</v>
      </c>
      <c r="E108" s="841">
        <f>D108</f>
        <v>71200</v>
      </c>
      <c r="F108" s="895"/>
    </row>
    <row r="109" spans="1:8" ht="12.75" customHeight="1" x14ac:dyDescent="0.2">
      <c r="A109" s="901" t="s">
        <v>780</v>
      </c>
      <c r="B109" s="883" t="s">
        <v>50</v>
      </c>
      <c r="C109" s="814"/>
      <c r="D109" s="815"/>
      <c r="E109" s="862">
        <f>D109</f>
        <v>0</v>
      </c>
      <c r="F109" s="816"/>
    </row>
    <row r="110" spans="1:8" ht="12.75" customHeight="1" x14ac:dyDescent="0.2">
      <c r="A110" s="541"/>
      <c r="B110" s="858" t="s">
        <v>680</v>
      </c>
      <c r="C110" s="863"/>
      <c r="D110" s="815"/>
      <c r="E110" s="862">
        <f>D110</f>
        <v>0</v>
      </c>
      <c r="F110" s="816"/>
      <c r="H110" s="818"/>
    </row>
    <row r="111" spans="1:8" ht="12.75" customHeight="1" x14ac:dyDescent="0.2">
      <c r="A111" s="541"/>
      <c r="B111" s="863" t="s">
        <v>319</v>
      </c>
      <c r="C111" s="823"/>
      <c r="D111" s="815">
        <v>429300</v>
      </c>
      <c r="E111" s="865">
        <f>D111</f>
        <v>429300</v>
      </c>
      <c r="F111" s="825"/>
    </row>
    <row r="112" spans="1:8" ht="12.75" customHeight="1" x14ac:dyDescent="0.2">
      <c r="A112" s="834"/>
      <c r="B112" s="886" t="s">
        <v>325</v>
      </c>
      <c r="C112" s="823"/>
      <c r="D112" s="824">
        <v>0</v>
      </c>
      <c r="E112" s="865">
        <f>D112</f>
        <v>0</v>
      </c>
      <c r="F112" s="825"/>
    </row>
    <row r="113" spans="1:9" ht="13.5" customHeight="1" thickBot="1" x14ac:dyDescent="0.25">
      <c r="A113" s="826"/>
      <c r="B113" s="1148"/>
      <c r="C113" s="1149"/>
      <c r="D113" s="830"/>
      <c r="E113" s="905"/>
      <c r="F113" s="925">
        <f>SUM(E108:E113)</f>
        <v>500500</v>
      </c>
      <c r="H113" s="831">
        <f>F113-500500</f>
        <v>0</v>
      </c>
    </row>
    <row r="114" spans="1:9" x14ac:dyDescent="0.2">
      <c r="A114" s="906" t="s">
        <v>414</v>
      </c>
      <c r="B114" s="1140"/>
      <c r="C114" s="1141"/>
      <c r="D114" s="907"/>
      <c r="E114" s="908">
        <v>0</v>
      </c>
      <c r="F114" s="895"/>
    </row>
    <row r="115" spans="1:9" x14ac:dyDescent="0.2">
      <c r="A115" s="541"/>
      <c r="B115" s="885" t="s">
        <v>132</v>
      </c>
      <c r="C115" s="814"/>
      <c r="D115" s="816"/>
      <c r="E115" s="872">
        <f>SUM(D116:D120)</f>
        <v>0</v>
      </c>
      <c r="F115" s="816"/>
    </row>
    <row r="116" spans="1:9" x14ac:dyDescent="0.2">
      <c r="A116" s="901"/>
      <c r="B116" s="817"/>
      <c r="C116" s="814" t="s">
        <v>314</v>
      </c>
      <c r="D116" s="816"/>
      <c r="E116" s="816"/>
      <c r="F116" s="816"/>
    </row>
    <row r="117" spans="1:9" x14ac:dyDescent="0.2">
      <c r="A117" s="901"/>
      <c r="B117" s="817"/>
      <c r="C117" s="814" t="s">
        <v>51</v>
      </c>
      <c r="D117" s="816">
        <v>0</v>
      </c>
      <c r="E117" s="816"/>
      <c r="F117" s="816"/>
    </row>
    <row r="118" spans="1:9" ht="12.75" customHeight="1" x14ac:dyDescent="0.2">
      <c r="A118" s="541"/>
      <c r="B118" s="817"/>
      <c r="C118" s="814" t="s">
        <v>317</v>
      </c>
      <c r="D118" s="815">
        <v>0</v>
      </c>
      <c r="E118" s="815"/>
      <c r="F118" s="816"/>
    </row>
    <row r="119" spans="1:9" ht="12.75" customHeight="1" x14ac:dyDescent="0.2">
      <c r="A119" s="541"/>
      <c r="B119" s="817"/>
      <c r="C119" s="814" t="s">
        <v>318</v>
      </c>
      <c r="D119" s="815">
        <v>0</v>
      </c>
      <c r="E119" s="815"/>
      <c r="F119" s="816"/>
    </row>
    <row r="120" spans="1:9" x14ac:dyDescent="0.2">
      <c r="A120" s="541"/>
      <c r="B120" s="817"/>
      <c r="C120" s="814" t="s">
        <v>466</v>
      </c>
      <c r="D120" s="815">
        <v>0</v>
      </c>
      <c r="E120" s="816"/>
      <c r="F120" s="816"/>
      <c r="H120" s="836"/>
    </row>
    <row r="121" spans="1:9" ht="13.5" thickBot="1" x14ac:dyDescent="0.25">
      <c r="A121" s="826"/>
      <c r="B121" s="827"/>
      <c r="C121" s="828"/>
      <c r="D121" s="829"/>
      <c r="E121" s="830"/>
      <c r="F121" s="926">
        <f>SUM(E115:E121)</f>
        <v>0</v>
      </c>
      <c r="H121" s="851">
        <f>H93+H61+H44</f>
        <v>424476.02</v>
      </c>
      <c r="I121" s="803" t="s">
        <v>784</v>
      </c>
    </row>
    <row r="122" spans="1:9" ht="13.5" thickBot="1" x14ac:dyDescent="0.25">
      <c r="A122" s="909" t="s">
        <v>786</v>
      </c>
      <c r="B122" s="910"/>
      <c r="F122" s="851">
        <f>-'Sched-C'!$D$24</f>
        <v>-23049570.77</v>
      </c>
      <c r="H122" s="927">
        <f>F121+F113+F100+F94+F82+F72+F62+F45+F28+F17+F107</f>
        <v>64672369.309999995</v>
      </c>
      <c r="I122" s="803" t="s">
        <v>787</v>
      </c>
    </row>
    <row r="123" spans="1:9" s="786" customFormat="1" ht="21.75" customHeight="1" thickBot="1" x14ac:dyDescent="0.25">
      <c r="A123" s="911"/>
      <c r="B123" s="912" t="s">
        <v>6</v>
      </c>
      <c r="C123" s="913"/>
      <c r="D123" s="914"/>
      <c r="E123" s="915"/>
      <c r="F123" s="916">
        <f>SUM(F3:F122)</f>
        <v>41622798.540000007</v>
      </c>
      <c r="H123" s="1078">
        <f>SUM(H120:H122)</f>
        <v>65096845.329999998</v>
      </c>
    </row>
    <row r="124" spans="1:9" ht="13.5" thickTop="1" x14ac:dyDescent="0.2">
      <c r="F124" s="818"/>
      <c r="H124" s="928">
        <f>65096845.33+2781158.74</f>
        <v>67878004.069999993</v>
      </c>
      <c r="I124" s="803" t="s">
        <v>973</v>
      </c>
    </row>
    <row r="125" spans="1:9" x14ac:dyDescent="0.2">
      <c r="A125" s="588" t="s">
        <v>961</v>
      </c>
      <c r="H125" s="929">
        <f>H123-H124</f>
        <v>-2781158.7399999946</v>
      </c>
      <c r="I125" s="930" t="s">
        <v>785</v>
      </c>
    </row>
    <row r="126" spans="1:9" x14ac:dyDescent="0.2">
      <c r="A126" s="917" t="s">
        <v>788</v>
      </c>
      <c r="H126" s="818"/>
    </row>
    <row r="127" spans="1:9" x14ac:dyDescent="0.2">
      <c r="A127" s="918"/>
    </row>
  </sheetData>
  <dataConsolidate/>
  <mergeCells count="24">
    <mergeCell ref="B73:C73"/>
    <mergeCell ref="B114:C114"/>
    <mergeCell ref="B63:C63"/>
    <mergeCell ref="B113:C113"/>
    <mergeCell ref="B39:C39"/>
    <mergeCell ref="B83:C83"/>
    <mergeCell ref="B94:C94"/>
    <mergeCell ref="B95:C95"/>
    <mergeCell ref="B108:C108"/>
    <mergeCell ref="B61:C61"/>
    <mergeCell ref="B42:C42"/>
    <mergeCell ref="B41:C41"/>
    <mergeCell ref="B43:C43"/>
    <mergeCell ref="B101:C101"/>
    <mergeCell ref="A1:F1"/>
    <mergeCell ref="D2:E2"/>
    <mergeCell ref="B62:C62"/>
    <mergeCell ref="B18:C18"/>
    <mergeCell ref="B29:C29"/>
    <mergeCell ref="B46:C46"/>
    <mergeCell ref="B2:C2"/>
    <mergeCell ref="B3:C3"/>
    <mergeCell ref="B59:C59"/>
    <mergeCell ref="B60:C60"/>
  </mergeCells>
  <phoneticPr fontId="21" type="noConversion"/>
  <printOptions horizontalCentered="1"/>
  <pageMargins left="0" right="0" top="1.25" bottom="1" header="0.33" footer="0.5"/>
  <pageSetup scale="98" fitToHeight="0"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E14"/>
  <sheetViews>
    <sheetView showGridLines="0" workbookViewId="0">
      <selection activeCell="A5" sqref="A5"/>
    </sheetView>
  </sheetViews>
  <sheetFormatPr defaultColWidth="9.140625" defaultRowHeight="12.75" x14ac:dyDescent="0.2"/>
  <cols>
    <col min="1" max="1" width="29.7109375" style="180" customWidth="1"/>
    <col min="2" max="2" width="12" style="180" customWidth="1"/>
    <col min="3" max="3" width="18.140625" style="180" customWidth="1"/>
    <col min="4" max="4" width="19.140625" style="180" bestFit="1" customWidth="1"/>
    <col min="5" max="5" width="22.28515625" style="180" customWidth="1"/>
    <col min="6" max="16384" width="9.140625" style="180"/>
  </cols>
  <sheetData>
    <row r="1" spans="1:5" ht="52.5" customHeight="1" thickBot="1" x14ac:dyDescent="0.25">
      <c r="A1" s="1152" t="s">
        <v>133</v>
      </c>
      <c r="B1" s="1152"/>
      <c r="C1" s="1152"/>
      <c r="D1" s="1152"/>
      <c r="E1" s="1152"/>
    </row>
    <row r="2" spans="1:5" ht="48" thickBot="1" x14ac:dyDescent="0.25">
      <c r="A2" s="344" t="s">
        <v>124</v>
      </c>
      <c r="B2" s="364" t="s">
        <v>790</v>
      </c>
      <c r="C2" s="345" t="s">
        <v>158</v>
      </c>
      <c r="D2" s="345" t="s">
        <v>123</v>
      </c>
      <c r="E2" s="345" t="s">
        <v>996</v>
      </c>
    </row>
    <row r="3" spans="1:5" ht="48.75" customHeight="1" thickTop="1" thickBot="1" x14ac:dyDescent="0.25">
      <c r="A3" s="346" t="s">
        <v>841</v>
      </c>
      <c r="B3" s="347" t="s">
        <v>842</v>
      </c>
      <c r="C3" s="348">
        <v>12382748.779999999</v>
      </c>
      <c r="D3" s="349">
        <f>'COST ALLOCATION'!H6</f>
        <v>0.84095395456443933</v>
      </c>
      <c r="E3" s="350">
        <f>C3*D3</f>
        <v>10413321.554918986</v>
      </c>
    </row>
    <row r="4" spans="1:5" s="355" customFormat="1" ht="36" customHeight="1" thickBot="1" x14ac:dyDescent="0.35">
      <c r="A4" s="351" t="s">
        <v>48</v>
      </c>
      <c r="B4" s="352"/>
      <c r="C4" s="353"/>
      <c r="D4" s="354"/>
      <c r="E4" s="947">
        <f>E3</f>
        <v>10413321.554918986</v>
      </c>
    </row>
    <row r="5" spans="1:5" s="355" customFormat="1" ht="36" customHeight="1" thickTop="1" x14ac:dyDescent="0.3">
      <c r="A5" s="942"/>
      <c r="B5" s="942"/>
      <c r="C5" s="943"/>
      <c r="D5" s="944"/>
      <c r="E5" s="946"/>
    </row>
    <row r="6" spans="1:5" s="355" customFormat="1" ht="36" customHeight="1" x14ac:dyDescent="0.3">
      <c r="A6" s="945" t="s">
        <v>843</v>
      </c>
      <c r="B6" s="942"/>
      <c r="C6" s="943"/>
      <c r="D6" s="944"/>
      <c r="E6" s="946"/>
    </row>
    <row r="7" spans="1:5" ht="36" customHeight="1" x14ac:dyDescent="0.2">
      <c r="A7" s="341" t="s">
        <v>961</v>
      </c>
      <c r="C7" s="262"/>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sheetPr>
  <dimension ref="A2:E16"/>
  <sheetViews>
    <sheetView showGridLines="0" workbookViewId="0">
      <selection activeCell="C3" sqref="C3"/>
    </sheetView>
  </sheetViews>
  <sheetFormatPr defaultColWidth="9.140625" defaultRowHeight="15.75" x14ac:dyDescent="0.25"/>
  <cols>
    <col min="1" max="1" width="17.42578125" style="195" bestFit="1" customWidth="1"/>
    <col min="2" max="2" width="15.140625" style="195" customWidth="1"/>
    <col min="3" max="3" width="31" style="195" customWidth="1"/>
    <col min="4" max="16384" width="9.140625" style="195"/>
  </cols>
  <sheetData>
    <row r="2" spans="1:5" ht="18.75" customHeight="1" x14ac:dyDescent="0.25">
      <c r="A2" s="363" t="s">
        <v>340</v>
      </c>
      <c r="B2" s="364" t="s">
        <v>790</v>
      </c>
      <c r="C2" s="365" t="s">
        <v>962</v>
      </c>
    </row>
    <row r="3" spans="1:5" x14ac:dyDescent="0.25">
      <c r="A3" s="271" t="s">
        <v>341</v>
      </c>
      <c r="B3" s="356" t="s">
        <v>791</v>
      </c>
      <c r="C3" s="357">
        <v>938123</v>
      </c>
      <c r="E3" s="195" t="s">
        <v>798</v>
      </c>
    </row>
    <row r="4" spans="1:5" x14ac:dyDescent="0.25">
      <c r="A4" s="271" t="s">
        <v>343</v>
      </c>
      <c r="B4" s="358" t="s">
        <v>792</v>
      </c>
      <c r="C4" s="357">
        <v>4102040.35</v>
      </c>
    </row>
    <row r="5" spans="1:5" x14ac:dyDescent="0.25">
      <c r="A5" s="271" t="s">
        <v>344</v>
      </c>
      <c r="B5" s="358" t="s">
        <v>793</v>
      </c>
      <c r="C5" s="357">
        <v>2721635.84</v>
      </c>
    </row>
    <row r="6" spans="1:5" x14ac:dyDescent="0.25">
      <c r="A6" s="271" t="s">
        <v>346</v>
      </c>
      <c r="B6" s="358" t="s">
        <v>794</v>
      </c>
      <c r="C6" s="357">
        <v>514760.56</v>
      </c>
    </row>
    <row r="7" spans="1:5" x14ac:dyDescent="0.25">
      <c r="A7" s="271" t="s">
        <v>345</v>
      </c>
      <c r="B7" s="358" t="s">
        <v>795</v>
      </c>
      <c r="C7" s="357">
        <v>289900</v>
      </c>
    </row>
    <row r="8" spans="1:5" x14ac:dyDescent="0.25">
      <c r="A8" s="271" t="s">
        <v>342</v>
      </c>
      <c r="B8" s="358" t="s">
        <v>796</v>
      </c>
      <c r="C8" s="357">
        <v>2428994.91</v>
      </c>
    </row>
    <row r="9" spans="1:5" x14ac:dyDescent="0.25">
      <c r="A9" s="359" t="s">
        <v>70</v>
      </c>
      <c r="B9" s="360" t="s">
        <v>797</v>
      </c>
      <c r="C9" s="931">
        <v>1387294.12</v>
      </c>
    </row>
    <row r="10" spans="1:5" s="238" customFormat="1" ht="19.5" customHeight="1" x14ac:dyDescent="0.25">
      <c r="B10" s="361" t="s">
        <v>27</v>
      </c>
      <c r="C10" s="932">
        <f>SUM(C3:C9)</f>
        <v>12382748.780000001</v>
      </c>
    </row>
    <row r="15" spans="1:5" x14ac:dyDescent="0.25">
      <c r="A15" s="224"/>
      <c r="C15" s="362"/>
    </row>
    <row r="16" spans="1:5" x14ac:dyDescent="0.25">
      <c r="A16" s="341" t="s">
        <v>963</v>
      </c>
    </row>
  </sheetData>
  <phoneticPr fontId="0" type="noConversion"/>
  <printOptions horizontalCentered="1"/>
  <pageMargins left="0.75" right="0.75" top="1.25" bottom="1" header="0.33" footer="0.5"/>
  <pageSetup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sheetPr>
  <dimension ref="A1:E45"/>
  <sheetViews>
    <sheetView showGridLines="0" topLeftCell="A13" workbookViewId="0">
      <selection activeCell="F16" sqref="F16"/>
    </sheetView>
  </sheetViews>
  <sheetFormatPr defaultColWidth="9.140625" defaultRowHeight="12.75" x14ac:dyDescent="0.2"/>
  <cols>
    <col min="1" max="1" width="31.28515625" style="180" customWidth="1"/>
    <col min="2" max="2" width="17.5703125" style="180" customWidth="1"/>
    <col min="3" max="3" width="12.5703125" style="180" bestFit="1" customWidth="1"/>
    <col min="4" max="4" width="14" style="180" customWidth="1"/>
    <col min="5" max="16384" width="9.140625" style="180"/>
  </cols>
  <sheetData>
    <row r="1" spans="1:5" ht="15.75" x14ac:dyDescent="0.25">
      <c r="A1" s="1156" t="s">
        <v>125</v>
      </c>
      <c r="B1" s="1156"/>
      <c r="C1" s="366"/>
      <c r="D1" s="1153" t="s">
        <v>411</v>
      </c>
      <c r="E1" s="1153"/>
    </row>
    <row r="2" spans="1:5" ht="19.5" customHeight="1" thickBot="1" x14ac:dyDescent="0.25">
      <c r="A2" s="1157" t="s">
        <v>126</v>
      </c>
      <c r="B2" s="1157"/>
      <c r="C2" s="367"/>
    </row>
    <row r="3" spans="1:5" ht="39.75" thickTop="1" thickBot="1" x14ac:dyDescent="0.25">
      <c r="A3" s="339" t="s">
        <v>56</v>
      </c>
      <c r="B3" s="374" t="s">
        <v>57</v>
      </c>
      <c r="C3" s="374" t="s">
        <v>58</v>
      </c>
    </row>
    <row r="4" spans="1:5" ht="13.5" thickTop="1" x14ac:dyDescent="0.2">
      <c r="A4" s="263" t="s">
        <v>310</v>
      </c>
      <c r="B4" s="368">
        <f>'Property Inventory'!D34</f>
        <v>2003325.11</v>
      </c>
      <c r="C4" s="368">
        <f>B4*0.06666</f>
        <v>133541.65183260001</v>
      </c>
    </row>
    <row r="5" spans="1:5" x14ac:dyDescent="0.2">
      <c r="A5" s="263" t="s">
        <v>7</v>
      </c>
      <c r="B5" s="368">
        <f>'Property Inventory'!D25</f>
        <v>230254.24</v>
      </c>
      <c r="C5" s="368">
        <f>B5*0.06666</f>
        <v>15348.747638399998</v>
      </c>
    </row>
    <row r="6" spans="1:5" x14ac:dyDescent="0.2">
      <c r="A6" s="263" t="s">
        <v>14</v>
      </c>
      <c r="B6" s="368">
        <f>'Property Inventory'!D33</f>
        <v>303690.55</v>
      </c>
      <c r="C6" s="368">
        <f t="shared" ref="C6:C16" si="0">B6*0.06666</f>
        <v>20244.012062999998</v>
      </c>
    </row>
    <row r="7" spans="1:5" x14ac:dyDescent="0.2">
      <c r="A7" s="263" t="s">
        <v>25</v>
      </c>
      <c r="B7" s="368">
        <f>'Property Inventory'!D24</f>
        <v>405139.64</v>
      </c>
      <c r="C7" s="368">
        <f t="shared" si="0"/>
        <v>27006.608402400001</v>
      </c>
    </row>
    <row r="8" spans="1:5" x14ac:dyDescent="0.2">
      <c r="A8" s="263" t="s">
        <v>462</v>
      </c>
      <c r="B8" s="368">
        <f>'Property Inventory'!D37</f>
        <v>1400583</v>
      </c>
      <c r="C8" s="368">
        <f>B8*0.06666</f>
        <v>93362.862779999996</v>
      </c>
    </row>
    <row r="9" spans="1:5" x14ac:dyDescent="0.2">
      <c r="A9" s="263" t="s">
        <v>16</v>
      </c>
      <c r="B9" s="368">
        <f>'Property Inventory'!D46</f>
        <v>83614</v>
      </c>
      <c r="C9" s="368">
        <f t="shared" si="0"/>
        <v>5573.7092400000001</v>
      </c>
    </row>
    <row r="10" spans="1:5" x14ac:dyDescent="0.2">
      <c r="A10" s="263" t="s">
        <v>236</v>
      </c>
      <c r="B10" s="368">
        <f>'Property Inventory'!D45</f>
        <v>703664.19</v>
      </c>
      <c r="C10" s="368">
        <f t="shared" si="0"/>
        <v>46906.254905399997</v>
      </c>
    </row>
    <row r="11" spans="1:5" x14ac:dyDescent="0.2">
      <c r="A11" s="263" t="s">
        <v>18</v>
      </c>
      <c r="B11" s="368">
        <f>'Property Inventory'!D32</f>
        <v>98627.26</v>
      </c>
      <c r="C11" s="368">
        <f t="shared" si="0"/>
        <v>6574.4931515999997</v>
      </c>
    </row>
    <row r="12" spans="1:5" x14ac:dyDescent="0.2">
      <c r="A12" s="263" t="s">
        <v>19</v>
      </c>
      <c r="B12" s="368">
        <f>'Property Inventory'!D31</f>
        <v>959895</v>
      </c>
      <c r="C12" s="368">
        <f t="shared" si="0"/>
        <v>63986.600699999995</v>
      </c>
    </row>
    <row r="13" spans="1:5" x14ac:dyDescent="0.2">
      <c r="A13" s="263" t="s">
        <v>328</v>
      </c>
      <c r="B13" s="368">
        <f>'Property Inventory'!D51</f>
        <v>519421</v>
      </c>
      <c r="C13" s="368">
        <f t="shared" si="0"/>
        <v>34624.603859999996</v>
      </c>
    </row>
    <row r="14" spans="1:5" x14ac:dyDescent="0.2">
      <c r="A14" s="263" t="s">
        <v>20</v>
      </c>
      <c r="B14" s="368">
        <f>'Property Inventory'!D36</f>
        <v>1461238</v>
      </c>
      <c r="C14" s="368">
        <f t="shared" si="0"/>
        <v>97406.125079999998</v>
      </c>
    </row>
    <row r="15" spans="1:5" x14ac:dyDescent="0.2">
      <c r="A15" s="263" t="s">
        <v>26</v>
      </c>
      <c r="B15" s="368">
        <f>'Property Inventory'!D35</f>
        <v>843914</v>
      </c>
      <c r="C15" s="368">
        <f t="shared" si="0"/>
        <v>56255.307239999995</v>
      </c>
    </row>
    <row r="16" spans="1:5" x14ac:dyDescent="0.2">
      <c r="A16" s="263" t="s">
        <v>21</v>
      </c>
      <c r="B16" s="369">
        <f>'Property Inventory'!D26</f>
        <v>157726.14000000001</v>
      </c>
      <c r="C16" s="368">
        <f t="shared" si="0"/>
        <v>10514.0244924</v>
      </c>
    </row>
    <row r="17" spans="1:5" ht="13.5" thickBot="1" x14ac:dyDescent="0.25">
      <c r="A17" s="263"/>
      <c r="B17" s="368"/>
      <c r="C17" s="368" t="s">
        <v>0</v>
      </c>
    </row>
    <row r="18" spans="1:5" ht="20.25" customHeight="1" thickTop="1" thickBot="1" x14ac:dyDescent="0.25">
      <c r="A18" s="370" t="s">
        <v>129</v>
      </c>
      <c r="B18" s="933">
        <f>SUM(B4:B17)</f>
        <v>9171092.1300000008</v>
      </c>
      <c r="C18" s="934">
        <f>SUM(C4:C17)</f>
        <v>611345.00138579996</v>
      </c>
    </row>
    <row r="19" spans="1:5" ht="13.5" thickTop="1" x14ac:dyDescent="0.2">
      <c r="B19" s="267"/>
      <c r="C19" s="267"/>
    </row>
    <row r="20" spans="1:5" x14ac:dyDescent="0.2">
      <c r="B20" s="267"/>
      <c r="C20" s="267"/>
      <c r="D20" s="267"/>
    </row>
    <row r="21" spans="1:5" x14ac:dyDescent="0.2">
      <c r="B21" s="267"/>
      <c r="C21" s="267"/>
      <c r="D21" s="371"/>
    </row>
    <row r="22" spans="1:5" ht="15.75" x14ac:dyDescent="0.25">
      <c r="A22" s="1153" t="s">
        <v>127</v>
      </c>
      <c r="B22" s="1153"/>
      <c r="C22" s="1153"/>
      <c r="D22" s="1154" t="s">
        <v>412</v>
      </c>
      <c r="E22" s="1154"/>
    </row>
    <row r="23" spans="1:5" ht="16.5" thickBot="1" x14ac:dyDescent="0.3">
      <c r="A23" s="1155" t="s">
        <v>988</v>
      </c>
      <c r="B23" s="1155"/>
      <c r="C23" s="1155"/>
      <c r="D23" s="372"/>
    </row>
    <row r="24" spans="1:5" s="376" customFormat="1" ht="39.75" thickTop="1" thickBot="1" x14ac:dyDescent="0.25">
      <c r="A24" s="339" t="s">
        <v>56</v>
      </c>
      <c r="B24" s="375" t="s">
        <v>222</v>
      </c>
      <c r="C24" s="375" t="s">
        <v>59</v>
      </c>
      <c r="D24" s="375" t="s">
        <v>60</v>
      </c>
    </row>
    <row r="25" spans="1:5" ht="13.5" thickTop="1" x14ac:dyDescent="0.2">
      <c r="A25" s="263" t="s">
        <v>413</v>
      </c>
      <c r="B25" s="368">
        <v>36522437</v>
      </c>
      <c r="C25" s="368">
        <v>0</v>
      </c>
      <c r="D25" s="368">
        <f>B25*0.02</f>
        <v>730448.74</v>
      </c>
    </row>
    <row r="26" spans="1:5" x14ac:dyDescent="0.2">
      <c r="A26" s="263" t="s">
        <v>29</v>
      </c>
      <c r="B26" s="368">
        <v>16192923</v>
      </c>
      <c r="C26" s="368">
        <v>0</v>
      </c>
      <c r="D26" s="368">
        <f>B26*0.02</f>
        <v>323858.46000000002</v>
      </c>
    </row>
    <row r="27" spans="1:5" x14ac:dyDescent="0.2">
      <c r="A27" s="263" t="s">
        <v>14</v>
      </c>
      <c r="B27" s="368">
        <v>45066600</v>
      </c>
      <c r="C27" s="368">
        <v>0</v>
      </c>
      <c r="D27" s="368">
        <f t="shared" ref="D27:D36" si="1">B27*0.02</f>
        <v>901332</v>
      </c>
      <c r="E27" s="325"/>
    </row>
    <row r="28" spans="1:5" x14ac:dyDescent="0.2">
      <c r="A28" s="263" t="s">
        <v>25</v>
      </c>
      <c r="B28" s="368">
        <v>34112840</v>
      </c>
      <c r="C28" s="368">
        <v>0</v>
      </c>
      <c r="D28" s="368">
        <f t="shared" si="1"/>
        <v>682256.8</v>
      </c>
    </row>
    <row r="29" spans="1:5" x14ac:dyDescent="0.2">
      <c r="A29" s="263" t="s">
        <v>16</v>
      </c>
      <c r="B29" s="368">
        <v>7691306</v>
      </c>
      <c r="C29" s="368">
        <v>0</v>
      </c>
      <c r="D29" s="368">
        <f t="shared" si="1"/>
        <v>153826.12</v>
      </c>
    </row>
    <row r="30" spans="1:5" x14ac:dyDescent="0.2">
      <c r="A30" s="263" t="s">
        <v>17</v>
      </c>
      <c r="B30" s="368">
        <v>28845762</v>
      </c>
      <c r="C30" s="368">
        <v>0</v>
      </c>
      <c r="D30" s="368">
        <f t="shared" si="1"/>
        <v>576915.24</v>
      </c>
    </row>
    <row r="31" spans="1:5" x14ac:dyDescent="0.2">
      <c r="A31" s="263" t="s">
        <v>18</v>
      </c>
      <c r="B31" s="368">
        <v>10392719</v>
      </c>
      <c r="C31" s="368">
        <v>0</v>
      </c>
      <c r="D31" s="368">
        <f t="shared" si="1"/>
        <v>207854.38</v>
      </c>
    </row>
    <row r="32" spans="1:5" x14ac:dyDescent="0.2">
      <c r="A32" s="263" t="s">
        <v>19</v>
      </c>
      <c r="B32" s="368">
        <v>41211974</v>
      </c>
      <c r="C32" s="368">
        <v>0</v>
      </c>
      <c r="D32" s="368">
        <f t="shared" si="1"/>
        <v>824239.48</v>
      </c>
    </row>
    <row r="33" spans="1:4" x14ac:dyDescent="0.2">
      <c r="A33" s="263" t="s">
        <v>328</v>
      </c>
      <c r="B33" s="368">
        <v>12269054</v>
      </c>
      <c r="C33" s="368">
        <v>0</v>
      </c>
      <c r="D33" s="368">
        <f t="shared" si="1"/>
        <v>245381.08000000002</v>
      </c>
    </row>
    <row r="34" spans="1:4" x14ac:dyDescent="0.2">
      <c r="A34" s="263" t="s">
        <v>20</v>
      </c>
      <c r="B34" s="368">
        <v>78360986</v>
      </c>
      <c r="C34" s="368">
        <v>0</v>
      </c>
      <c r="D34" s="368">
        <f t="shared" si="1"/>
        <v>1567219.72</v>
      </c>
    </row>
    <row r="35" spans="1:4" x14ac:dyDescent="0.2">
      <c r="A35" s="263" t="s">
        <v>26</v>
      </c>
      <c r="B35" s="368">
        <v>51709708</v>
      </c>
      <c r="C35" s="368">
        <v>0</v>
      </c>
      <c r="D35" s="368">
        <f t="shared" si="1"/>
        <v>1034194.16</v>
      </c>
    </row>
    <row r="36" spans="1:4" x14ac:dyDescent="0.2">
      <c r="A36" s="263" t="s">
        <v>30</v>
      </c>
      <c r="B36" s="368">
        <v>12275277</v>
      </c>
      <c r="C36" s="368">
        <v>0</v>
      </c>
      <c r="D36" s="368">
        <f t="shared" si="1"/>
        <v>245505.54</v>
      </c>
    </row>
    <row r="37" spans="1:4" ht="13.5" thickBot="1" x14ac:dyDescent="0.25">
      <c r="A37" s="263"/>
      <c r="B37" s="368"/>
      <c r="C37" s="368"/>
      <c r="D37" s="368"/>
    </row>
    <row r="38" spans="1:4" ht="14.25" thickTop="1" thickBot="1" x14ac:dyDescent="0.25">
      <c r="A38" s="370" t="s">
        <v>128</v>
      </c>
      <c r="B38" s="933">
        <f>SUM(B25:B37)</f>
        <v>374651586</v>
      </c>
      <c r="C38" s="373">
        <f>SUM(C25:C37)</f>
        <v>0</v>
      </c>
      <c r="D38" s="934">
        <f>SUM(D25:D37)</f>
        <v>7493031.7200000007</v>
      </c>
    </row>
    <row r="39" spans="1:4" ht="30" customHeight="1" thickTop="1" thickBot="1" x14ac:dyDescent="0.25">
      <c r="A39" s="230"/>
      <c r="B39" s="267"/>
      <c r="C39" s="267"/>
      <c r="D39" s="267"/>
    </row>
    <row r="40" spans="1:4" s="380" customFormat="1" ht="26.25" thickBot="1" x14ac:dyDescent="0.25">
      <c r="A40" s="613" t="s">
        <v>540</v>
      </c>
      <c r="B40" s="377" t="s">
        <v>130</v>
      </c>
      <c r="C40" s="378"/>
      <c r="D40" s="379">
        <f>C18+D38</f>
        <v>8104376.7213858003</v>
      </c>
    </row>
    <row r="41" spans="1:4" ht="13.5" thickTop="1" x14ac:dyDescent="0.2">
      <c r="B41" s="267"/>
      <c r="C41" s="267"/>
      <c r="D41" s="371"/>
    </row>
    <row r="42" spans="1:4" x14ac:dyDescent="0.2">
      <c r="A42" s="341" t="s">
        <v>961</v>
      </c>
    </row>
    <row r="44" spans="1:4" x14ac:dyDescent="0.2">
      <c r="A44" s="262"/>
    </row>
    <row r="45" spans="1:4" x14ac:dyDescent="0.2">
      <c r="A45" s="268"/>
    </row>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pageSetUpPr fitToPage="1"/>
  </sheetPr>
  <dimension ref="A1:BD62"/>
  <sheetViews>
    <sheetView showGridLines="0" workbookViewId="0">
      <pane ySplit="2" topLeftCell="A42" activePane="bottomLeft" state="frozen"/>
      <selection activeCell="B35" sqref="B35"/>
      <selection pane="bottomLeft" activeCell="A56" sqref="A56"/>
    </sheetView>
  </sheetViews>
  <sheetFormatPr defaultColWidth="9.140625" defaultRowHeight="15.75" x14ac:dyDescent="0.25"/>
  <cols>
    <col min="1" max="1" width="9.85546875" style="195" customWidth="1"/>
    <col min="2" max="2" width="31.42578125" style="195" customWidth="1"/>
    <col min="3" max="3" width="11" style="231" customWidth="1"/>
    <col min="4" max="4" width="17.7109375" style="195" customWidth="1"/>
    <col min="5" max="5" width="12.85546875" style="195" customWidth="1"/>
    <col min="6" max="6" width="15.42578125" style="195" customWidth="1"/>
    <col min="7" max="7" width="17.28515625" style="195" customWidth="1"/>
    <col min="8" max="8" width="14.85546875" style="195" bestFit="1" customWidth="1"/>
    <col min="9" max="16384" width="9.140625" style="195"/>
  </cols>
  <sheetData>
    <row r="1" spans="1:13" s="238" customFormat="1" ht="41.25" customHeight="1" thickBot="1" x14ac:dyDescent="0.3">
      <c r="A1" s="1114" t="s">
        <v>134</v>
      </c>
      <c r="B1" s="1114"/>
      <c r="C1" s="1114"/>
      <c r="D1" s="1114"/>
      <c r="E1" s="1114"/>
      <c r="F1" s="1114"/>
      <c r="G1" s="1114"/>
    </row>
    <row r="2" spans="1:13" s="247" customFormat="1" ht="30.75" customHeight="1" thickTop="1" thickBot="1" x14ac:dyDescent="0.25">
      <c r="A2" s="336" t="s">
        <v>909</v>
      </c>
      <c r="B2" s="335" t="s">
        <v>73</v>
      </c>
      <c r="C2" s="336" t="s">
        <v>658</v>
      </c>
      <c r="D2" s="336" t="s">
        <v>906</v>
      </c>
      <c r="E2" s="336" t="s">
        <v>907</v>
      </c>
      <c r="F2" s="336" t="s">
        <v>908</v>
      </c>
      <c r="G2" s="335" t="s">
        <v>6</v>
      </c>
    </row>
    <row r="3" spans="1:13" ht="16.5" thickTop="1" x14ac:dyDescent="0.25">
      <c r="A3" s="260">
        <v>3</v>
      </c>
      <c r="B3" s="183" t="s">
        <v>406</v>
      </c>
      <c r="C3" s="260">
        <v>1000</v>
      </c>
      <c r="D3" s="191">
        <v>38726.07</v>
      </c>
      <c r="E3" s="191"/>
      <c r="F3" s="384">
        <v>12818</v>
      </c>
      <c r="G3" s="385">
        <f>SUM(D3:F3)</f>
        <v>51544.07</v>
      </c>
      <c r="H3" s="244"/>
      <c r="I3" s="244"/>
      <c r="J3" s="244"/>
      <c r="K3" s="244"/>
      <c r="L3" s="244"/>
      <c r="M3" s="244"/>
    </row>
    <row r="4" spans="1:13" x14ac:dyDescent="0.25">
      <c r="A4" s="260"/>
      <c r="B4" s="183" t="s">
        <v>910</v>
      </c>
      <c r="C4" s="260">
        <v>1400</v>
      </c>
      <c r="D4" s="191">
        <v>3044.6</v>
      </c>
      <c r="E4" s="191"/>
      <c r="F4" s="384"/>
      <c r="G4" s="385">
        <f t="shared" ref="G4:G5" si="0">SUM(D4:F4)</f>
        <v>3044.6</v>
      </c>
      <c r="H4" s="244"/>
      <c r="I4" s="244"/>
      <c r="J4" s="244"/>
      <c r="K4" s="244"/>
      <c r="L4" s="244"/>
      <c r="M4" s="244"/>
    </row>
    <row r="5" spans="1:13" x14ac:dyDescent="0.25">
      <c r="A5" s="260"/>
      <c r="B5" s="183" t="s">
        <v>659</v>
      </c>
      <c r="C5" s="260">
        <v>1500</v>
      </c>
      <c r="D5" s="191">
        <v>5775.64</v>
      </c>
      <c r="E5" s="191"/>
      <c r="F5" s="384"/>
      <c r="G5" s="385">
        <f t="shared" si="0"/>
        <v>5775.64</v>
      </c>
      <c r="H5" s="244"/>
      <c r="I5" s="244"/>
      <c r="J5" s="244"/>
      <c r="K5" s="244"/>
      <c r="L5" s="244"/>
      <c r="M5" s="244"/>
    </row>
    <row r="6" spans="1:13" x14ac:dyDescent="0.25">
      <c r="A6" s="260"/>
      <c r="B6" s="183" t="s">
        <v>626</v>
      </c>
      <c r="C6" s="260">
        <v>1200</v>
      </c>
      <c r="D6" s="191">
        <v>486947</v>
      </c>
      <c r="E6" s="191"/>
      <c r="F6" s="384">
        <v>806</v>
      </c>
      <c r="G6" s="385">
        <f>SUM(D6:F6)</f>
        <v>487753</v>
      </c>
      <c r="H6" s="244"/>
      <c r="I6" s="244"/>
      <c r="J6" s="244"/>
      <c r="K6" s="244"/>
      <c r="L6" s="244"/>
      <c r="M6" s="244"/>
    </row>
    <row r="7" spans="1:13" x14ac:dyDescent="0.25">
      <c r="A7" s="260" t="s">
        <v>483</v>
      </c>
      <c r="B7" s="183" t="s">
        <v>70</v>
      </c>
      <c r="C7" s="260">
        <v>3000</v>
      </c>
      <c r="D7" s="191">
        <v>22837.78</v>
      </c>
      <c r="E7" s="191"/>
      <c r="F7" s="384">
        <v>4433</v>
      </c>
      <c r="G7" s="385">
        <f>SUM(D7:F7)</f>
        <v>27270.78</v>
      </c>
      <c r="H7" s="244"/>
      <c r="I7" s="244"/>
      <c r="J7" s="244"/>
      <c r="K7" s="244"/>
      <c r="L7" s="244"/>
      <c r="M7" s="244"/>
    </row>
    <row r="8" spans="1:13" x14ac:dyDescent="0.25">
      <c r="A8" s="260"/>
      <c r="B8" s="183" t="s">
        <v>405</v>
      </c>
      <c r="C8" s="260">
        <v>2250</v>
      </c>
      <c r="D8" s="191">
        <v>66251.490000000005</v>
      </c>
      <c r="E8" s="191"/>
      <c r="F8" s="384">
        <v>4615</v>
      </c>
      <c r="G8" s="385">
        <f t="shared" ref="G8:G53" si="1">SUM(D8:F8)</f>
        <v>70866.490000000005</v>
      </c>
      <c r="H8" s="244"/>
      <c r="I8" s="244"/>
      <c r="J8" s="244"/>
      <c r="K8" s="244"/>
      <c r="L8" s="244"/>
      <c r="M8" s="244"/>
    </row>
    <row r="9" spans="1:13" x14ac:dyDescent="0.25">
      <c r="A9" s="260"/>
      <c r="B9" s="183" t="s">
        <v>339</v>
      </c>
      <c r="C9" s="260">
        <v>2230</v>
      </c>
      <c r="D9" s="191">
        <v>5450</v>
      </c>
      <c r="E9" s="191"/>
      <c r="F9" s="384"/>
      <c r="G9" s="385">
        <f t="shared" si="1"/>
        <v>5450</v>
      </c>
      <c r="H9" s="244"/>
      <c r="I9" s="244"/>
      <c r="J9" s="244"/>
      <c r="K9" s="244"/>
      <c r="L9" s="244"/>
      <c r="M9" s="244"/>
    </row>
    <row r="10" spans="1:13" x14ac:dyDescent="0.25">
      <c r="A10" s="260">
        <v>1</v>
      </c>
      <c r="B10" s="183" t="s">
        <v>627</v>
      </c>
      <c r="C10" s="260">
        <v>1100</v>
      </c>
      <c r="D10" s="191">
        <v>1315672.71</v>
      </c>
      <c r="E10" s="191"/>
      <c r="F10" s="384">
        <v>13297</v>
      </c>
      <c r="G10" s="385">
        <f t="shared" si="1"/>
        <v>1328969.71</v>
      </c>
      <c r="H10" s="244"/>
      <c r="I10" s="244"/>
      <c r="J10" s="244"/>
      <c r="K10" s="244"/>
      <c r="L10" s="244"/>
      <c r="M10" s="244"/>
    </row>
    <row r="11" spans="1:13" x14ac:dyDescent="0.25">
      <c r="A11" s="260"/>
      <c r="B11" s="183" t="s">
        <v>327</v>
      </c>
      <c r="C11" s="260">
        <v>1300</v>
      </c>
      <c r="D11" s="191">
        <v>37084.83</v>
      </c>
      <c r="E11" s="191"/>
      <c r="F11" s="384"/>
      <c r="G11" s="385">
        <f t="shared" si="1"/>
        <v>37084.83</v>
      </c>
      <c r="H11" s="244"/>
      <c r="I11" s="244"/>
      <c r="J11" s="244"/>
      <c r="K11" s="244"/>
      <c r="L11" s="244"/>
      <c r="M11" s="244"/>
    </row>
    <row r="12" spans="1:13" x14ac:dyDescent="0.25">
      <c r="A12" s="260">
        <v>4</v>
      </c>
      <c r="B12" s="183" t="s">
        <v>89</v>
      </c>
      <c r="C12" s="260">
        <v>2260</v>
      </c>
      <c r="D12" s="191">
        <v>257581.95</v>
      </c>
      <c r="E12" s="191"/>
      <c r="F12" s="384">
        <v>14456</v>
      </c>
      <c r="G12" s="385">
        <f t="shared" si="1"/>
        <v>272037.95</v>
      </c>
      <c r="H12" s="244"/>
      <c r="I12" s="244"/>
      <c r="J12" s="244"/>
      <c r="K12" s="244"/>
      <c r="L12" s="244"/>
      <c r="M12" s="244"/>
    </row>
    <row r="13" spans="1:13" x14ac:dyDescent="0.25">
      <c r="A13" s="260"/>
      <c r="B13" s="183" t="s">
        <v>799</v>
      </c>
      <c r="C13" s="260">
        <v>2300</v>
      </c>
      <c r="D13" s="191">
        <v>13381.04</v>
      </c>
      <c r="E13" s="191"/>
      <c r="F13" s="384">
        <f>2812+308</f>
        <v>3120</v>
      </c>
      <c r="G13" s="385">
        <f t="shared" si="1"/>
        <v>16501.04</v>
      </c>
      <c r="H13" s="244"/>
      <c r="I13" s="244"/>
      <c r="J13" s="244"/>
      <c r="K13" s="244"/>
      <c r="L13" s="244"/>
      <c r="M13" s="244"/>
    </row>
    <row r="14" spans="1:13" x14ac:dyDescent="0.25">
      <c r="A14" s="260"/>
      <c r="B14" s="183" t="s">
        <v>485</v>
      </c>
      <c r="C14" s="260">
        <v>20661367</v>
      </c>
      <c r="D14" s="191"/>
      <c r="E14" s="191"/>
      <c r="F14" s="384"/>
      <c r="G14" s="385">
        <f t="shared" si="1"/>
        <v>0</v>
      </c>
      <c r="H14" s="244"/>
      <c r="I14" s="244"/>
      <c r="J14" s="244"/>
      <c r="K14" s="244"/>
      <c r="L14" s="244"/>
      <c r="M14" s="244"/>
    </row>
    <row r="15" spans="1:13" x14ac:dyDescent="0.25">
      <c r="A15" s="260">
        <v>7</v>
      </c>
      <c r="B15" s="183" t="s">
        <v>55</v>
      </c>
      <c r="C15" s="260">
        <v>2210</v>
      </c>
      <c r="D15" s="191">
        <v>32118</v>
      </c>
      <c r="E15" s="191"/>
      <c r="F15" s="384">
        <v>63702</v>
      </c>
      <c r="G15" s="385">
        <f t="shared" si="1"/>
        <v>95820</v>
      </c>
      <c r="H15" s="244"/>
      <c r="I15" s="244"/>
      <c r="J15" s="244"/>
      <c r="K15" s="244"/>
      <c r="L15" s="244"/>
      <c r="M15" s="244"/>
    </row>
    <row r="16" spans="1:13" x14ac:dyDescent="0.25">
      <c r="A16" s="669"/>
      <c r="B16" s="183" t="s">
        <v>329</v>
      </c>
      <c r="C16" s="260">
        <v>20661382</v>
      </c>
      <c r="D16" s="191"/>
      <c r="E16" s="191"/>
      <c r="F16" s="384">
        <v>7745</v>
      </c>
      <c r="G16" s="385">
        <f t="shared" si="1"/>
        <v>7745</v>
      </c>
      <c r="H16" s="244"/>
      <c r="I16" s="244"/>
      <c r="J16" s="244"/>
      <c r="K16" s="244"/>
      <c r="L16" s="244"/>
      <c r="M16" s="244"/>
    </row>
    <row r="17" spans="1:13" x14ac:dyDescent="0.25">
      <c r="A17" s="260"/>
      <c r="B17" s="183" t="s">
        <v>145</v>
      </c>
      <c r="C17" s="260">
        <v>2410</v>
      </c>
      <c r="D17" s="191">
        <v>0</v>
      </c>
      <c r="E17" s="191"/>
      <c r="F17" s="384">
        <v>24947</v>
      </c>
      <c r="G17" s="385">
        <f t="shared" si="1"/>
        <v>24947</v>
      </c>
      <c r="H17" s="244"/>
      <c r="I17" s="244"/>
      <c r="J17" s="244"/>
      <c r="K17" s="244"/>
      <c r="L17" s="244"/>
      <c r="M17" s="244"/>
    </row>
    <row r="18" spans="1:13" x14ac:dyDescent="0.25">
      <c r="A18" s="260" t="s">
        <v>484</v>
      </c>
      <c r="B18" s="183" t="s">
        <v>539</v>
      </c>
      <c r="C18" s="260">
        <v>20661420</v>
      </c>
      <c r="D18" s="191"/>
      <c r="E18" s="191"/>
      <c r="F18" s="384">
        <v>10573</v>
      </c>
      <c r="G18" s="385">
        <f t="shared" si="1"/>
        <v>10573</v>
      </c>
      <c r="H18" s="244"/>
      <c r="I18" s="244"/>
      <c r="J18" s="244"/>
      <c r="K18" s="244"/>
      <c r="L18" s="244"/>
      <c r="M18" s="244"/>
    </row>
    <row r="19" spans="1:13" x14ac:dyDescent="0.25">
      <c r="A19" s="260">
        <v>37</v>
      </c>
      <c r="B19" s="183" t="s">
        <v>63</v>
      </c>
      <c r="C19" s="260">
        <v>2220</v>
      </c>
      <c r="D19" s="191">
        <v>31189</v>
      </c>
      <c r="E19" s="191"/>
      <c r="F19" s="384"/>
      <c r="G19" s="385">
        <f t="shared" si="1"/>
        <v>31189</v>
      </c>
      <c r="H19" s="244"/>
      <c r="I19" s="244"/>
      <c r="J19" s="244"/>
      <c r="K19" s="244"/>
      <c r="L19" s="244"/>
      <c r="M19" s="244"/>
    </row>
    <row r="20" spans="1:13" x14ac:dyDescent="0.25">
      <c r="A20" s="260"/>
      <c r="B20" s="183" t="s">
        <v>665</v>
      </c>
      <c r="C20" s="260">
        <v>4100</v>
      </c>
      <c r="D20" s="191">
        <v>33572.57</v>
      </c>
      <c r="E20" s="191"/>
      <c r="F20" s="384">
        <v>3588</v>
      </c>
      <c r="G20" s="385">
        <f t="shared" si="1"/>
        <v>37160.57</v>
      </c>
      <c r="H20" s="244"/>
      <c r="I20" s="244"/>
      <c r="J20" s="244"/>
      <c r="K20" s="244"/>
      <c r="L20" s="244"/>
      <c r="M20" s="244"/>
    </row>
    <row r="21" spans="1:13" x14ac:dyDescent="0.25">
      <c r="A21" s="260"/>
      <c r="B21" s="183" t="s">
        <v>800</v>
      </c>
      <c r="C21" s="260">
        <v>4001</v>
      </c>
      <c r="D21" s="191">
        <v>64067.040000000001</v>
      </c>
      <c r="E21" s="191"/>
      <c r="F21" s="384"/>
      <c r="G21" s="385"/>
      <c r="H21" s="244"/>
      <c r="I21" s="244"/>
      <c r="J21" s="244"/>
      <c r="K21" s="244"/>
      <c r="L21" s="244"/>
      <c r="M21" s="244"/>
    </row>
    <row r="22" spans="1:13" x14ac:dyDescent="0.25">
      <c r="A22" s="260"/>
      <c r="B22" s="183" t="s">
        <v>912</v>
      </c>
      <c r="C22" s="260">
        <v>4400</v>
      </c>
      <c r="D22" s="191">
        <v>709.07</v>
      </c>
      <c r="E22" s="191"/>
      <c r="F22" s="384"/>
      <c r="G22" s="385"/>
      <c r="H22" s="244"/>
      <c r="I22" s="244"/>
      <c r="J22" s="244"/>
      <c r="K22" s="244"/>
      <c r="L22" s="244"/>
      <c r="M22" s="244"/>
    </row>
    <row r="23" spans="1:13" x14ac:dyDescent="0.25">
      <c r="A23" s="260"/>
      <c r="B23" s="183" t="s">
        <v>407</v>
      </c>
      <c r="C23" s="260">
        <v>2000</v>
      </c>
      <c r="D23" s="191">
        <v>14414</v>
      </c>
      <c r="E23" s="191"/>
      <c r="F23" s="384">
        <v>12288</v>
      </c>
      <c r="G23" s="385">
        <f t="shared" si="1"/>
        <v>26702</v>
      </c>
      <c r="H23" s="244"/>
      <c r="I23" s="244"/>
      <c r="J23" s="244"/>
      <c r="K23" s="244"/>
      <c r="L23" s="244"/>
      <c r="M23" s="244"/>
    </row>
    <row r="24" spans="1:13" x14ac:dyDescent="0.25">
      <c r="A24" s="260">
        <v>14</v>
      </c>
      <c r="B24" s="183" t="s">
        <v>65</v>
      </c>
      <c r="C24" s="260">
        <v>2103</v>
      </c>
      <c r="D24" s="191">
        <v>405139.64</v>
      </c>
      <c r="E24" s="191"/>
      <c r="F24" s="384">
        <v>25363</v>
      </c>
      <c r="G24" s="385">
        <f t="shared" si="1"/>
        <v>430502.64</v>
      </c>
      <c r="H24" s="244"/>
      <c r="I24" s="244"/>
      <c r="J24" s="244"/>
      <c r="K24" s="244"/>
      <c r="L24" s="244"/>
      <c r="M24" s="244"/>
    </row>
    <row r="25" spans="1:13" x14ac:dyDescent="0.25">
      <c r="A25" s="260">
        <v>15</v>
      </c>
      <c r="B25" s="183" t="s">
        <v>90</v>
      </c>
      <c r="C25" s="260">
        <v>2101</v>
      </c>
      <c r="D25" s="191">
        <v>230254.24</v>
      </c>
      <c r="E25" s="191"/>
      <c r="F25" s="384">
        <v>43431</v>
      </c>
      <c r="G25" s="385">
        <f t="shared" si="1"/>
        <v>273685.24</v>
      </c>
      <c r="H25" s="244"/>
      <c r="I25" s="244"/>
      <c r="J25" s="244"/>
      <c r="K25" s="244"/>
      <c r="L25" s="244"/>
      <c r="M25" s="244"/>
    </row>
    <row r="26" spans="1:13" x14ac:dyDescent="0.25">
      <c r="A26" s="260">
        <v>18</v>
      </c>
      <c r="B26" s="183" t="s">
        <v>91</v>
      </c>
      <c r="C26" s="260">
        <v>2110</v>
      </c>
      <c r="D26" s="191">
        <v>157726.14000000001</v>
      </c>
      <c r="E26" s="191"/>
      <c r="F26" s="384">
        <v>26000</v>
      </c>
      <c r="G26" s="385">
        <f t="shared" si="1"/>
        <v>183726.14</v>
      </c>
      <c r="H26" s="244"/>
      <c r="I26" s="244"/>
      <c r="J26" s="244"/>
      <c r="K26" s="244"/>
      <c r="L26" s="244"/>
      <c r="M26" s="244"/>
    </row>
    <row r="27" spans="1:13" x14ac:dyDescent="0.25">
      <c r="A27" s="260" t="s">
        <v>480</v>
      </c>
      <c r="B27" s="183" t="s">
        <v>100</v>
      </c>
      <c r="C27" s="260">
        <v>2441</v>
      </c>
      <c r="D27" s="191">
        <v>67889</v>
      </c>
      <c r="E27" s="191"/>
      <c r="F27" s="384">
        <v>13411</v>
      </c>
      <c r="G27" s="385">
        <f t="shared" si="1"/>
        <v>81300</v>
      </c>
      <c r="H27" s="244"/>
      <c r="I27" s="244"/>
      <c r="J27" s="244"/>
      <c r="K27" s="244"/>
      <c r="L27" s="244"/>
      <c r="M27" s="244"/>
    </row>
    <row r="28" spans="1:13" x14ac:dyDescent="0.25">
      <c r="A28" s="260" t="s">
        <v>560</v>
      </c>
      <c r="B28" s="183" t="s">
        <v>102</v>
      </c>
      <c r="C28" s="260">
        <v>2442</v>
      </c>
      <c r="D28" s="191">
        <v>11615</v>
      </c>
      <c r="E28" s="191"/>
      <c r="F28" s="384">
        <v>6067</v>
      </c>
      <c r="G28" s="385">
        <f t="shared" si="1"/>
        <v>17682</v>
      </c>
      <c r="H28" s="244"/>
      <c r="I28" s="244"/>
      <c r="J28" s="244"/>
      <c r="K28" s="244"/>
      <c r="L28" s="244"/>
      <c r="M28" s="244"/>
    </row>
    <row r="29" spans="1:13" x14ac:dyDescent="0.25">
      <c r="A29" s="260" t="s">
        <v>481</v>
      </c>
      <c r="B29" s="183" t="s">
        <v>103</v>
      </c>
      <c r="C29" s="260">
        <v>2443</v>
      </c>
      <c r="D29" s="191">
        <v>28466</v>
      </c>
      <c r="E29" s="191"/>
      <c r="F29" s="384">
        <v>2938</v>
      </c>
      <c r="G29" s="385">
        <f t="shared" si="1"/>
        <v>31404</v>
      </c>
      <c r="H29" s="244"/>
      <c r="I29" s="244"/>
      <c r="J29" s="244"/>
      <c r="K29" s="244"/>
      <c r="L29" s="244"/>
      <c r="M29" s="244"/>
    </row>
    <row r="30" spans="1:13" x14ac:dyDescent="0.25">
      <c r="A30" s="260" t="s">
        <v>482</v>
      </c>
      <c r="B30" s="183" t="s">
        <v>104</v>
      </c>
      <c r="C30" s="260">
        <v>2444</v>
      </c>
      <c r="D30" s="191">
        <v>4115</v>
      </c>
      <c r="E30" s="191"/>
      <c r="F30" s="384">
        <v>5023</v>
      </c>
      <c r="G30" s="385">
        <f t="shared" si="1"/>
        <v>9138</v>
      </c>
      <c r="H30" s="244"/>
      <c r="I30" s="244"/>
      <c r="J30" s="244"/>
      <c r="K30" s="244"/>
      <c r="L30" s="244"/>
      <c r="M30" s="244"/>
    </row>
    <row r="31" spans="1:13" x14ac:dyDescent="0.25">
      <c r="A31" s="260">
        <v>13</v>
      </c>
      <c r="B31" s="183" t="s">
        <v>68</v>
      </c>
      <c r="C31" s="260">
        <v>2107</v>
      </c>
      <c r="D31" s="191">
        <v>959895</v>
      </c>
      <c r="E31" s="191"/>
      <c r="F31" s="384">
        <v>103949</v>
      </c>
      <c r="G31" s="385">
        <f t="shared" si="1"/>
        <v>1063844</v>
      </c>
      <c r="H31" s="244"/>
      <c r="I31" s="244"/>
      <c r="J31" s="244"/>
      <c r="K31" s="244"/>
      <c r="L31" s="244"/>
      <c r="M31" s="244"/>
    </row>
    <row r="32" spans="1:13" x14ac:dyDescent="0.25">
      <c r="A32" s="260">
        <v>10</v>
      </c>
      <c r="B32" s="183" t="s">
        <v>661</v>
      </c>
      <c r="C32" s="260">
        <v>2106</v>
      </c>
      <c r="D32" s="191">
        <v>98627.26</v>
      </c>
      <c r="E32" s="191"/>
      <c r="F32" s="384">
        <v>8291</v>
      </c>
      <c r="G32" s="385">
        <f t="shared" si="1"/>
        <v>106918.26</v>
      </c>
      <c r="H32" s="244"/>
      <c r="I32" s="244"/>
      <c r="J32" s="244"/>
      <c r="K32" s="244"/>
      <c r="L32" s="244"/>
      <c r="M32" s="244"/>
    </row>
    <row r="33" spans="1:13" x14ac:dyDescent="0.25">
      <c r="A33" s="260">
        <v>11</v>
      </c>
      <c r="B33" s="183" t="s">
        <v>135</v>
      </c>
      <c r="C33" s="260">
        <v>2102</v>
      </c>
      <c r="D33" s="191">
        <v>303690.55</v>
      </c>
      <c r="E33" s="191"/>
      <c r="F33" s="384">
        <v>87241</v>
      </c>
      <c r="G33" s="385">
        <f t="shared" si="1"/>
        <v>390931.55</v>
      </c>
      <c r="H33" s="244"/>
      <c r="I33" s="244"/>
      <c r="J33" s="244"/>
      <c r="K33" s="244"/>
      <c r="L33" s="244"/>
      <c r="M33" s="244"/>
    </row>
    <row r="34" spans="1:13" x14ac:dyDescent="0.25">
      <c r="A34" s="386" t="s">
        <v>408</v>
      </c>
      <c r="B34" s="183" t="s">
        <v>409</v>
      </c>
      <c r="C34" s="260">
        <v>2100</v>
      </c>
      <c r="D34" s="191">
        <v>2003325.11</v>
      </c>
      <c r="E34" s="191"/>
      <c r="F34" s="384">
        <v>50174</v>
      </c>
      <c r="G34" s="385">
        <f t="shared" si="1"/>
        <v>2053499.11</v>
      </c>
      <c r="H34" s="244"/>
      <c r="I34" s="244"/>
      <c r="J34" s="244"/>
      <c r="K34" s="244"/>
      <c r="L34" s="244"/>
      <c r="M34" s="244"/>
    </row>
    <row r="35" spans="1:13" x14ac:dyDescent="0.25">
      <c r="A35" s="260">
        <v>30</v>
      </c>
      <c r="B35" s="183" t="s">
        <v>660</v>
      </c>
      <c r="C35" s="260">
        <v>2109</v>
      </c>
      <c r="D35" s="191">
        <v>843914</v>
      </c>
      <c r="E35" s="191"/>
      <c r="F35" s="384">
        <v>150672</v>
      </c>
      <c r="G35" s="385">
        <f t="shared" si="1"/>
        <v>994586</v>
      </c>
      <c r="H35" s="244"/>
      <c r="I35" s="244"/>
      <c r="J35" s="244"/>
      <c r="K35" s="244"/>
      <c r="L35" s="244"/>
      <c r="M35" s="244"/>
    </row>
    <row r="36" spans="1:13" x14ac:dyDescent="0.25">
      <c r="A36" s="260">
        <v>16</v>
      </c>
      <c r="B36" s="183" t="s">
        <v>69</v>
      </c>
      <c r="C36" s="260">
        <v>2108</v>
      </c>
      <c r="D36" s="191">
        <v>1461238</v>
      </c>
      <c r="E36" s="191"/>
      <c r="F36" s="384">
        <v>226500</v>
      </c>
      <c r="G36" s="385">
        <f t="shared" si="1"/>
        <v>1687738</v>
      </c>
      <c r="H36" s="244"/>
      <c r="I36" s="244"/>
      <c r="J36" s="244"/>
      <c r="K36" s="244"/>
      <c r="L36" s="244"/>
      <c r="M36" s="244"/>
    </row>
    <row r="37" spans="1:13" x14ac:dyDescent="0.25">
      <c r="A37" s="260">
        <v>39</v>
      </c>
      <c r="B37" s="183" t="s">
        <v>468</v>
      </c>
      <c r="C37" s="260">
        <v>2112</v>
      </c>
      <c r="D37" s="191">
        <v>1400583</v>
      </c>
      <c r="E37" s="191"/>
      <c r="F37" s="384">
        <v>321179</v>
      </c>
      <c r="G37" s="385">
        <f t="shared" si="1"/>
        <v>1721762</v>
      </c>
      <c r="H37" s="244"/>
      <c r="I37" s="244"/>
      <c r="J37" s="244"/>
      <c r="K37" s="244"/>
      <c r="L37" s="244"/>
      <c r="M37" s="244"/>
    </row>
    <row r="38" spans="1:13" x14ac:dyDescent="0.25">
      <c r="A38" s="260"/>
      <c r="B38" s="183" t="s">
        <v>663</v>
      </c>
      <c r="C38" s="260">
        <v>2420</v>
      </c>
      <c r="D38" s="191">
        <v>4973.07</v>
      </c>
      <c r="E38" s="191"/>
      <c r="F38" s="384">
        <v>7178</v>
      </c>
      <c r="G38" s="385">
        <f t="shared" si="1"/>
        <v>12151.07</v>
      </c>
      <c r="H38" s="244"/>
      <c r="I38" s="244"/>
      <c r="J38" s="244"/>
      <c r="K38" s="244"/>
      <c r="L38" s="244"/>
      <c r="M38" s="244"/>
    </row>
    <row r="39" spans="1:13" x14ac:dyDescent="0.25">
      <c r="A39" s="260" t="s">
        <v>92</v>
      </c>
      <c r="B39" s="183" t="s">
        <v>93</v>
      </c>
      <c r="C39" s="260">
        <v>2421</v>
      </c>
      <c r="D39" s="191">
        <v>443800</v>
      </c>
      <c r="E39" s="191"/>
      <c r="F39" s="384">
        <v>41479</v>
      </c>
      <c r="G39" s="385">
        <f t="shared" si="1"/>
        <v>485279</v>
      </c>
      <c r="H39" s="244"/>
      <c r="I39" s="244"/>
      <c r="J39" s="244"/>
      <c r="K39" s="244"/>
      <c r="L39" s="244"/>
      <c r="M39" s="244"/>
    </row>
    <row r="40" spans="1:13" x14ac:dyDescent="0.25">
      <c r="A40" s="260" t="s">
        <v>474</v>
      </c>
      <c r="B40" s="183" t="s">
        <v>95</v>
      </c>
      <c r="C40" s="260">
        <v>2422</v>
      </c>
      <c r="D40" s="191">
        <v>34749</v>
      </c>
      <c r="E40" s="191"/>
      <c r="F40" s="384">
        <v>10412</v>
      </c>
      <c r="G40" s="385">
        <f t="shared" si="1"/>
        <v>45161</v>
      </c>
      <c r="H40" s="244"/>
      <c r="I40" s="244"/>
      <c r="J40" s="244"/>
      <c r="K40" s="244"/>
      <c r="L40" s="244"/>
      <c r="M40" s="244"/>
    </row>
    <row r="41" spans="1:13" x14ac:dyDescent="0.25">
      <c r="A41" s="260" t="s">
        <v>473</v>
      </c>
      <c r="B41" s="183" t="s">
        <v>94</v>
      </c>
      <c r="C41" s="260"/>
      <c r="D41" s="191"/>
      <c r="E41" s="191"/>
      <c r="F41" s="384">
        <v>2945</v>
      </c>
      <c r="G41" s="385">
        <f t="shared" si="1"/>
        <v>2945</v>
      </c>
      <c r="H41" s="244"/>
      <c r="I41" s="244"/>
      <c r="J41" s="244"/>
      <c r="K41" s="244"/>
      <c r="L41" s="244"/>
      <c r="M41" s="244"/>
    </row>
    <row r="42" spans="1:13" x14ac:dyDescent="0.25">
      <c r="A42" s="260" t="s">
        <v>475</v>
      </c>
      <c r="B42" s="183" t="s">
        <v>331</v>
      </c>
      <c r="C42" s="260">
        <v>2424</v>
      </c>
      <c r="D42" s="191">
        <v>66032</v>
      </c>
      <c r="E42" s="191"/>
      <c r="F42" s="384">
        <v>22817</v>
      </c>
      <c r="G42" s="385">
        <f t="shared" si="1"/>
        <v>88849</v>
      </c>
      <c r="H42" s="244"/>
      <c r="I42" s="244"/>
      <c r="J42" s="244"/>
      <c r="K42" s="244"/>
      <c r="L42" s="244"/>
      <c r="M42" s="244"/>
    </row>
    <row r="43" spans="1:13" x14ac:dyDescent="0.25">
      <c r="A43" s="260" t="s">
        <v>476</v>
      </c>
      <c r="B43" s="183" t="s">
        <v>96</v>
      </c>
      <c r="C43" s="260">
        <v>2425</v>
      </c>
      <c r="D43" s="191">
        <v>31845</v>
      </c>
      <c r="E43" s="191"/>
      <c r="F43" s="384">
        <v>3642</v>
      </c>
      <c r="G43" s="385">
        <f t="shared" si="1"/>
        <v>35487</v>
      </c>
      <c r="H43" s="244"/>
      <c r="I43" s="244"/>
      <c r="J43" s="244"/>
      <c r="K43" s="244"/>
      <c r="L43" s="244"/>
      <c r="M43" s="244"/>
    </row>
    <row r="44" spans="1:13" x14ac:dyDescent="0.25">
      <c r="A44" s="260" t="s">
        <v>410</v>
      </c>
      <c r="B44" s="183" t="s">
        <v>101</v>
      </c>
      <c r="C44" s="260">
        <v>2426</v>
      </c>
      <c r="D44" s="191">
        <v>38553</v>
      </c>
      <c r="E44" s="191"/>
      <c r="F44" s="384">
        <v>9385</v>
      </c>
      <c r="G44" s="385">
        <f t="shared" si="1"/>
        <v>47938</v>
      </c>
      <c r="H44" s="244"/>
      <c r="I44" s="244"/>
      <c r="J44" s="244"/>
      <c r="K44" s="244"/>
      <c r="L44" s="244"/>
      <c r="M44" s="244"/>
    </row>
    <row r="45" spans="1:13" x14ac:dyDescent="0.25">
      <c r="A45" s="260">
        <v>6</v>
      </c>
      <c r="B45" s="183" t="s">
        <v>67</v>
      </c>
      <c r="C45" s="260">
        <v>2105</v>
      </c>
      <c r="D45" s="191">
        <v>703664.19</v>
      </c>
      <c r="E45" s="191"/>
      <c r="F45" s="384">
        <v>40659</v>
      </c>
      <c r="G45" s="385">
        <f t="shared" si="1"/>
        <v>744323.19</v>
      </c>
      <c r="H45" s="244"/>
      <c r="I45" s="244"/>
      <c r="J45" s="244"/>
      <c r="K45" s="244"/>
      <c r="L45" s="244"/>
      <c r="M45" s="244"/>
    </row>
    <row r="46" spans="1:13" x14ac:dyDescent="0.25">
      <c r="A46" s="260">
        <v>5</v>
      </c>
      <c r="B46" s="183" t="s">
        <v>66</v>
      </c>
      <c r="C46" s="260">
        <v>2104</v>
      </c>
      <c r="D46" s="191">
        <v>83614</v>
      </c>
      <c r="E46" s="191"/>
      <c r="F46" s="384">
        <v>12928</v>
      </c>
      <c r="G46" s="385">
        <f t="shared" si="1"/>
        <v>96542</v>
      </c>
      <c r="H46" s="244"/>
      <c r="I46" s="244"/>
      <c r="J46" s="244"/>
      <c r="K46" s="244"/>
      <c r="L46" s="244"/>
      <c r="M46" s="244"/>
    </row>
    <row r="47" spans="1:13" x14ac:dyDescent="0.25">
      <c r="A47" s="260" t="s">
        <v>477</v>
      </c>
      <c r="B47" s="183" t="s">
        <v>97</v>
      </c>
      <c r="C47" s="260">
        <v>2445</v>
      </c>
      <c r="D47" s="191">
        <v>60370</v>
      </c>
      <c r="E47" s="191"/>
      <c r="F47" s="384">
        <v>2377</v>
      </c>
      <c r="G47" s="385">
        <f t="shared" si="1"/>
        <v>62747</v>
      </c>
      <c r="H47" s="244"/>
      <c r="I47" s="244"/>
      <c r="J47" s="244"/>
      <c r="K47" s="244"/>
      <c r="L47" s="244"/>
      <c r="M47" s="244"/>
    </row>
    <row r="48" spans="1:13" x14ac:dyDescent="0.25">
      <c r="A48" s="260" t="s">
        <v>478</v>
      </c>
      <c r="B48" s="183" t="s">
        <v>98</v>
      </c>
      <c r="C48" s="260">
        <v>2446</v>
      </c>
      <c r="D48" s="191">
        <v>22700.14</v>
      </c>
      <c r="E48" s="191"/>
      <c r="F48" s="384">
        <v>2377</v>
      </c>
      <c r="G48" s="385">
        <f t="shared" si="1"/>
        <v>25077.14</v>
      </c>
      <c r="H48" s="244"/>
      <c r="I48" s="244"/>
      <c r="J48" s="244"/>
      <c r="K48" s="244"/>
      <c r="L48" s="244"/>
      <c r="M48" s="244"/>
    </row>
    <row r="49" spans="1:56" x14ac:dyDescent="0.25">
      <c r="A49" s="260" t="s">
        <v>479</v>
      </c>
      <c r="B49" s="183" t="s">
        <v>99</v>
      </c>
      <c r="C49" s="260">
        <v>2447</v>
      </c>
      <c r="D49" s="191">
        <v>36837</v>
      </c>
      <c r="E49" s="191"/>
      <c r="F49" s="384">
        <v>2488</v>
      </c>
      <c r="G49" s="385">
        <f t="shared" si="1"/>
        <v>39325</v>
      </c>
      <c r="H49" s="244"/>
      <c r="I49" s="244"/>
      <c r="J49" s="244"/>
      <c r="K49" s="244"/>
      <c r="L49" s="244"/>
      <c r="M49" s="244"/>
    </row>
    <row r="50" spans="1:56" x14ac:dyDescent="0.25">
      <c r="A50" s="260"/>
      <c r="B50" s="183" t="s">
        <v>332</v>
      </c>
      <c r="C50" s="260">
        <v>2400</v>
      </c>
      <c r="D50" s="191">
        <v>9518</v>
      </c>
      <c r="E50" s="191"/>
      <c r="F50" s="384">
        <v>3195</v>
      </c>
      <c r="G50" s="385">
        <f t="shared" si="1"/>
        <v>12713</v>
      </c>
      <c r="H50" s="244"/>
      <c r="I50" s="244"/>
      <c r="J50" s="244"/>
      <c r="K50" s="244"/>
      <c r="L50" s="244"/>
      <c r="M50" s="244"/>
    </row>
    <row r="51" spans="1:56" x14ac:dyDescent="0.25">
      <c r="A51" s="260">
        <v>31</v>
      </c>
      <c r="B51" s="183" t="s">
        <v>662</v>
      </c>
      <c r="C51" s="260">
        <v>2111</v>
      </c>
      <c r="D51" s="191">
        <v>519421</v>
      </c>
      <c r="E51" s="191"/>
      <c r="F51" s="384">
        <v>133536</v>
      </c>
      <c r="G51" s="385">
        <f t="shared" si="1"/>
        <v>652957</v>
      </c>
      <c r="H51" s="244"/>
      <c r="I51" s="244"/>
      <c r="J51" s="244"/>
      <c r="K51" s="244"/>
      <c r="L51" s="244"/>
      <c r="M51" s="244"/>
    </row>
    <row r="52" spans="1:56" x14ac:dyDescent="0.25">
      <c r="A52" s="260"/>
      <c r="B52" s="183" t="s">
        <v>664</v>
      </c>
      <c r="C52" s="260">
        <v>2440</v>
      </c>
      <c r="D52" s="191">
        <v>3056.89</v>
      </c>
      <c r="E52" s="191"/>
      <c r="F52" s="384"/>
      <c r="G52" s="385">
        <f t="shared" si="1"/>
        <v>3056.89</v>
      </c>
      <c r="H52" s="244"/>
      <c r="I52" s="244"/>
      <c r="J52" s="244"/>
      <c r="K52" s="244"/>
      <c r="L52" s="244"/>
      <c r="M52" s="244"/>
    </row>
    <row r="53" spans="1:56" x14ac:dyDescent="0.25">
      <c r="A53" s="260"/>
      <c r="B53" s="183" t="s">
        <v>911</v>
      </c>
      <c r="C53" s="260">
        <v>2800</v>
      </c>
      <c r="D53" s="191">
        <v>12116</v>
      </c>
      <c r="E53" s="191"/>
      <c r="F53" s="384">
        <v>62549</v>
      </c>
      <c r="G53" s="385">
        <f t="shared" si="1"/>
        <v>74665</v>
      </c>
      <c r="H53" s="244"/>
      <c r="I53" s="244"/>
      <c r="J53" s="244"/>
      <c r="K53" s="244"/>
      <c r="L53" s="244"/>
      <c r="M53" s="244"/>
    </row>
    <row r="54" spans="1:56" ht="16.5" thickBot="1" x14ac:dyDescent="0.3">
      <c r="A54" s="260" t="s">
        <v>87</v>
      </c>
      <c r="B54" s="183" t="s">
        <v>88</v>
      </c>
      <c r="C54" s="260"/>
      <c r="D54" s="191"/>
      <c r="E54" s="191"/>
      <c r="F54" s="384"/>
      <c r="G54" s="385">
        <f t="shared" ref="G54" si="2">SUM(D54:F54)</f>
        <v>0</v>
      </c>
      <c r="H54" s="244"/>
      <c r="I54" s="244"/>
      <c r="J54" s="244"/>
      <c r="K54" s="244"/>
      <c r="L54" s="244"/>
      <c r="M54" s="244"/>
    </row>
    <row r="55" spans="1:56" s="238" customFormat="1" ht="21.75" customHeight="1" thickTop="1" thickBot="1" x14ac:dyDescent="0.3">
      <c r="A55" s="387" t="s">
        <v>48</v>
      </c>
      <c r="B55" s="387" t="s">
        <v>0</v>
      </c>
      <c r="C55" s="387"/>
      <c r="D55" s="1011">
        <f>SUM(D3:D54)</f>
        <v>12476550.020000001</v>
      </c>
      <c r="E55" s="388">
        <f>SUM(E3:E54)</f>
        <v>0</v>
      </c>
      <c r="F55" s="1012">
        <f>SUM(F3:F54)</f>
        <v>1604594</v>
      </c>
      <c r="G55" s="389">
        <f>SUM(G3:G54)</f>
        <v>14016367.910000002</v>
      </c>
      <c r="H55" s="390"/>
      <c r="I55" s="390"/>
      <c r="J55" s="390"/>
      <c r="K55" s="390"/>
      <c r="L55" s="390"/>
      <c r="M55" s="390"/>
      <c r="N55" s="342"/>
      <c r="O55" s="342"/>
      <c r="P55" s="342"/>
      <c r="Q55" s="342"/>
      <c r="R55" s="342"/>
      <c r="S55" s="342"/>
      <c r="T55" s="342"/>
      <c r="U55" s="342"/>
      <c r="V55" s="342"/>
      <c r="W55" s="342"/>
      <c r="X55" s="342"/>
      <c r="Y55" s="342"/>
      <c r="Z55" s="342"/>
      <c r="AA55" s="342"/>
      <c r="AB55" s="342"/>
      <c r="AC55" s="342"/>
      <c r="AD55" s="342"/>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42"/>
      <c r="BD55" s="342"/>
    </row>
    <row r="56" spans="1:56" ht="16.5" thickTop="1" x14ac:dyDescent="0.25">
      <c r="A56" s="231"/>
      <c r="D56" s="391"/>
      <c r="E56" s="392"/>
      <c r="F56" s="391"/>
      <c r="G56" s="244"/>
      <c r="H56" s="244"/>
      <c r="I56" s="244"/>
      <c r="J56" s="244"/>
      <c r="K56" s="244"/>
      <c r="L56" s="244"/>
      <c r="M56" s="244"/>
    </row>
    <row r="57" spans="1:56" s="563" customFormat="1" ht="12" x14ac:dyDescent="0.2">
      <c r="A57" s="513"/>
      <c r="C57" s="1008"/>
      <c r="D57" s="670">
        <v>12476550.02</v>
      </c>
      <c r="E57" s="1009"/>
      <c r="F57" s="1010">
        <v>1604594</v>
      </c>
      <c r="G57" s="570"/>
      <c r="H57" s="570"/>
      <c r="I57" s="570"/>
      <c r="J57" s="570"/>
      <c r="K57" s="570"/>
      <c r="L57" s="570"/>
      <c r="M57" s="570"/>
    </row>
    <row r="58" spans="1:56" s="563" customFormat="1" ht="12" x14ac:dyDescent="0.2">
      <c r="A58" s="513"/>
      <c r="C58" s="513"/>
      <c r="D58" s="1010">
        <f>D55-D57</f>
        <v>0</v>
      </c>
      <c r="E58" s="1009"/>
      <c r="F58" s="1010">
        <f>F55-F57</f>
        <v>0</v>
      </c>
      <c r="G58" s="570"/>
      <c r="H58" s="570"/>
      <c r="I58" s="570"/>
      <c r="J58" s="570"/>
      <c r="K58" s="570"/>
      <c r="L58" s="570"/>
      <c r="M58" s="570"/>
    </row>
    <row r="59" spans="1:56" x14ac:dyDescent="0.25">
      <c r="A59" s="239" t="s">
        <v>913</v>
      </c>
      <c r="E59" s="670"/>
      <c r="F59" s="391"/>
      <c r="G59" s="244"/>
      <c r="H59" s="244"/>
      <c r="I59" s="244"/>
      <c r="J59" s="244"/>
      <c r="K59" s="244"/>
      <c r="L59" s="244"/>
      <c r="M59" s="244"/>
    </row>
    <row r="60" spans="1:56" x14ac:dyDescent="0.25">
      <c r="D60" s="391"/>
      <c r="E60" s="671"/>
      <c r="F60" s="391"/>
    </row>
    <row r="61" spans="1:56" x14ac:dyDescent="0.25">
      <c r="F61" s="391"/>
    </row>
    <row r="62" spans="1:56" x14ac:dyDescent="0.25">
      <c r="E62" s="244"/>
      <c r="F62" s="391"/>
    </row>
  </sheetData>
  <autoFilter ref="A2:G57" xr:uid="{00000000-0009-0000-0000-00000A000000}"/>
  <mergeCells count="1">
    <mergeCell ref="A1:G1"/>
  </mergeCells>
  <phoneticPr fontId="21" type="noConversion"/>
  <printOptions horizontalCentered="1"/>
  <pageMargins left="0" right="0" top="1.25" bottom="1" header="0.33" footer="0.5"/>
  <pageSetup scale="91" fitToHeight="0" orientation="portrait" r:id="rId1"/>
  <headerFooter alignWithMargins="0">
    <oddHeader>&amp;C&amp;"Arial,Bold"&amp;12DEPARTMENT OF CORRECTIONS
 COST OF CARE Year 2018
(Based on Fiscal Year 2017 Actuals)</oddHeader>
    <oddFooter>&amp;L&amp;8&amp;Z&amp;F&amp;R&amp;8&amp;D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A1:BE40"/>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A32" sqref="A32"/>
    </sheetView>
  </sheetViews>
  <sheetFormatPr defaultColWidth="9.140625" defaultRowHeight="12.75" x14ac:dyDescent="0.2"/>
  <cols>
    <col min="1" max="1" width="31.85546875" style="180" customWidth="1"/>
    <col min="2" max="2" width="12.7109375" style="180" customWidth="1"/>
    <col min="3" max="3" width="10.85546875" style="180" customWidth="1"/>
    <col min="4" max="4" width="17.28515625" style="316" customWidth="1"/>
    <col min="5" max="5" width="16" style="180" customWidth="1"/>
    <col min="6" max="6" width="17.5703125" style="180" bestFit="1" customWidth="1"/>
    <col min="7" max="7" width="12" style="262" bestFit="1" customWidth="1"/>
    <col min="8" max="9" width="9.140625" style="180"/>
    <col min="10" max="10" width="12" style="180" bestFit="1" customWidth="1"/>
    <col min="11" max="16384" width="9.140625" style="180"/>
  </cols>
  <sheetData>
    <row r="1" spans="1:8" ht="28.5" customHeight="1" thickBot="1" x14ac:dyDescent="0.25">
      <c r="A1" s="1114" t="s">
        <v>244</v>
      </c>
      <c r="B1" s="1114"/>
      <c r="C1" s="1114"/>
      <c r="D1" s="1114"/>
      <c r="E1" s="1114"/>
      <c r="F1" s="1114"/>
    </row>
    <row r="2" spans="1:8" ht="33" thickTop="1" thickBot="1" x14ac:dyDescent="0.25">
      <c r="A2" s="335" t="s">
        <v>73</v>
      </c>
      <c r="B2" s="335" t="s">
        <v>802</v>
      </c>
      <c r="C2" s="335" t="s">
        <v>803</v>
      </c>
      <c r="D2" s="393" t="s">
        <v>74</v>
      </c>
      <c r="E2" s="336" t="s">
        <v>75</v>
      </c>
      <c r="F2" s="335" t="s">
        <v>27</v>
      </c>
      <c r="G2" s="935" t="s">
        <v>805</v>
      </c>
    </row>
    <row r="3" spans="1:8" ht="15.75" customHeight="1" thickTop="1" x14ac:dyDescent="0.25">
      <c r="A3" s="183" t="s">
        <v>64</v>
      </c>
      <c r="B3" s="260"/>
      <c r="C3" s="260"/>
      <c r="D3" s="197">
        <v>0</v>
      </c>
      <c r="E3" s="192"/>
      <c r="F3" s="192">
        <f>SUM(D3:E3)</f>
        <v>0</v>
      </c>
    </row>
    <row r="4" spans="1:8" ht="15.75" customHeight="1" x14ac:dyDescent="0.25">
      <c r="A4" s="183" t="s">
        <v>70</v>
      </c>
      <c r="B4" s="260"/>
      <c r="C4" s="260"/>
      <c r="D4" s="197">
        <v>0</v>
      </c>
      <c r="E4" s="192"/>
      <c r="F4" s="192">
        <f t="shared" ref="F4:F30" si="0">SUM(D4:E4)</f>
        <v>0</v>
      </c>
    </row>
    <row r="5" spans="1:8" ht="15.75" customHeight="1" x14ac:dyDescent="0.25">
      <c r="A5" s="183" t="s">
        <v>71</v>
      </c>
      <c r="B5" s="260"/>
      <c r="C5" s="260"/>
      <c r="D5" s="197">
        <v>0</v>
      </c>
      <c r="E5" s="192"/>
      <c r="F5" s="192">
        <f t="shared" si="0"/>
        <v>0</v>
      </c>
    </row>
    <row r="6" spans="1:8" ht="15.75" x14ac:dyDescent="0.25">
      <c r="A6" s="183" t="s">
        <v>502</v>
      </c>
      <c r="B6" s="260"/>
      <c r="C6" s="260"/>
      <c r="D6" s="197">
        <v>0</v>
      </c>
      <c r="E6" s="192"/>
      <c r="F6" s="192">
        <f t="shared" si="0"/>
        <v>0</v>
      </c>
    </row>
    <row r="7" spans="1:8" ht="15.75" x14ac:dyDescent="0.25">
      <c r="A7" s="183" t="s">
        <v>76</v>
      </c>
      <c r="B7" s="260"/>
      <c r="C7" s="260"/>
      <c r="D7" s="197">
        <v>0</v>
      </c>
      <c r="E7" s="192"/>
      <c r="F7" s="192">
        <f t="shared" si="0"/>
        <v>0</v>
      </c>
    </row>
    <row r="8" spans="1:8" ht="15.75" x14ac:dyDescent="0.25">
      <c r="A8" s="183" t="s">
        <v>77</v>
      </c>
      <c r="B8" s="260"/>
      <c r="C8" s="260"/>
      <c r="D8" s="197">
        <v>0</v>
      </c>
      <c r="E8" s="192"/>
      <c r="F8" s="192">
        <f t="shared" si="0"/>
        <v>0</v>
      </c>
    </row>
    <row r="9" spans="1:8" ht="15.75" x14ac:dyDescent="0.25">
      <c r="A9" s="183" t="s">
        <v>800</v>
      </c>
      <c r="B9" s="260" t="s">
        <v>801</v>
      </c>
      <c r="C9" s="260" t="s">
        <v>806</v>
      </c>
      <c r="D9" s="197">
        <f>-'Sched-D2'!E41</f>
        <v>58016</v>
      </c>
      <c r="E9" s="192"/>
      <c r="F9" s="317">
        <f>SUM(D9:E9)</f>
        <v>58016</v>
      </c>
      <c r="G9" s="262">
        <v>5014</v>
      </c>
    </row>
    <row r="10" spans="1:8" ht="15.75" x14ac:dyDescent="0.25">
      <c r="A10" s="183" t="s">
        <v>800</v>
      </c>
      <c r="B10" s="260" t="s">
        <v>801</v>
      </c>
      <c r="C10" s="260" t="s">
        <v>806</v>
      </c>
      <c r="D10" s="197">
        <f>-'Sched-D2'!E43</f>
        <v>70800</v>
      </c>
      <c r="E10" s="192"/>
      <c r="F10" s="317">
        <f>SUM(D10:E10)</f>
        <v>70800</v>
      </c>
      <c r="G10" s="262">
        <v>5301</v>
      </c>
    </row>
    <row r="11" spans="1:8" ht="15.75" x14ac:dyDescent="0.25">
      <c r="A11" s="183" t="s">
        <v>800</v>
      </c>
      <c r="B11" s="260" t="s">
        <v>801</v>
      </c>
      <c r="C11" s="260" t="s">
        <v>804</v>
      </c>
      <c r="D11" s="197">
        <f>-'Sched-D2'!E42</f>
        <v>52400</v>
      </c>
      <c r="E11" s="192"/>
      <c r="F11" s="317">
        <f>SUM(D11:E11)</f>
        <v>52400</v>
      </c>
      <c r="G11" s="262">
        <v>5007</v>
      </c>
    </row>
    <row r="12" spans="1:8" ht="15.75" x14ac:dyDescent="0.25">
      <c r="A12" s="183" t="s">
        <v>807</v>
      </c>
      <c r="B12" s="260" t="s">
        <v>808</v>
      </c>
      <c r="C12" s="260" t="s">
        <v>809</v>
      </c>
      <c r="D12" s="197">
        <f>-'Sched-D2'!E59-'Sched-D2'!E60-'Sched-D2'!E61</f>
        <v>103260.01999999999</v>
      </c>
      <c r="E12" s="192"/>
      <c r="F12" s="317">
        <f t="shared" si="0"/>
        <v>103260.01999999999</v>
      </c>
      <c r="G12" s="262">
        <v>5301</v>
      </c>
      <c r="H12" s="180" t="s">
        <v>816</v>
      </c>
    </row>
    <row r="13" spans="1:8" ht="15.75" x14ac:dyDescent="0.25">
      <c r="A13" s="183" t="s">
        <v>71</v>
      </c>
      <c r="B13" s="260"/>
      <c r="C13" s="260"/>
      <c r="D13" s="197">
        <v>0</v>
      </c>
      <c r="E13" s="192"/>
      <c r="F13" s="192">
        <f t="shared" si="0"/>
        <v>0</v>
      </c>
      <c r="G13" s="936"/>
    </row>
    <row r="14" spans="1:8" ht="15.75" x14ac:dyDescent="0.25">
      <c r="A14" s="183" t="s">
        <v>78</v>
      </c>
      <c r="B14" s="260"/>
      <c r="C14" s="260"/>
      <c r="D14" s="197">
        <v>0</v>
      </c>
      <c r="E14" s="192"/>
      <c r="F14" s="192">
        <f t="shared" si="0"/>
        <v>0</v>
      </c>
    </row>
    <row r="15" spans="1:8" ht="15.75" x14ac:dyDescent="0.25">
      <c r="A15" s="183" t="s">
        <v>55</v>
      </c>
      <c r="B15" s="260" t="s">
        <v>810</v>
      </c>
      <c r="C15" s="260" t="s">
        <v>811</v>
      </c>
      <c r="D15" s="197">
        <f>-'Sched-D2'!E94</f>
        <v>140000</v>
      </c>
      <c r="E15" s="192"/>
      <c r="F15" s="317">
        <f t="shared" si="0"/>
        <v>140000</v>
      </c>
    </row>
    <row r="16" spans="1:8" ht="15.75" x14ac:dyDescent="0.25">
      <c r="A16" s="183" t="s">
        <v>63</v>
      </c>
      <c r="B16" s="260"/>
      <c r="C16" s="260"/>
      <c r="D16" s="197">
        <v>0</v>
      </c>
      <c r="E16" s="192"/>
      <c r="F16" s="192">
        <f t="shared" si="0"/>
        <v>0</v>
      </c>
    </row>
    <row r="17" spans="1:57" ht="15.75" x14ac:dyDescent="0.25">
      <c r="A17" s="183" t="s">
        <v>310</v>
      </c>
      <c r="B17" s="260"/>
      <c r="C17" s="260"/>
      <c r="D17" s="197"/>
      <c r="E17" s="192"/>
      <c r="F17" s="192"/>
    </row>
    <row r="18" spans="1:57" ht="15.75" x14ac:dyDescent="0.25">
      <c r="A18" s="183" t="s">
        <v>79</v>
      </c>
      <c r="B18" s="260" t="s">
        <v>810</v>
      </c>
      <c r="C18" s="260" t="s">
        <v>812</v>
      </c>
      <c r="D18" s="197">
        <f>-'Sched-D1'!D47</f>
        <v>30371.22</v>
      </c>
      <c r="E18" s="192"/>
      <c r="F18" s="317">
        <f t="shared" si="0"/>
        <v>30371.22</v>
      </c>
      <c r="G18" s="262">
        <v>5301</v>
      </c>
    </row>
    <row r="19" spans="1:57" ht="15.75" x14ac:dyDescent="0.25">
      <c r="A19" s="183" t="s">
        <v>80</v>
      </c>
      <c r="B19" s="260"/>
      <c r="C19" s="260"/>
      <c r="D19" s="197">
        <v>0</v>
      </c>
      <c r="E19" s="192"/>
      <c r="F19" s="192">
        <f t="shared" si="0"/>
        <v>0</v>
      </c>
    </row>
    <row r="20" spans="1:57" ht="15.75" x14ac:dyDescent="0.25">
      <c r="A20" s="183" t="s">
        <v>25</v>
      </c>
      <c r="B20" s="260"/>
      <c r="C20" s="260"/>
      <c r="D20" s="197">
        <v>0</v>
      </c>
      <c r="E20" s="192"/>
      <c r="F20" s="192">
        <f t="shared" si="0"/>
        <v>0</v>
      </c>
    </row>
    <row r="21" spans="1:57" ht="15.75" x14ac:dyDescent="0.25">
      <c r="A21" s="183" t="s">
        <v>462</v>
      </c>
      <c r="B21" s="260" t="s">
        <v>810</v>
      </c>
      <c r="C21" s="260" t="s">
        <v>813</v>
      </c>
      <c r="D21" s="197">
        <f>-'Sched-D2'!E113</f>
        <v>0</v>
      </c>
      <c r="E21" s="192"/>
      <c r="F21" s="394">
        <f t="shared" si="0"/>
        <v>0</v>
      </c>
    </row>
    <row r="22" spans="1:57" ht="15.75" x14ac:dyDescent="0.25">
      <c r="A22" s="183" t="s">
        <v>16</v>
      </c>
      <c r="B22" s="260"/>
      <c r="C22" s="260"/>
      <c r="D22" s="197">
        <v>0</v>
      </c>
      <c r="E22" s="192"/>
      <c r="F22" s="192">
        <f t="shared" si="0"/>
        <v>0</v>
      </c>
    </row>
    <row r="23" spans="1:57" ht="15.75" x14ac:dyDescent="0.25">
      <c r="A23" s="183" t="s">
        <v>17</v>
      </c>
      <c r="B23" s="260" t="s">
        <v>810</v>
      </c>
      <c r="C23" s="260" t="s">
        <v>814</v>
      </c>
      <c r="D23" s="197">
        <f>-'Sched-D1'!D299-'Sched-D1'!D298</f>
        <v>437564.48000000004</v>
      </c>
      <c r="E23" s="192"/>
      <c r="F23" s="317">
        <f t="shared" si="0"/>
        <v>437564.48000000004</v>
      </c>
      <c r="H23" s="180" t="s">
        <v>975</v>
      </c>
    </row>
    <row r="24" spans="1:57" ht="15.75" x14ac:dyDescent="0.25">
      <c r="A24" s="183" t="s">
        <v>18</v>
      </c>
      <c r="B24" s="260"/>
      <c r="C24" s="260"/>
      <c r="D24" s="197">
        <v>0</v>
      </c>
      <c r="E24" s="192"/>
      <c r="F24" s="192">
        <f t="shared" si="0"/>
        <v>0</v>
      </c>
    </row>
    <row r="25" spans="1:57" ht="15.75" x14ac:dyDescent="0.25">
      <c r="A25" s="183" t="s">
        <v>19</v>
      </c>
      <c r="B25" s="260"/>
      <c r="C25" s="260"/>
      <c r="D25" s="197">
        <v>0</v>
      </c>
      <c r="E25" s="192"/>
      <c r="F25" s="192">
        <f t="shared" si="0"/>
        <v>0</v>
      </c>
    </row>
    <row r="26" spans="1:57" ht="15.75" x14ac:dyDescent="0.25">
      <c r="A26" s="183" t="s">
        <v>20</v>
      </c>
      <c r="B26" s="260"/>
      <c r="C26" s="260"/>
      <c r="D26" s="197">
        <v>0</v>
      </c>
      <c r="E26" s="192"/>
      <c r="F26" s="192">
        <f t="shared" si="0"/>
        <v>0</v>
      </c>
    </row>
    <row r="27" spans="1:57" ht="15.75" x14ac:dyDescent="0.25">
      <c r="A27" s="183" t="s">
        <v>26</v>
      </c>
      <c r="B27" s="260"/>
      <c r="C27" s="260"/>
      <c r="D27" s="197">
        <v>0</v>
      </c>
      <c r="E27" s="192"/>
      <c r="F27" s="192">
        <f t="shared" si="0"/>
        <v>0</v>
      </c>
    </row>
    <row r="28" spans="1:57" ht="15.75" x14ac:dyDescent="0.25">
      <c r="A28" s="183" t="s">
        <v>81</v>
      </c>
      <c r="B28" s="260" t="s">
        <v>810</v>
      </c>
      <c r="C28" s="260" t="s">
        <v>815</v>
      </c>
      <c r="D28" s="197">
        <f>-'Sched-D1'!D557</f>
        <v>42664.97</v>
      </c>
      <c r="E28" s="192"/>
      <c r="F28" s="317">
        <f t="shared" si="0"/>
        <v>42664.97</v>
      </c>
      <c r="G28" s="262">
        <v>5301</v>
      </c>
      <c r="J28" s="227"/>
    </row>
    <row r="29" spans="1:57" ht="15.75" x14ac:dyDescent="0.25">
      <c r="A29" s="183" t="s">
        <v>82</v>
      </c>
      <c r="B29" s="260"/>
      <c r="C29" s="260"/>
      <c r="D29" s="197">
        <v>0</v>
      </c>
      <c r="E29" s="192"/>
      <c r="F29" s="192">
        <f t="shared" si="0"/>
        <v>0</v>
      </c>
    </row>
    <row r="30" spans="1:57" ht="16.5" thickBot="1" x14ac:dyDescent="0.3">
      <c r="A30" s="183" t="s">
        <v>83</v>
      </c>
      <c r="B30" s="260"/>
      <c r="C30" s="260"/>
      <c r="D30" s="197">
        <v>0</v>
      </c>
      <c r="E30" s="192"/>
      <c r="F30" s="192">
        <f t="shared" si="0"/>
        <v>0</v>
      </c>
    </row>
    <row r="31" spans="1:57" s="229" customFormat="1" ht="21.75" customHeight="1" thickTop="1" thickBot="1" x14ac:dyDescent="0.3">
      <c r="A31" s="387" t="s">
        <v>61</v>
      </c>
      <c r="B31" s="387"/>
      <c r="C31" s="387"/>
      <c r="D31" s="395">
        <f>SUM(D3:D30)</f>
        <v>935076.69</v>
      </c>
      <c r="E31" s="396">
        <f>SUM(E3:E30)</f>
        <v>0</v>
      </c>
      <c r="F31" s="938">
        <f>SUM(F3:F30)</f>
        <v>935076.69</v>
      </c>
      <c r="G31" s="937"/>
      <c r="H31" s="383"/>
      <c r="I31" s="383"/>
      <c r="J31" s="383"/>
      <c r="K31" s="383"/>
      <c r="L31" s="383"/>
      <c r="M31" s="383"/>
      <c r="N31" s="383"/>
      <c r="O31" s="383"/>
      <c r="P31" s="383"/>
      <c r="Q31" s="383"/>
      <c r="R31" s="383"/>
      <c r="S31" s="383"/>
      <c r="T31" s="383"/>
      <c r="U31" s="383"/>
      <c r="V31" s="383"/>
      <c r="W31" s="383"/>
      <c r="X31" s="383"/>
      <c r="Y31" s="383"/>
      <c r="Z31" s="383"/>
      <c r="AA31" s="383"/>
      <c r="AB31" s="383"/>
      <c r="AC31" s="383"/>
      <c r="AD31" s="383"/>
      <c r="AE31" s="383"/>
      <c r="AF31" s="383"/>
      <c r="AG31" s="383"/>
      <c r="AH31" s="383"/>
      <c r="AI31" s="383"/>
      <c r="AJ31" s="383"/>
      <c r="AK31" s="383"/>
      <c r="AL31" s="383"/>
      <c r="AM31" s="383"/>
      <c r="AN31" s="383"/>
      <c r="AO31" s="383"/>
      <c r="AP31" s="383"/>
      <c r="AQ31" s="383"/>
      <c r="AR31" s="383"/>
      <c r="AS31" s="383"/>
      <c r="AT31" s="383"/>
      <c r="AU31" s="383"/>
      <c r="AV31" s="383"/>
      <c r="AW31" s="383"/>
      <c r="AX31" s="383"/>
      <c r="AY31" s="383"/>
      <c r="AZ31" s="383"/>
      <c r="BA31" s="383"/>
      <c r="BB31" s="383"/>
      <c r="BC31" s="383"/>
      <c r="BD31" s="383"/>
      <c r="BE31" s="383"/>
    </row>
    <row r="32" spans="1:57" ht="13.5" thickTop="1" x14ac:dyDescent="0.2"/>
    <row r="33" spans="1:6" x14ac:dyDescent="0.2">
      <c r="A33" s="341" t="s">
        <v>964</v>
      </c>
    </row>
    <row r="38" spans="1:6" x14ac:dyDescent="0.2">
      <c r="F38" s="227"/>
    </row>
    <row r="40" spans="1:6" x14ac:dyDescent="0.2">
      <c r="F40" s="227"/>
    </row>
  </sheetData>
  <mergeCells count="1">
    <mergeCell ref="A1:F1"/>
  </mergeCells>
  <phoneticPr fontId="21" type="noConversion"/>
  <printOptions horizontalCentered="1"/>
  <pageMargins left="0.75" right="0.75" top="1.25" bottom="1" header="0.33" footer="0.5"/>
  <pageSetup scale="85" orientation="portrait" r:id="rId1"/>
  <headerFooter alignWithMargins="0">
    <oddHeader>&amp;C&amp;"Arial,Bold"&amp;12DEPARTMENT OF CORRECTIONS
 COST OF CARE Year 2018
(Based on Fiscal Year 2017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R76"/>
  <sheetViews>
    <sheetView showGridLines="0" topLeftCell="A37" workbookViewId="0">
      <selection activeCell="A57" sqref="A57"/>
    </sheetView>
  </sheetViews>
  <sheetFormatPr defaultColWidth="9.140625" defaultRowHeight="12.75" x14ac:dyDescent="0.2"/>
  <cols>
    <col min="1" max="2" width="3.7109375" style="180" customWidth="1"/>
    <col min="3" max="3" width="8.5703125" style="180" customWidth="1"/>
    <col min="4" max="4" width="30.5703125" style="180" customWidth="1"/>
    <col min="5" max="5" width="14.28515625" style="262" customWidth="1"/>
    <col min="6" max="6" width="16.28515625" style="180" customWidth="1"/>
    <col min="7" max="7" width="16.42578125" style="180" customWidth="1"/>
    <col min="8" max="8" width="11.42578125" style="180" customWidth="1"/>
    <col min="9" max="9" width="15.42578125" style="180" customWidth="1"/>
    <col min="10" max="10" width="16.140625" style="180" customWidth="1"/>
    <col min="11" max="11" width="16.140625" style="180" bestFit="1" customWidth="1"/>
    <col min="12" max="12" width="14" style="180" customWidth="1"/>
    <col min="13" max="13" width="16" style="180" bestFit="1" customWidth="1"/>
    <col min="14" max="14" width="15" style="180" bestFit="1" customWidth="1"/>
    <col min="15" max="15" width="18.28515625" style="180" customWidth="1"/>
    <col min="16" max="16" width="1.5703125" style="180" customWidth="1"/>
    <col min="17" max="17" width="16.5703125" style="180" customWidth="1"/>
    <col min="18" max="18" width="25.5703125" style="180" customWidth="1"/>
    <col min="19" max="16384" width="9.140625" style="180"/>
  </cols>
  <sheetData>
    <row r="1" spans="1:18" ht="21" customHeight="1" thickBot="1" x14ac:dyDescent="0.25">
      <c r="A1" s="1158" t="s">
        <v>239</v>
      </c>
      <c r="B1" s="1158"/>
      <c r="C1" s="1158"/>
      <c r="D1" s="1158"/>
      <c r="E1" s="1158"/>
      <c r="F1" s="1158"/>
      <c r="G1" s="1158"/>
      <c r="H1" s="1158"/>
      <c r="I1" s="1158"/>
      <c r="J1" s="1158"/>
      <c r="M1" s="227"/>
    </row>
    <row r="2" spans="1:18" ht="24.75" customHeight="1" thickBot="1" x14ac:dyDescent="0.25">
      <c r="A2" s="1164" t="s">
        <v>159</v>
      </c>
      <c r="B2" s="1165"/>
      <c r="C2" s="1165"/>
      <c r="D2" s="436"/>
      <c r="E2" s="437" t="s">
        <v>790</v>
      </c>
      <c r="F2" s="1163" t="s">
        <v>240</v>
      </c>
      <c r="G2" s="1163"/>
      <c r="H2" s="438" t="s">
        <v>136</v>
      </c>
      <c r="I2" s="452" t="s">
        <v>161</v>
      </c>
      <c r="J2" s="439" t="s">
        <v>137</v>
      </c>
      <c r="M2" s="430"/>
    </row>
    <row r="3" spans="1:18" x14ac:dyDescent="0.2">
      <c r="A3" s="951" t="s">
        <v>860</v>
      </c>
      <c r="B3" s="431"/>
      <c r="C3" s="432"/>
      <c r="D3" s="433"/>
      <c r="E3" s="434"/>
      <c r="F3" s="435"/>
      <c r="G3" s="435"/>
      <c r="H3" s="440"/>
      <c r="I3" s="700" t="s">
        <v>48</v>
      </c>
      <c r="J3" s="441"/>
      <c r="M3" s="227"/>
    </row>
    <row r="4" spans="1:18" x14ac:dyDescent="0.2">
      <c r="A4" s="397"/>
      <c r="B4" s="586" t="s">
        <v>872</v>
      </c>
      <c r="C4" s="399"/>
      <c r="D4" s="400"/>
      <c r="E4" s="417" t="s">
        <v>791</v>
      </c>
      <c r="F4" s="416"/>
      <c r="G4" s="402"/>
      <c r="H4" s="404"/>
      <c r="I4" s="411">
        <f>'Sched-E'!C3</f>
        <v>12382748.779999999</v>
      </c>
      <c r="J4" s="403"/>
      <c r="K4" s="229" t="s">
        <v>840</v>
      </c>
      <c r="M4" s="227"/>
      <c r="N4" s="227"/>
      <c r="O4" s="227"/>
      <c r="Q4" s="227"/>
      <c r="R4" s="227"/>
    </row>
    <row r="5" spans="1:18" x14ac:dyDescent="0.2">
      <c r="A5" s="951" t="s">
        <v>861</v>
      </c>
      <c r="B5" s="398"/>
      <c r="C5" s="399"/>
      <c r="D5" s="400"/>
      <c r="E5" s="402"/>
      <c r="F5" s="402"/>
      <c r="G5" s="402"/>
      <c r="H5" s="404"/>
      <c r="I5" s="954" t="s">
        <v>157</v>
      </c>
      <c r="J5" s="403"/>
      <c r="K5" s="229" t="s">
        <v>967</v>
      </c>
      <c r="M5" s="227"/>
      <c r="N5" s="227"/>
      <c r="O5" s="227"/>
      <c r="Q5" s="227"/>
      <c r="R5" s="227"/>
    </row>
    <row r="6" spans="1:18" x14ac:dyDescent="0.2">
      <c r="A6" s="397"/>
      <c r="B6" s="398"/>
      <c r="C6" s="399"/>
      <c r="D6" s="400"/>
      <c r="E6" s="402"/>
      <c r="F6" s="402"/>
      <c r="G6" s="402"/>
      <c r="H6" s="405">
        <f>G7/$G$37</f>
        <v>0.84095395456443933</v>
      </c>
      <c r="I6" s="406">
        <f>SUM($I$4*H6)</f>
        <v>10413321.554918986</v>
      </c>
      <c r="J6" s="403"/>
      <c r="K6" s="407"/>
      <c r="M6" s="227"/>
      <c r="N6" s="227"/>
      <c r="O6" s="227"/>
      <c r="Q6" s="227"/>
      <c r="R6" s="227"/>
    </row>
    <row r="7" spans="1:18" x14ac:dyDescent="0.2">
      <c r="A7" s="408"/>
      <c r="B7" s="409" t="s">
        <v>105</v>
      </c>
      <c r="C7" s="340"/>
      <c r="D7" s="264"/>
      <c r="E7" s="381"/>
      <c r="F7" s="263"/>
      <c r="G7" s="410">
        <f>SUM(F4:F30)</f>
        <v>250700115.12138575</v>
      </c>
      <c r="H7" s="263"/>
      <c r="I7" s="263"/>
      <c r="J7" s="411">
        <f>SUM(I6+G7)</f>
        <v>261113436.67630473</v>
      </c>
      <c r="K7" s="407"/>
      <c r="M7" s="227"/>
      <c r="N7" s="227"/>
      <c r="O7" s="227"/>
      <c r="Q7" s="227"/>
      <c r="R7" s="227"/>
    </row>
    <row r="8" spans="1:18" x14ac:dyDescent="0.2">
      <c r="A8" s="408"/>
      <c r="B8" s="409"/>
      <c r="C8" s="586" t="s">
        <v>862</v>
      </c>
      <c r="D8" s="412"/>
      <c r="E8" s="401"/>
      <c r="F8" s="413">
        <f>'Sched-B1'!E17+'Sched-D1'!F659+CostReim!D18+CostReim!D23+CostReim!D28</f>
        <v>178474094.16</v>
      </c>
      <c r="G8" s="410"/>
      <c r="H8" s="414"/>
      <c r="I8" s="415"/>
      <c r="J8" s="411"/>
      <c r="K8" s="941" t="s">
        <v>818</v>
      </c>
      <c r="M8" s="227"/>
      <c r="N8" s="227"/>
      <c r="O8" s="227"/>
      <c r="Q8" s="227"/>
      <c r="R8" s="227"/>
    </row>
    <row r="9" spans="1:18" x14ac:dyDescent="0.2">
      <c r="A9" s="408"/>
      <c r="B9" s="409"/>
      <c r="C9" s="1159" t="s">
        <v>877</v>
      </c>
      <c r="D9" s="1160"/>
      <c r="E9" s="381" t="s">
        <v>814</v>
      </c>
      <c r="F9" s="416">
        <f>'Sched-D1'!D299</f>
        <v>-368402.09</v>
      </c>
      <c r="G9" s="410"/>
      <c r="H9" s="414"/>
      <c r="I9" s="414"/>
      <c r="J9" s="411"/>
      <c r="K9" s="560"/>
      <c r="L9" s="560"/>
      <c r="M9" s="227"/>
      <c r="N9" s="227"/>
      <c r="O9" s="227"/>
      <c r="Q9" s="227"/>
      <c r="R9" s="227"/>
    </row>
    <row r="10" spans="1:18" x14ac:dyDescent="0.2">
      <c r="A10" s="408"/>
      <c r="B10" s="409"/>
      <c r="C10" s="1159" t="s">
        <v>878</v>
      </c>
      <c r="D10" s="1160"/>
      <c r="E10" s="381" t="s">
        <v>817</v>
      </c>
      <c r="F10" s="416">
        <v>-29795.4</v>
      </c>
      <c r="G10" s="410"/>
      <c r="H10" s="414"/>
      <c r="I10" s="406"/>
      <c r="J10" s="411"/>
      <c r="K10" s="560"/>
      <c r="L10" s="560"/>
      <c r="M10" s="227"/>
      <c r="N10" s="227"/>
      <c r="O10" s="227"/>
      <c r="Q10" s="227"/>
      <c r="R10" s="227"/>
    </row>
    <row r="11" spans="1:18" x14ac:dyDescent="0.2">
      <c r="A11" s="408"/>
      <c r="B11" s="409"/>
      <c r="C11" s="1159" t="s">
        <v>977</v>
      </c>
      <c r="D11" s="1160"/>
      <c r="E11" s="381" t="s">
        <v>978</v>
      </c>
      <c r="F11" s="416">
        <v>-10329</v>
      </c>
      <c r="G11" s="410"/>
      <c r="H11" s="414"/>
      <c r="I11" s="406"/>
      <c r="J11" s="411"/>
      <c r="K11" s="940"/>
      <c r="L11" s="560"/>
      <c r="M11" s="227"/>
      <c r="N11" s="227"/>
      <c r="O11" s="227"/>
      <c r="Q11" s="227"/>
      <c r="R11" s="227"/>
    </row>
    <row r="12" spans="1:18" x14ac:dyDescent="0.2">
      <c r="A12" s="408"/>
      <c r="B12" s="409"/>
      <c r="C12" s="1159" t="s">
        <v>990</v>
      </c>
      <c r="D12" s="1160"/>
      <c r="E12" s="381" t="s">
        <v>991</v>
      </c>
      <c r="F12" s="416">
        <f>'Sched-D1'!D47+'Sched-D1'!D557+'Sched-D1'!D298</f>
        <v>-142198.58000000002</v>
      </c>
      <c r="G12" s="410"/>
      <c r="H12" s="414"/>
      <c r="I12" s="406"/>
      <c r="J12" s="411"/>
      <c r="K12" s="560"/>
      <c r="L12" s="560"/>
      <c r="M12" s="227"/>
      <c r="N12" s="227"/>
      <c r="O12" s="227"/>
      <c r="Q12" s="227"/>
      <c r="R12" s="227"/>
    </row>
    <row r="13" spans="1:18" x14ac:dyDescent="0.2">
      <c r="A13" s="408"/>
      <c r="B13" s="340"/>
      <c r="C13" s="586" t="s">
        <v>863</v>
      </c>
      <c r="D13" s="412"/>
      <c r="E13" s="417" t="s">
        <v>819</v>
      </c>
      <c r="F13" s="413">
        <f>'Sched-D2'!F28</f>
        <v>546277.79</v>
      </c>
      <c r="G13" s="410"/>
      <c r="H13" s="414"/>
      <c r="I13" s="415"/>
      <c r="J13" s="411"/>
      <c r="K13" s="560"/>
      <c r="L13" s="560"/>
      <c r="M13" s="227"/>
      <c r="N13" s="227"/>
      <c r="O13" s="227"/>
      <c r="Q13" s="227"/>
      <c r="R13" s="227"/>
    </row>
    <row r="14" spans="1:18" x14ac:dyDescent="0.2">
      <c r="A14" s="408"/>
      <c r="B14" s="340"/>
      <c r="C14" s="586" t="s">
        <v>974</v>
      </c>
      <c r="D14" s="412"/>
      <c r="E14" s="417" t="s">
        <v>972</v>
      </c>
      <c r="F14" s="413">
        <f>'Sched-D2'!F107</f>
        <v>0</v>
      </c>
      <c r="G14" s="410"/>
      <c r="H14" s="414"/>
      <c r="I14" s="415"/>
      <c r="J14" s="411"/>
      <c r="K14" s="940" t="s">
        <v>994</v>
      </c>
      <c r="L14" s="560"/>
      <c r="M14" s="227"/>
      <c r="N14" s="227"/>
      <c r="O14" s="227"/>
      <c r="Q14" s="227"/>
      <c r="R14" s="227"/>
    </row>
    <row r="15" spans="1:18" x14ac:dyDescent="0.2">
      <c r="A15" s="408"/>
      <c r="B15" s="586" t="s">
        <v>865</v>
      </c>
      <c r="D15" s="412"/>
      <c r="E15" s="939" t="s">
        <v>801</v>
      </c>
      <c r="F15" s="413">
        <f>'Sched-D2'!F45+58016+52400+70800</f>
        <v>56852183.279999994</v>
      </c>
      <c r="G15" s="410"/>
      <c r="H15" s="414"/>
      <c r="I15" s="415"/>
      <c r="J15" s="411"/>
      <c r="L15" s="560"/>
      <c r="M15" s="227"/>
      <c r="N15" s="227"/>
      <c r="O15" s="227"/>
      <c r="Q15" s="227"/>
      <c r="R15" s="227"/>
    </row>
    <row r="16" spans="1:18" x14ac:dyDescent="0.2">
      <c r="A16" s="408"/>
      <c r="B16" s="409"/>
      <c r="C16" s="1159" t="s">
        <v>771</v>
      </c>
      <c r="D16" s="1160"/>
      <c r="E16" s="381" t="s">
        <v>806</v>
      </c>
      <c r="F16" s="416">
        <f>'Sched-D2'!E41</f>
        <v>-58016</v>
      </c>
      <c r="G16" s="410"/>
      <c r="H16" s="414"/>
      <c r="I16" s="415"/>
      <c r="J16" s="411"/>
      <c r="L16" s="560"/>
      <c r="M16" s="227"/>
      <c r="N16" s="227"/>
      <c r="O16" s="227"/>
      <c r="Q16" s="227"/>
      <c r="R16" s="227"/>
    </row>
    <row r="17" spans="1:18" x14ac:dyDescent="0.2">
      <c r="A17" s="408"/>
      <c r="B17" s="409"/>
      <c r="C17" s="1159" t="s">
        <v>773</v>
      </c>
      <c r="D17" s="1160"/>
      <c r="E17" s="381" t="s">
        <v>804</v>
      </c>
      <c r="F17" s="416">
        <f>'Sched-D2'!E42</f>
        <v>-52400</v>
      </c>
      <c r="G17" s="410"/>
      <c r="H17" s="414"/>
      <c r="I17" s="415"/>
      <c r="J17" s="411"/>
      <c r="L17" s="560"/>
      <c r="M17" s="227"/>
      <c r="N17" s="227"/>
      <c r="O17" s="227"/>
      <c r="Q17" s="227"/>
      <c r="R17" s="227"/>
    </row>
    <row r="18" spans="1:18" x14ac:dyDescent="0.2">
      <c r="A18" s="408"/>
      <c r="B18" s="409"/>
      <c r="C18" s="1159" t="s">
        <v>879</v>
      </c>
      <c r="D18" s="1160"/>
      <c r="E18" s="381" t="s">
        <v>806</v>
      </c>
      <c r="F18" s="416">
        <f>'Sched-D2'!E43</f>
        <v>-70800</v>
      </c>
      <c r="G18" s="410"/>
      <c r="H18" s="414"/>
      <c r="I18" s="415"/>
      <c r="J18" s="411"/>
      <c r="L18" s="560"/>
      <c r="M18" s="227"/>
      <c r="N18" s="227"/>
      <c r="O18" s="227"/>
      <c r="Q18" s="227"/>
      <c r="R18" s="227"/>
    </row>
    <row r="19" spans="1:18" x14ac:dyDescent="0.2">
      <c r="A19" s="408"/>
      <c r="B19" s="586" t="s">
        <v>864</v>
      </c>
      <c r="D19" s="412"/>
      <c r="E19" s="939" t="s">
        <v>839</v>
      </c>
      <c r="F19" s="413">
        <f>'Sched-D2'!F62+103260.02</f>
        <v>1128729.9099999997</v>
      </c>
      <c r="G19" s="410"/>
      <c r="H19" s="414"/>
      <c r="I19" s="415"/>
      <c r="J19" s="411"/>
      <c r="K19" s="229" t="s">
        <v>852</v>
      </c>
      <c r="L19" s="560"/>
      <c r="M19" s="227"/>
      <c r="N19" s="227"/>
      <c r="O19" s="227"/>
      <c r="Q19" s="227"/>
      <c r="R19" s="227"/>
    </row>
    <row r="20" spans="1:18" x14ac:dyDescent="0.2">
      <c r="A20" s="408"/>
      <c r="B20" s="409"/>
      <c r="C20" s="1159" t="s">
        <v>880</v>
      </c>
      <c r="D20" s="1160"/>
      <c r="E20" s="381" t="s">
        <v>809</v>
      </c>
      <c r="F20" s="416">
        <f>'Sched-D2'!E59+'Sched-D2'!E60+'Sched-D2'!E61</f>
        <v>-103260.01999999999</v>
      </c>
      <c r="G20" s="410"/>
      <c r="H20" s="414"/>
      <c r="I20" s="415"/>
      <c r="J20" s="411"/>
      <c r="L20" s="560"/>
      <c r="M20" s="227"/>
      <c r="N20" s="227"/>
      <c r="O20" s="227"/>
      <c r="Q20" s="227"/>
      <c r="R20" s="227"/>
    </row>
    <row r="21" spans="1:18" x14ac:dyDescent="0.2">
      <c r="A21" s="408"/>
      <c r="B21" s="409"/>
      <c r="C21" s="1159" t="s">
        <v>881</v>
      </c>
      <c r="D21" s="1160"/>
      <c r="E21" s="381" t="s">
        <v>857</v>
      </c>
      <c r="F21" s="416">
        <v>0</v>
      </c>
      <c r="G21" s="410"/>
      <c r="H21" s="414"/>
      <c r="I21" s="415"/>
      <c r="J21" s="411"/>
      <c r="K21" s="229" t="s">
        <v>968</v>
      </c>
      <c r="L21" s="560"/>
      <c r="M21" s="227"/>
      <c r="N21" s="227"/>
      <c r="O21" s="227"/>
      <c r="Q21" s="227"/>
      <c r="R21" s="227"/>
    </row>
    <row r="22" spans="1:18" x14ac:dyDescent="0.2">
      <c r="A22" s="408"/>
      <c r="B22" s="398" t="s">
        <v>53</v>
      </c>
      <c r="D22" s="412"/>
      <c r="E22" s="381" t="s">
        <v>820</v>
      </c>
      <c r="F22" s="413">
        <f>'Sched-D2'!F72</f>
        <v>1804647.3099999996</v>
      </c>
      <c r="G22" s="410"/>
      <c r="H22" s="414"/>
      <c r="I22" s="415"/>
      <c r="J22" s="411"/>
      <c r="L22" s="560"/>
      <c r="M22" s="227"/>
      <c r="N22" s="227"/>
      <c r="O22" s="227"/>
      <c r="P22" s="227"/>
      <c r="Q22" s="227"/>
      <c r="R22" s="227"/>
    </row>
    <row r="23" spans="1:18" x14ac:dyDescent="0.2">
      <c r="A23" s="408"/>
      <c r="B23" s="409"/>
      <c r="C23" s="1159" t="s">
        <v>882</v>
      </c>
      <c r="D23" s="1160"/>
      <c r="E23" s="381" t="s">
        <v>820</v>
      </c>
      <c r="F23" s="416">
        <v>0</v>
      </c>
      <c r="G23" s="410"/>
      <c r="H23" s="414"/>
      <c r="I23" s="415"/>
      <c r="J23" s="411"/>
      <c r="K23" s="229" t="s">
        <v>969</v>
      </c>
      <c r="L23" s="560"/>
      <c r="M23" s="227"/>
      <c r="N23" s="227"/>
      <c r="O23" s="227"/>
      <c r="Q23" s="227"/>
      <c r="R23" s="227"/>
    </row>
    <row r="24" spans="1:18" x14ac:dyDescent="0.2">
      <c r="A24" s="408"/>
      <c r="B24" s="412" t="s">
        <v>467</v>
      </c>
      <c r="C24" s="558"/>
      <c r="E24" s="381" t="s">
        <v>821</v>
      </c>
      <c r="F24" s="416">
        <f>'Sched-D2'!F17</f>
        <v>0</v>
      </c>
      <c r="G24" s="410"/>
      <c r="H24" s="410"/>
      <c r="I24" s="410"/>
      <c r="J24" s="418"/>
      <c r="L24" s="560"/>
      <c r="Q24" s="227"/>
      <c r="R24" s="227"/>
    </row>
    <row r="25" spans="1:18" x14ac:dyDescent="0.2">
      <c r="A25" s="408"/>
      <c r="B25" s="586" t="s">
        <v>329</v>
      </c>
      <c r="C25" s="340"/>
      <c r="D25" s="412"/>
      <c r="E25" s="381" t="s">
        <v>822</v>
      </c>
      <c r="F25" s="413">
        <f>'Sched-D2'!F82</f>
        <v>1019728.25</v>
      </c>
      <c r="G25" s="410"/>
      <c r="H25" s="414"/>
      <c r="I25" s="415"/>
      <c r="J25" s="411"/>
      <c r="L25" s="560"/>
      <c r="M25" s="227"/>
      <c r="N25" s="227"/>
    </row>
    <row r="26" spans="1:18" x14ac:dyDescent="0.2">
      <c r="A26" s="408"/>
      <c r="B26" s="586" t="s">
        <v>874</v>
      </c>
      <c r="D26" s="412"/>
      <c r="E26" s="381" t="s">
        <v>811</v>
      </c>
      <c r="F26" s="413">
        <f>'Sched-D2'!F94+140000</f>
        <v>2664032.59</v>
      </c>
      <c r="G26" s="410"/>
      <c r="H26" s="414"/>
      <c r="I26" s="415"/>
      <c r="J26" s="411"/>
      <c r="K26" s="941" t="s">
        <v>823</v>
      </c>
      <c r="L26" s="560"/>
      <c r="M26" s="227"/>
      <c r="N26" s="227"/>
    </row>
    <row r="27" spans="1:18" x14ac:dyDescent="0.2">
      <c r="A27" s="408"/>
      <c r="B27" s="340"/>
      <c r="C27" s="948" t="s">
        <v>883</v>
      </c>
      <c r="D27" s="412"/>
      <c r="E27" s="381"/>
      <c r="F27" s="416">
        <f>'Sched-D2'!E94</f>
        <v>-140000</v>
      </c>
      <c r="G27" s="410"/>
      <c r="H27" s="414"/>
      <c r="I27" s="415"/>
      <c r="J27" s="411"/>
      <c r="L27" s="560"/>
    </row>
    <row r="28" spans="1:18" x14ac:dyDescent="0.2">
      <c r="A28" s="408"/>
      <c r="B28" s="398" t="s">
        <v>330</v>
      </c>
      <c r="C28" s="398"/>
      <c r="D28" s="412"/>
      <c r="E28" s="381" t="s">
        <v>824</v>
      </c>
      <c r="F28" s="416">
        <f>'Sched-D2'!F100</f>
        <v>580746.19999999995</v>
      </c>
      <c r="G28" s="410"/>
      <c r="H28" s="414"/>
      <c r="I28" s="415"/>
      <c r="J28" s="411"/>
      <c r="L28" s="560"/>
    </row>
    <row r="29" spans="1:18" x14ac:dyDescent="0.2">
      <c r="A29" s="408"/>
      <c r="B29" s="586" t="s">
        <v>873</v>
      </c>
      <c r="C29" s="340"/>
      <c r="D29" s="412"/>
      <c r="E29" s="381" t="s">
        <v>825</v>
      </c>
      <c r="F29" s="416">
        <f>'Sched-D2'!F113</f>
        <v>500500</v>
      </c>
      <c r="G29" s="410"/>
      <c r="H29" s="414"/>
      <c r="I29" s="415"/>
      <c r="J29" s="411"/>
      <c r="K29" s="560"/>
      <c r="L29" s="560"/>
    </row>
    <row r="30" spans="1:18" x14ac:dyDescent="0.2">
      <c r="A30" s="408"/>
      <c r="B30" s="586" t="s">
        <v>858</v>
      </c>
      <c r="C30" s="340"/>
      <c r="D30" s="412"/>
      <c r="E30" s="401"/>
      <c r="F30" s="413">
        <f>'Sched-F-G'!D40</f>
        <v>8104376.7213858003</v>
      </c>
      <c r="G30" s="410"/>
      <c r="H30" s="414"/>
      <c r="I30" s="415"/>
      <c r="J30" s="411"/>
      <c r="K30" s="560"/>
    </row>
    <row r="31" spans="1:18" x14ac:dyDescent="0.2">
      <c r="A31" s="408"/>
      <c r="B31" s="586" t="s">
        <v>866</v>
      </c>
      <c r="C31" s="955"/>
      <c r="D31" s="264"/>
      <c r="E31" s="381" t="s">
        <v>827</v>
      </c>
      <c r="F31" s="410"/>
      <c r="G31" s="410">
        <v>6964832.0999999996</v>
      </c>
      <c r="H31" s="405">
        <f>G31/$G$37</f>
        <v>2.3362985272409688E-2</v>
      </c>
      <c r="I31" s="415">
        <f>$I$4*H31</f>
        <v>289297.97737908899</v>
      </c>
      <c r="J31" s="411">
        <f>SUM(I31+G31)</f>
        <v>7254130.0773790888</v>
      </c>
    </row>
    <row r="32" spans="1:18" x14ac:dyDescent="0.2">
      <c r="A32" s="408"/>
      <c r="B32" s="586" t="s">
        <v>867</v>
      </c>
      <c r="C32" s="340"/>
      <c r="D32" s="264"/>
      <c r="E32" s="381" t="s">
        <v>828</v>
      </c>
      <c r="F32" s="419"/>
      <c r="G32" s="410">
        <v>950006.16</v>
      </c>
      <c r="H32" s="405">
        <f t="shared" ref="H32:H36" si="0">G32/$G$37</f>
        <v>3.1867214609205704E-3</v>
      </c>
      <c r="I32" s="415">
        <f t="shared" ref="I32:I36" si="1">$I$4*H32</f>
        <v>39460.371282414009</v>
      </c>
      <c r="J32" s="411">
        <f t="shared" ref="J32:J36" si="2">SUM(I32+G32)</f>
        <v>989466.53128241398</v>
      </c>
      <c r="K32" s="560"/>
    </row>
    <row r="33" spans="1:12" x14ac:dyDescent="0.2">
      <c r="A33" s="408"/>
      <c r="B33" s="586" t="s">
        <v>868</v>
      </c>
      <c r="C33" s="955"/>
      <c r="D33" s="264"/>
      <c r="E33" s="381" t="s">
        <v>829</v>
      </c>
      <c r="F33" s="419"/>
      <c r="G33" s="410">
        <v>16452942.67</v>
      </c>
      <c r="H33" s="405">
        <f t="shared" si="0"/>
        <v>5.5190111084947896E-2</v>
      </c>
      <c r="I33" s="415">
        <f t="shared" si="1"/>
        <v>683405.28070520295</v>
      </c>
      <c r="J33" s="411">
        <f t="shared" si="2"/>
        <v>17136347.950705204</v>
      </c>
      <c r="K33" s="940" t="s">
        <v>966</v>
      </c>
      <c r="L33" s="229" t="s">
        <v>826</v>
      </c>
    </row>
    <row r="34" spans="1:12" x14ac:dyDescent="0.2">
      <c r="A34" s="408"/>
      <c r="B34" s="586" t="s">
        <v>869</v>
      </c>
      <c r="C34" s="340"/>
      <c r="D34" s="264"/>
      <c r="E34" s="381" t="s">
        <v>830</v>
      </c>
      <c r="F34" s="410"/>
      <c r="G34" s="410">
        <v>238949.19</v>
      </c>
      <c r="H34" s="405">
        <f t="shared" si="0"/>
        <v>8.0153639408252566E-4</v>
      </c>
      <c r="I34" s="415">
        <f t="shared" si="1"/>
        <v>9925.2238059509928</v>
      </c>
      <c r="J34" s="411">
        <f t="shared" si="2"/>
        <v>248874.41380595099</v>
      </c>
    </row>
    <row r="35" spans="1:12" x14ac:dyDescent="0.2">
      <c r="A35" s="408"/>
      <c r="B35" s="586" t="s">
        <v>145</v>
      </c>
      <c r="C35" s="340"/>
      <c r="D35" s="264"/>
      <c r="E35" s="381" t="s">
        <v>831</v>
      </c>
      <c r="F35" s="410"/>
      <c r="G35" s="410">
        <v>2890920.91</v>
      </c>
      <c r="H35" s="405">
        <f t="shared" si="0"/>
        <v>9.6973683894018385E-3</v>
      </c>
      <c r="I35" s="415">
        <f t="shared" si="1"/>
        <v>120080.07659307617</v>
      </c>
      <c r="J35" s="411">
        <f>SUM(I35+G35)</f>
        <v>3011000.9865930765</v>
      </c>
      <c r="K35" s="940" t="s">
        <v>966</v>
      </c>
      <c r="L35" s="229" t="s">
        <v>853</v>
      </c>
    </row>
    <row r="36" spans="1:12" ht="13.5" thickBot="1" x14ac:dyDescent="0.25">
      <c r="A36" s="408"/>
      <c r="B36" s="586" t="s">
        <v>281</v>
      </c>
      <c r="D36" s="264"/>
      <c r="E36" s="381" t="s">
        <v>832</v>
      </c>
      <c r="F36" s="410"/>
      <c r="G36" s="410">
        <v>19916195.690000001</v>
      </c>
      <c r="H36" s="405">
        <f t="shared" si="0"/>
        <v>6.6807322833798005E-2</v>
      </c>
      <c r="I36" s="415">
        <f t="shared" si="1"/>
        <v>827258.29531527834</v>
      </c>
      <c r="J36" s="411">
        <f t="shared" si="2"/>
        <v>20743453.985315278</v>
      </c>
    </row>
    <row r="37" spans="1:12" s="229" customFormat="1" ht="16.5" customHeight="1" thickBot="1" x14ac:dyDescent="0.25">
      <c r="A37" s="1161" t="s">
        <v>870</v>
      </c>
      <c r="B37" s="1162"/>
      <c r="C37" s="1162"/>
      <c r="D37" s="446"/>
      <c r="E37" s="447"/>
      <c r="F37" s="448"/>
      <c r="G37" s="448">
        <f>SUM(G3:G36)</f>
        <v>298113961.84138578</v>
      </c>
      <c r="H37" s="449">
        <f>SUM(H3:H36)</f>
        <v>0.99999999999999978</v>
      </c>
      <c r="I37" s="450">
        <f>SUM(I6:I36)</f>
        <v>12382748.779999997</v>
      </c>
      <c r="J37" s="688">
        <f>SUM(J7:J36)</f>
        <v>310496710.62138575</v>
      </c>
      <c r="K37" s="451"/>
      <c r="L37" s="561"/>
    </row>
    <row r="38" spans="1:12" ht="16.5" thickTop="1" x14ac:dyDescent="0.25">
      <c r="A38" s="408"/>
      <c r="B38" s="340"/>
      <c r="C38" s="236" t="s">
        <v>875</v>
      </c>
      <c r="D38" s="412"/>
      <c r="E38" s="401"/>
      <c r="F38" s="265"/>
      <c r="G38" s="381"/>
      <c r="H38" s="405"/>
      <c r="I38" s="265"/>
      <c r="J38" s="418"/>
    </row>
    <row r="39" spans="1:12" x14ac:dyDescent="0.2">
      <c r="A39" s="408"/>
      <c r="B39" s="340"/>
      <c r="C39" s="586" t="s">
        <v>876</v>
      </c>
      <c r="D39" s="412"/>
      <c r="E39" s="420"/>
      <c r="F39" s="421">
        <v>310417479.38999999</v>
      </c>
      <c r="G39" s="410"/>
      <c r="H39" s="410"/>
      <c r="I39" s="265"/>
      <c r="J39" s="418"/>
      <c r="K39" s="562"/>
    </row>
    <row r="40" spans="1:12" x14ac:dyDescent="0.2">
      <c r="A40" s="408"/>
      <c r="B40" s="340"/>
      <c r="C40" s="586" t="s">
        <v>854</v>
      </c>
      <c r="D40" s="412"/>
      <c r="E40" s="381"/>
      <c r="F40" s="410">
        <f>F30</f>
        <v>8104376.7213858003</v>
      </c>
      <c r="G40" s="410"/>
      <c r="H40" s="410"/>
      <c r="I40" s="265"/>
      <c r="J40" s="418"/>
    </row>
    <row r="41" spans="1:12" x14ac:dyDescent="0.2">
      <c r="A41" s="408"/>
      <c r="B41" s="340"/>
      <c r="C41" s="340"/>
      <c r="D41" s="264" t="s">
        <v>871</v>
      </c>
      <c r="E41" s="381" t="s">
        <v>833</v>
      </c>
      <c r="F41" s="416">
        <v>0</v>
      </c>
      <c r="G41" s="410"/>
      <c r="H41" s="410"/>
      <c r="I41" s="410"/>
      <c r="J41" s="418"/>
      <c r="K41" s="229" t="s">
        <v>965</v>
      </c>
    </row>
    <row r="42" spans="1:12" x14ac:dyDescent="0.2">
      <c r="A42" s="408"/>
      <c r="B42" s="340"/>
      <c r="C42" s="586" t="s">
        <v>160</v>
      </c>
      <c r="D42" s="949" t="s">
        <v>633</v>
      </c>
      <c r="E42" s="381" t="s">
        <v>811</v>
      </c>
      <c r="F42" s="416">
        <f>F27</f>
        <v>-140000</v>
      </c>
      <c r="G42" s="410"/>
      <c r="H42" s="410"/>
      <c r="I42" s="410"/>
      <c r="J42" s="418"/>
    </row>
    <row r="43" spans="1:12" x14ac:dyDescent="0.2">
      <c r="A43" s="408"/>
      <c r="B43" s="340"/>
      <c r="C43" s="398"/>
      <c r="D43" s="949" t="s">
        <v>976</v>
      </c>
      <c r="E43" s="381" t="str">
        <f>E12</f>
        <v>JAMC /JLCC / JKCC / JYKC</v>
      </c>
      <c r="F43" s="416">
        <f>F12</f>
        <v>-142198.58000000002</v>
      </c>
      <c r="G43" s="410"/>
      <c r="H43" s="410"/>
      <c r="I43" s="410"/>
      <c r="J43" s="418"/>
    </row>
    <row r="44" spans="1:12" x14ac:dyDescent="0.2">
      <c r="A44" s="408"/>
      <c r="B44" s="340"/>
      <c r="C44" s="398"/>
      <c r="D44" s="949" t="s">
        <v>855</v>
      </c>
      <c r="E44" s="381" t="s">
        <v>814</v>
      </c>
      <c r="F44" s="416">
        <f>F9</f>
        <v>-368402.09</v>
      </c>
      <c r="G44" s="410"/>
      <c r="H44" s="410"/>
      <c r="I44" s="410"/>
      <c r="J44" s="418"/>
    </row>
    <row r="45" spans="1:12" x14ac:dyDescent="0.2">
      <c r="A45" s="408"/>
      <c r="B45" s="340"/>
      <c r="C45" s="398"/>
      <c r="D45" s="949" t="s">
        <v>970</v>
      </c>
      <c r="E45" s="381" t="s">
        <v>817</v>
      </c>
      <c r="F45" s="416">
        <f>F10</f>
        <v>-29795.4</v>
      </c>
      <c r="G45" s="410"/>
      <c r="H45" s="410"/>
      <c r="I45" s="410"/>
      <c r="J45" s="418"/>
    </row>
    <row r="46" spans="1:12" x14ac:dyDescent="0.2">
      <c r="A46" s="408"/>
      <c r="B46" s="340"/>
      <c r="C46" s="398"/>
      <c r="D46" s="949" t="s">
        <v>979</v>
      </c>
      <c r="E46" s="381" t="s">
        <v>978</v>
      </c>
      <c r="F46" s="416">
        <f>F11</f>
        <v>-10329</v>
      </c>
      <c r="G46" s="410"/>
      <c r="H46" s="410"/>
      <c r="I46" s="410"/>
      <c r="J46" s="418"/>
    </row>
    <row r="47" spans="1:12" x14ac:dyDescent="0.2">
      <c r="A47" s="408"/>
      <c r="B47" s="340"/>
      <c r="C47" s="340"/>
      <c r="D47" s="949" t="s">
        <v>834</v>
      </c>
      <c r="E47" s="381" t="s">
        <v>791</v>
      </c>
      <c r="F47" s="416">
        <v>0</v>
      </c>
      <c r="G47" s="410"/>
      <c r="H47" s="410"/>
      <c r="I47" s="410"/>
      <c r="J47" s="418"/>
      <c r="K47" s="560"/>
    </row>
    <row r="48" spans="1:12" x14ac:dyDescent="0.2">
      <c r="A48" s="408"/>
      <c r="B48" s="340"/>
      <c r="C48" s="340"/>
      <c r="D48" s="949" t="s">
        <v>835</v>
      </c>
      <c r="E48" s="381" t="s">
        <v>831</v>
      </c>
      <c r="F48" s="416">
        <v>0</v>
      </c>
      <c r="G48" s="410"/>
      <c r="H48" s="410"/>
      <c r="I48" s="410"/>
      <c r="J48" s="418"/>
      <c r="K48" s="560"/>
    </row>
    <row r="49" spans="1:11" x14ac:dyDescent="0.2">
      <c r="A49" s="408"/>
      <c r="B49" s="340"/>
      <c r="C49" s="340"/>
      <c r="D49" s="949" t="s">
        <v>856</v>
      </c>
      <c r="E49" s="381" t="s">
        <v>857</v>
      </c>
      <c r="F49" s="416">
        <v>0</v>
      </c>
      <c r="G49" s="410"/>
      <c r="H49" s="410"/>
      <c r="I49" s="410"/>
      <c r="J49" s="418"/>
      <c r="K49" s="560"/>
    </row>
    <row r="50" spans="1:11" x14ac:dyDescent="0.2">
      <c r="A50" s="408"/>
      <c r="B50" s="340"/>
      <c r="C50" s="340"/>
      <c r="D50" s="949" t="s">
        <v>836</v>
      </c>
      <c r="E50" s="381" t="s">
        <v>806</v>
      </c>
      <c r="F50" s="416">
        <f>F16</f>
        <v>-58016</v>
      </c>
      <c r="G50" s="410"/>
      <c r="H50" s="410"/>
      <c r="I50" s="410"/>
      <c r="J50" s="418"/>
    </row>
    <row r="51" spans="1:11" x14ac:dyDescent="0.2">
      <c r="A51" s="408"/>
      <c r="B51" s="340"/>
      <c r="C51" s="340"/>
      <c r="D51" s="949" t="s">
        <v>859</v>
      </c>
      <c r="E51" s="381" t="s">
        <v>804</v>
      </c>
      <c r="F51" s="416">
        <f>F17</f>
        <v>-52400</v>
      </c>
      <c r="G51" s="410"/>
      <c r="H51" s="410"/>
      <c r="I51" s="410"/>
      <c r="J51" s="418"/>
    </row>
    <row r="52" spans="1:11" x14ac:dyDescent="0.2">
      <c r="A52" s="408"/>
      <c r="B52" s="340"/>
      <c r="C52" s="340"/>
      <c r="D52" s="949" t="s">
        <v>837</v>
      </c>
      <c r="E52" s="381" t="s">
        <v>806</v>
      </c>
      <c r="F52" s="416">
        <f>F18</f>
        <v>-70800</v>
      </c>
      <c r="G52" s="410"/>
      <c r="H52" s="410"/>
      <c r="I52" s="410"/>
      <c r="J52" s="418"/>
    </row>
    <row r="53" spans="1:11" x14ac:dyDescent="0.2">
      <c r="A53" s="408"/>
      <c r="B53" s="340"/>
      <c r="C53" s="340"/>
      <c r="D53" s="949" t="s">
        <v>838</v>
      </c>
      <c r="E53" s="381" t="s">
        <v>809</v>
      </c>
      <c r="F53" s="416">
        <f>F20</f>
        <v>-103260.01999999999</v>
      </c>
      <c r="G53" s="410"/>
      <c r="H53" s="410"/>
      <c r="I53" s="410"/>
      <c r="J53" s="418"/>
      <c r="K53" s="560"/>
    </row>
    <row r="54" spans="1:11" x14ac:dyDescent="0.2">
      <c r="A54" s="408"/>
      <c r="B54" s="340"/>
      <c r="C54" s="340"/>
      <c r="D54" s="949" t="s">
        <v>993</v>
      </c>
      <c r="E54" s="381" t="s">
        <v>56</v>
      </c>
      <c r="F54" s="416">
        <v>-4268785.66</v>
      </c>
      <c r="G54" s="410"/>
      <c r="H54" s="410"/>
      <c r="I54" s="410"/>
      <c r="J54" s="418"/>
      <c r="K54" s="560"/>
    </row>
    <row r="55" spans="1:11" x14ac:dyDescent="0.2">
      <c r="A55" s="408"/>
      <c r="B55" s="340"/>
      <c r="C55" s="340"/>
      <c r="D55" s="949" t="s">
        <v>995</v>
      </c>
      <c r="E55" s="381" t="s">
        <v>972</v>
      </c>
      <c r="F55" s="416">
        <v>-2781158.74</v>
      </c>
      <c r="G55" s="410"/>
      <c r="H55" s="410"/>
      <c r="I55" s="410"/>
      <c r="J55" s="418"/>
      <c r="K55" s="560"/>
    </row>
    <row r="56" spans="1:11" ht="15.75" customHeight="1" thickBot="1" x14ac:dyDescent="0.25">
      <c r="A56" s="950" t="s">
        <v>870</v>
      </c>
      <c r="B56" s="445"/>
      <c r="C56" s="442" t="s">
        <v>0</v>
      </c>
      <c r="D56" s="443"/>
      <c r="E56" s="444"/>
      <c r="F56" s="689">
        <f>SUM(F39:F55)</f>
        <v>310496710.62138581</v>
      </c>
      <c r="G56" s="422"/>
      <c r="H56" s="422"/>
      <c r="I56" s="422"/>
      <c r="J56" s="423"/>
      <c r="K56" s="560"/>
    </row>
    <row r="57" spans="1:11" ht="13.5" thickBot="1" x14ac:dyDescent="0.25">
      <c r="A57" s="216"/>
      <c r="B57" s="216"/>
      <c r="C57" s="424"/>
      <c r="E57" s="424"/>
      <c r="G57" s="425"/>
      <c r="H57" s="426"/>
      <c r="I57" s="426"/>
      <c r="J57" s="427"/>
      <c r="K57" s="560"/>
    </row>
    <row r="58" spans="1:11" x14ac:dyDescent="0.2">
      <c r="F58" s="952">
        <f>F56-J37</f>
        <v>0</v>
      </c>
      <c r="G58" s="953" t="s">
        <v>785</v>
      </c>
      <c r="K58" s="560"/>
    </row>
    <row r="59" spans="1:11" x14ac:dyDescent="0.2">
      <c r="A59" s="341" t="s">
        <v>964</v>
      </c>
      <c r="K59" s="560"/>
    </row>
    <row r="60" spans="1:11" x14ac:dyDescent="0.2">
      <c r="K60" s="560"/>
    </row>
    <row r="61" spans="1:11" x14ac:dyDescent="0.2">
      <c r="F61" s="338"/>
      <c r="K61" s="560"/>
    </row>
    <row r="62" spans="1:11" x14ac:dyDescent="0.2">
      <c r="F62" s="428"/>
      <c r="K62" s="560"/>
    </row>
    <row r="63" spans="1:11" x14ac:dyDescent="0.2">
      <c r="F63" s="428"/>
      <c r="K63" s="560"/>
    </row>
    <row r="64" spans="1:11" x14ac:dyDescent="0.2">
      <c r="F64" s="428"/>
      <c r="K64" s="560"/>
    </row>
    <row r="65" spans="6:11" x14ac:dyDescent="0.2">
      <c r="F65" s="428"/>
      <c r="G65" s="430"/>
      <c r="J65" s="560"/>
      <c r="K65" s="560"/>
    </row>
    <row r="66" spans="6:11" x14ac:dyDescent="0.2">
      <c r="F66" s="428"/>
    </row>
    <row r="67" spans="6:11" x14ac:dyDescent="0.2">
      <c r="F67" s="429"/>
    </row>
    <row r="68" spans="6:11" x14ac:dyDescent="0.2">
      <c r="F68" s="429"/>
    </row>
    <row r="69" spans="6:11" x14ac:dyDescent="0.2">
      <c r="F69" s="429"/>
    </row>
    <row r="70" spans="6:11" x14ac:dyDescent="0.2">
      <c r="F70" s="429"/>
    </row>
    <row r="71" spans="6:11" x14ac:dyDescent="0.2">
      <c r="F71" s="429"/>
    </row>
    <row r="72" spans="6:11" x14ac:dyDescent="0.2">
      <c r="F72" s="429"/>
    </row>
    <row r="73" spans="6:11" x14ac:dyDescent="0.2">
      <c r="F73" s="429"/>
    </row>
    <row r="74" spans="6:11" x14ac:dyDescent="0.2">
      <c r="F74" s="429"/>
    </row>
    <row r="75" spans="6:11" x14ac:dyDescent="0.2">
      <c r="F75" s="429"/>
    </row>
    <row r="76" spans="6:11" x14ac:dyDescent="0.2">
      <c r="F76" s="429"/>
      <c r="G76" s="430"/>
    </row>
  </sheetData>
  <mergeCells count="14">
    <mergeCell ref="A1:J1"/>
    <mergeCell ref="C20:D20"/>
    <mergeCell ref="A37:C37"/>
    <mergeCell ref="F2:G2"/>
    <mergeCell ref="A2:C2"/>
    <mergeCell ref="C12:D12"/>
    <mergeCell ref="C18:D18"/>
    <mergeCell ref="C16:D16"/>
    <mergeCell ref="C9:D9"/>
    <mergeCell ref="C11:D11"/>
    <mergeCell ref="C23:D23"/>
    <mergeCell ref="C17:D17"/>
    <mergeCell ref="C21:D21"/>
    <mergeCell ref="C10:D10"/>
  </mergeCells>
  <phoneticPr fontId="21" type="noConversion"/>
  <printOptions horizontalCentered="1"/>
  <pageMargins left="0" right="0" top="1.25" bottom="1" header="0.33" footer="0.5"/>
  <pageSetup orientation="landscape" r:id="rId1"/>
  <headerFooter alignWithMargins="0">
    <oddHeader>&amp;C&amp;"Arial,Bold"&amp;12DEPARTMENT OF CORRECTIONS
 COST OF CARE Year 2018
(Based on Fiscal Year 2017 Actuals)</oddHeader>
    <oddFooter>&amp;L&amp;8&amp;F &amp;A&amp;C&amp;8&amp;P of &amp;N&amp;R&amp;8&amp;D</oddFooter>
  </headerFooter>
  <rowBreaks count="1" manualBreakCount="1">
    <brk id="3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1:J57"/>
  <sheetViews>
    <sheetView showGridLines="0" topLeftCell="A34" workbookViewId="0">
      <selection sqref="A1:G1"/>
    </sheetView>
  </sheetViews>
  <sheetFormatPr defaultColWidth="9.140625" defaultRowHeight="12.75" x14ac:dyDescent="0.2"/>
  <cols>
    <col min="1" max="1" width="4.28515625" style="180" customWidth="1"/>
    <col min="2" max="2" width="26.7109375" style="180" customWidth="1"/>
    <col min="3" max="3" width="16.140625" style="180" customWidth="1"/>
    <col min="4" max="4" width="20.42578125" style="180" customWidth="1"/>
    <col min="5" max="5" width="18.28515625" style="180" bestFit="1" customWidth="1"/>
    <col min="6" max="6" width="19.85546875" style="180" bestFit="1" customWidth="1"/>
    <col min="7" max="7" width="14.140625" style="180" bestFit="1" customWidth="1"/>
    <col min="8" max="8" width="13.7109375" style="563" customWidth="1"/>
    <col min="9" max="9" width="10.5703125" style="180" bestFit="1" customWidth="1"/>
    <col min="10" max="10" width="13.85546875" style="180" customWidth="1"/>
    <col min="11" max="11" width="12.42578125" style="180" bestFit="1" customWidth="1"/>
    <col min="12" max="12" width="10.28515625" style="180" bestFit="1" customWidth="1"/>
    <col min="13" max="16384" width="9.140625" style="180"/>
  </cols>
  <sheetData>
    <row r="1" spans="1:9" ht="30" customHeight="1" x14ac:dyDescent="0.2">
      <c r="A1" s="1166" t="s">
        <v>166</v>
      </c>
      <c r="B1" s="1166"/>
      <c r="C1" s="1166"/>
      <c r="D1" s="1166"/>
      <c r="E1" s="1166"/>
      <c r="F1" s="1166"/>
      <c r="G1" s="1166"/>
      <c r="H1" s="570"/>
    </row>
    <row r="2" spans="1:9" ht="28.5" customHeight="1" thickBot="1" x14ac:dyDescent="0.25">
      <c r="A2" s="453" t="s">
        <v>155</v>
      </c>
      <c r="B2" s="453"/>
      <c r="C2" s="453"/>
      <c r="E2" s="1051">
        <f>'Qtrly''s-Cntsht Book'!Y20</f>
        <v>1604160.1083333334</v>
      </c>
      <c r="F2" s="569"/>
    </row>
    <row r="3" spans="1:9" s="380" customFormat="1" ht="19.5" customHeight="1" thickBot="1" x14ac:dyDescent="0.25">
      <c r="A3" s="1169" t="s">
        <v>159</v>
      </c>
      <c r="B3" s="1170"/>
      <c r="C3" s="1171" t="s">
        <v>162</v>
      </c>
      <c r="D3" s="1171"/>
      <c r="E3" s="471" t="s">
        <v>165</v>
      </c>
      <c r="F3" s="471" t="s">
        <v>164</v>
      </c>
      <c r="G3" s="472" t="s">
        <v>168</v>
      </c>
      <c r="H3" s="564"/>
      <c r="I3" s="473"/>
    </row>
    <row r="4" spans="1:9" x14ac:dyDescent="0.2">
      <c r="A4" s="548" t="s">
        <v>105</v>
      </c>
      <c r="B4" s="545"/>
      <c r="C4" s="549"/>
      <c r="D4" s="550">
        <f>SUM(C5:C7)</f>
        <v>178474094.16</v>
      </c>
      <c r="E4" s="546"/>
      <c r="F4" s="572">
        <f>SUM(D4,E6)</f>
        <v>177963493.49000001</v>
      </c>
      <c r="G4" s="547">
        <f>F4/$E$2</f>
        <v>110.93873520823173</v>
      </c>
      <c r="H4" s="565"/>
    </row>
    <row r="5" spans="1:9" x14ac:dyDescent="0.2">
      <c r="A5" s="408"/>
      <c r="B5" s="264" t="s">
        <v>56</v>
      </c>
      <c r="C5" s="454">
        <f>'COST ALLOCATION'!F8</f>
        <v>178474094.16</v>
      </c>
      <c r="D5" s="454"/>
      <c r="F5" s="573"/>
      <c r="G5" s="455"/>
      <c r="H5" s="565"/>
    </row>
    <row r="6" spans="1:9" x14ac:dyDescent="0.2">
      <c r="A6" s="408"/>
      <c r="B6" s="456" t="s">
        <v>416</v>
      </c>
      <c r="C6" s="454"/>
      <c r="D6" s="454"/>
      <c r="E6" s="521">
        <f>'COST ALLOCATION'!F12+'COST ALLOCATION'!F9</f>
        <v>-510600.67000000004</v>
      </c>
      <c r="F6" s="573"/>
      <c r="G6" s="455"/>
      <c r="H6" s="565"/>
    </row>
    <row r="7" spans="1:9" x14ac:dyDescent="0.2">
      <c r="A7" s="408"/>
      <c r="B7" s="264" t="s">
        <v>243</v>
      </c>
      <c r="C7" s="382">
        <v>0</v>
      </c>
      <c r="D7" s="454"/>
      <c r="E7" s="454"/>
      <c r="F7" s="573"/>
      <c r="G7" s="455"/>
      <c r="H7" s="565"/>
    </row>
    <row r="8" spans="1:9" x14ac:dyDescent="0.2">
      <c r="A8" s="548" t="s">
        <v>845</v>
      </c>
      <c r="B8" s="545"/>
      <c r="C8" s="454">
        <f>'COST ALLOCATION'!F19</f>
        <v>1128729.9099999997</v>
      </c>
      <c r="D8" s="546">
        <f>SUM(C8:C8)</f>
        <v>1128729.9099999997</v>
      </c>
      <c r="E8" s="546"/>
      <c r="F8" s="572">
        <f>SUM(D8,E9)</f>
        <v>1025469.8899999997</v>
      </c>
      <c r="G8" s="547">
        <f>F8/$E$2</f>
        <v>0.63925657088270771</v>
      </c>
      <c r="H8" s="565"/>
    </row>
    <row r="9" spans="1:9" x14ac:dyDescent="0.2">
      <c r="A9" s="408"/>
      <c r="B9" s="264" t="s">
        <v>846</v>
      </c>
      <c r="D9" s="454"/>
      <c r="E9" s="521">
        <f>'COST ALLOCATION'!F20</f>
        <v>-103260.01999999999</v>
      </c>
      <c r="F9" s="574"/>
      <c r="G9" s="458"/>
      <c r="H9" s="565"/>
    </row>
    <row r="10" spans="1:9" x14ac:dyDescent="0.2">
      <c r="A10" s="586" t="s">
        <v>844</v>
      </c>
      <c r="B10" s="545"/>
      <c r="C10" s="454">
        <f>D10</f>
        <v>56852183.279999994</v>
      </c>
      <c r="D10" s="546">
        <f>'COST ALLOCATION'!F15</f>
        <v>56852183.279999994</v>
      </c>
      <c r="E10" s="521">
        <f>'COST ALLOCATION'!F16+'COST ALLOCATION'!F17+'COST ALLOCATION'!F18</f>
        <v>-181216</v>
      </c>
      <c r="F10" s="572">
        <f>SUM(D10:E10)</f>
        <v>56670967.279999994</v>
      </c>
      <c r="G10" s="547">
        <f>F10/$E$2</f>
        <v>35.327500656327352</v>
      </c>
      <c r="H10" s="565"/>
    </row>
    <row r="11" spans="1:9" x14ac:dyDescent="0.2">
      <c r="A11" s="577" t="s">
        <v>161</v>
      </c>
      <c r="B11" s="545"/>
      <c r="C11" s="546"/>
      <c r="D11" s="546">
        <f>SUM(C12)</f>
        <v>10413321.554918986</v>
      </c>
      <c r="E11" s="546">
        <v>0</v>
      </c>
      <c r="F11" s="572">
        <f>SUM(D11:E11)</f>
        <v>10413321.554918986</v>
      </c>
      <c r="G11" s="547">
        <f>F11/$E$2</f>
        <v>6.4914477681021907</v>
      </c>
      <c r="H11" s="565"/>
    </row>
    <row r="12" spans="1:9" x14ac:dyDescent="0.2">
      <c r="A12" s="558"/>
      <c r="B12" s="264" t="s">
        <v>245</v>
      </c>
      <c r="C12" s="454">
        <f>'COST ALLOCATION'!I6</f>
        <v>10413321.554918986</v>
      </c>
      <c r="D12" s="263"/>
      <c r="E12" s="454"/>
      <c r="F12" s="574"/>
      <c r="G12" s="458"/>
      <c r="H12" s="565"/>
    </row>
    <row r="13" spans="1:9" x14ac:dyDescent="0.2">
      <c r="A13" s="577" t="s">
        <v>248</v>
      </c>
      <c r="B13" s="545"/>
      <c r="C13" s="546"/>
      <c r="D13" s="546">
        <f>SUM(C14:C23)+E16</f>
        <v>14719808.8613858</v>
      </c>
      <c r="E13" s="546"/>
      <c r="F13" s="572">
        <f>SUM(D13+E21+E23)</f>
        <v>14579808.8613858</v>
      </c>
      <c r="G13" s="547">
        <f>F13/$E$2</f>
        <v>9.0887491751267362</v>
      </c>
      <c r="H13" s="565"/>
    </row>
    <row r="14" spans="1:9" x14ac:dyDescent="0.2">
      <c r="A14" s="558"/>
      <c r="B14" s="264" t="s">
        <v>53</v>
      </c>
      <c r="C14" s="454">
        <f>'COST ALLOCATION'!F22</f>
        <v>1804647.3099999996</v>
      </c>
      <c r="D14" s="454"/>
      <c r="E14" s="454"/>
      <c r="F14" s="457"/>
      <c r="G14" s="458"/>
      <c r="H14" s="565"/>
    </row>
    <row r="15" spans="1:9" x14ac:dyDescent="0.2">
      <c r="A15" s="263"/>
      <c r="B15" s="263" t="s">
        <v>339</v>
      </c>
      <c r="C15" s="454">
        <f>'COST ALLOCATION'!F24</f>
        <v>0</v>
      </c>
      <c r="D15" s="454"/>
      <c r="E15" s="454"/>
      <c r="F15" s="457"/>
      <c r="G15" s="458"/>
      <c r="H15" s="565"/>
    </row>
    <row r="16" spans="1:9" x14ac:dyDescent="0.2">
      <c r="A16" s="263"/>
      <c r="B16" s="263" t="s">
        <v>106</v>
      </c>
      <c r="C16" s="454">
        <f>'COST ALLOCATION'!F30</f>
        <v>8104376.7213858003</v>
      </c>
      <c r="D16" s="454"/>
      <c r="E16" s="454"/>
      <c r="F16" s="457"/>
      <c r="G16" s="458"/>
      <c r="H16" s="565"/>
    </row>
    <row r="17" spans="1:10" x14ac:dyDescent="0.2">
      <c r="A17" s="263"/>
      <c r="B17" s="263" t="s">
        <v>163</v>
      </c>
      <c r="C17" s="454">
        <f>'COST ALLOCATION'!F13</f>
        <v>546277.79</v>
      </c>
      <c r="D17" s="454"/>
      <c r="E17" s="454"/>
      <c r="F17" s="457"/>
      <c r="G17" s="458"/>
      <c r="H17" s="566"/>
    </row>
    <row r="18" spans="1:10" x14ac:dyDescent="0.2">
      <c r="A18" s="263"/>
      <c r="B18" s="263" t="s">
        <v>980</v>
      </c>
      <c r="C18" s="454">
        <f>'COST ALLOCATION'!F14</f>
        <v>0</v>
      </c>
      <c r="D18" s="454"/>
      <c r="E18" s="454"/>
      <c r="F18" s="457"/>
      <c r="G18" s="458"/>
      <c r="H18" s="566"/>
    </row>
    <row r="19" spans="1:10" x14ac:dyDescent="0.2">
      <c r="A19" s="263"/>
      <c r="B19" s="263" t="s">
        <v>329</v>
      </c>
      <c r="C19" s="454">
        <f>'COST ALLOCATION'!F25</f>
        <v>1019728.25</v>
      </c>
      <c r="D19" s="454"/>
      <c r="E19" s="454"/>
      <c r="F19" s="457"/>
      <c r="G19" s="458"/>
      <c r="H19" s="565"/>
    </row>
    <row r="20" spans="1:10" x14ac:dyDescent="0.2">
      <c r="A20" s="263"/>
      <c r="B20" s="263" t="s">
        <v>55</v>
      </c>
      <c r="C20" s="454">
        <f>'COST ALLOCATION'!F26</f>
        <v>2664032.59</v>
      </c>
      <c r="D20" s="454"/>
      <c r="E20" s="454"/>
      <c r="F20" s="457"/>
      <c r="G20" s="458"/>
      <c r="H20" s="565"/>
    </row>
    <row r="21" spans="1:10" x14ac:dyDescent="0.2">
      <c r="A21" s="263"/>
      <c r="B21" s="263" t="s">
        <v>247</v>
      </c>
      <c r="C21" s="454"/>
      <c r="D21" s="454"/>
      <c r="E21" s="521">
        <f>'COST ALLOCATION'!F27</f>
        <v>-140000</v>
      </c>
      <c r="F21" s="457"/>
      <c r="G21" s="458"/>
      <c r="H21" s="565"/>
    </row>
    <row r="22" spans="1:10" x14ac:dyDescent="0.2">
      <c r="A22" s="263"/>
      <c r="B22" s="263" t="s">
        <v>330</v>
      </c>
      <c r="C22" s="454">
        <f>'COST ALLOCATION'!F28</f>
        <v>580746.19999999995</v>
      </c>
      <c r="D22" s="454"/>
      <c r="E22" s="454"/>
      <c r="F22" s="457"/>
      <c r="G22" s="458"/>
      <c r="H22" s="565"/>
    </row>
    <row r="23" spans="1:10" ht="13.5" thickBot="1" x14ac:dyDescent="0.25">
      <c r="A23" s="559"/>
      <c r="B23" s="544"/>
      <c r="C23" s="551"/>
      <c r="D23" s="459"/>
      <c r="E23" s="521"/>
      <c r="F23" s="460"/>
      <c r="G23" s="552"/>
      <c r="H23" s="565"/>
    </row>
    <row r="24" spans="1:10" ht="16.5" thickBot="1" x14ac:dyDescent="0.3">
      <c r="A24" s="576" t="s">
        <v>168</v>
      </c>
      <c r="B24" s="553"/>
      <c r="C24" s="554"/>
      <c r="D24" s="555">
        <f>SUM(D4:D17)</f>
        <v>261588137.76630476</v>
      </c>
      <c r="E24" s="556">
        <f>SUM(E4:E23)</f>
        <v>-935076.69000000006</v>
      </c>
      <c r="F24" s="557">
        <f>SUM(F4:F22)</f>
        <v>260653061.07630476</v>
      </c>
      <c r="G24" s="1079">
        <f>SUM(G4:G22)</f>
        <v>162.48568937867071</v>
      </c>
    </row>
    <row r="25" spans="1:10" ht="27.75" customHeight="1" thickBot="1" x14ac:dyDescent="0.25">
      <c r="A25" s="535" t="s">
        <v>223</v>
      </c>
      <c r="B25" s="383"/>
      <c r="D25" s="227"/>
      <c r="E25" s="227"/>
      <c r="F25" s="227"/>
      <c r="G25" s="227"/>
    </row>
    <row r="26" spans="1:10" s="212" customFormat="1" ht="53.25" customHeight="1" thickTop="1" thickBot="1" x14ac:dyDescent="0.3">
      <c r="A26" s="1172" t="s">
        <v>56</v>
      </c>
      <c r="B26" s="1173"/>
      <c r="C26" s="333" t="s">
        <v>52</v>
      </c>
      <c r="D26" s="333" t="s">
        <v>107</v>
      </c>
      <c r="E26" s="333" t="s">
        <v>108</v>
      </c>
      <c r="F26" s="334" t="s">
        <v>54</v>
      </c>
      <c r="G26" s="334" t="s">
        <v>62</v>
      </c>
      <c r="H26" s="690" t="s">
        <v>109</v>
      </c>
      <c r="I26" s="334" t="s">
        <v>249</v>
      </c>
      <c r="J26" s="333" t="s">
        <v>48</v>
      </c>
    </row>
    <row r="27" spans="1:10" ht="13.5" thickTop="1" x14ac:dyDescent="0.2">
      <c r="A27" s="263" t="s">
        <v>310</v>
      </c>
      <c r="B27" s="263"/>
      <c r="C27" s="382">
        <f>'Sched-B1'!E4+'Sched-D1'!F44</f>
        <v>31089655.059999999</v>
      </c>
      <c r="D27" s="461">
        <f>'Inmate Avg Daily Population'!O4</f>
        <v>313486.33333333337</v>
      </c>
      <c r="E27" s="462">
        <f>C27/D27</f>
        <v>99.173876989852815</v>
      </c>
      <c r="F27" s="463">
        <f>$G$8</f>
        <v>0.63925657088270771</v>
      </c>
      <c r="G27" s="464">
        <f>$G$10</f>
        <v>35.327500656327352</v>
      </c>
      <c r="H27" s="464">
        <f>$G$11</f>
        <v>6.4914477681021907</v>
      </c>
      <c r="I27" s="464">
        <f t="shared" ref="I27:I39" si="0">$G$13</f>
        <v>9.0887491751267362</v>
      </c>
      <c r="J27" s="382">
        <f>SUM(E27:I27)</f>
        <v>150.72083116029182</v>
      </c>
    </row>
    <row r="28" spans="1:10" x14ac:dyDescent="0.2">
      <c r="A28" s="263" t="s">
        <v>736</v>
      </c>
      <c r="B28" s="263"/>
      <c r="C28" s="382">
        <f>'Sched-B1'!E5+'Sched-D1'!F89</f>
        <v>6206786.9700000007</v>
      </c>
      <c r="D28" s="579">
        <f>'Inmate Avg Daily Population'!O5</f>
        <v>37880.916666666664</v>
      </c>
      <c r="E28" s="462">
        <f>C28/D28</f>
        <v>163.84996763981866</v>
      </c>
      <c r="F28" s="463">
        <f t="shared" ref="F28:F39" si="1">$G$8</f>
        <v>0.63925657088270771</v>
      </c>
      <c r="G28" s="464">
        <f>$G$10</f>
        <v>35.327500656327352</v>
      </c>
      <c r="H28" s="464">
        <f>$G$11</f>
        <v>6.4914477681021907</v>
      </c>
      <c r="I28" s="464">
        <f t="shared" si="0"/>
        <v>9.0887491751267362</v>
      </c>
      <c r="J28" s="382">
        <f>SUM(E28:I28)</f>
        <v>215.39692181025765</v>
      </c>
    </row>
    <row r="29" spans="1:10" x14ac:dyDescent="0.2">
      <c r="A29" s="263" t="s">
        <v>847</v>
      </c>
      <c r="B29" s="263"/>
      <c r="C29" s="382">
        <f>'Sched-B1'!E7+'Sched-D1'!F190</f>
        <v>11964771.310000002</v>
      </c>
      <c r="D29" s="465">
        <f>'Inmate Avg Daily Population'!O6</f>
        <v>98108.958333333358</v>
      </c>
      <c r="E29" s="462">
        <f>C29/D29</f>
        <v>121.95391239756817</v>
      </c>
      <c r="F29" s="463">
        <f>$G$8</f>
        <v>0.63925657088270771</v>
      </c>
      <c r="G29" s="464">
        <f t="shared" ref="G29:G39" si="2">$G$10</f>
        <v>35.327500656327352</v>
      </c>
      <c r="H29" s="464">
        <f t="shared" ref="H29:H39" si="3">$G$11</f>
        <v>6.4914477681021907</v>
      </c>
      <c r="I29" s="464">
        <f t="shared" si="0"/>
        <v>9.0887491751267362</v>
      </c>
      <c r="J29" s="382">
        <f>SUM(E29:I29)</f>
        <v>173.50086656800715</v>
      </c>
    </row>
    <row r="30" spans="1:10" x14ac:dyDescent="0.2">
      <c r="A30" s="263" t="s">
        <v>746</v>
      </c>
      <c r="B30" s="263"/>
      <c r="C30" s="382">
        <f>'Sched-B1'!E8+'Sched-D1'!F241</f>
        <v>41672576.400000006</v>
      </c>
      <c r="D30" s="465">
        <f>'Inmate Avg Daily Population'!O7</f>
        <v>461764.54166666669</v>
      </c>
      <c r="E30" s="462">
        <f>C30/D30</f>
        <v>90.246375890165538</v>
      </c>
      <c r="F30" s="463">
        <f>$G$8</f>
        <v>0.63925657088270771</v>
      </c>
      <c r="G30" s="464">
        <f t="shared" si="2"/>
        <v>35.327500656327352</v>
      </c>
      <c r="H30" s="464">
        <f t="shared" si="3"/>
        <v>6.4914477681021907</v>
      </c>
      <c r="I30" s="464">
        <f t="shared" si="0"/>
        <v>9.0887491751267362</v>
      </c>
      <c r="J30" s="382">
        <f>SUM(E30:I30)</f>
        <v>141.79333006060455</v>
      </c>
    </row>
    <row r="31" spans="1:10" x14ac:dyDescent="0.2">
      <c r="A31" s="263" t="s">
        <v>735</v>
      </c>
      <c r="B31" s="263"/>
      <c r="C31" s="382">
        <f>'Sched-B1'!E6+'Sched-D1'!F138</f>
        <v>13492285.1</v>
      </c>
      <c r="D31" s="465">
        <f>'Inmate Avg Daily Population'!O8</f>
        <v>110652.79166666667</v>
      </c>
      <c r="E31" s="462">
        <f t="shared" ref="E31:E39" si="4">C31/D31</f>
        <v>121.9335264549358</v>
      </c>
      <c r="F31" s="463">
        <f t="shared" si="1"/>
        <v>0.63925657088270771</v>
      </c>
      <c r="G31" s="464">
        <f t="shared" si="2"/>
        <v>35.327500656327352</v>
      </c>
      <c r="H31" s="464">
        <f t="shared" si="3"/>
        <v>6.4914477681021907</v>
      </c>
      <c r="I31" s="464">
        <f t="shared" si="0"/>
        <v>9.0887491751267362</v>
      </c>
      <c r="J31" s="382">
        <f t="shared" ref="J31:J39" si="5">SUM(E31:I31)</f>
        <v>173.48048062537481</v>
      </c>
    </row>
    <row r="32" spans="1:10" x14ac:dyDescent="0.2">
      <c r="A32" s="263" t="s">
        <v>848</v>
      </c>
      <c r="B32" s="263"/>
      <c r="C32" s="382">
        <f>'Sched-B1'!E9+'Sched-D1'!F295</f>
        <v>4510730.66</v>
      </c>
      <c r="D32" s="465">
        <f>'Inmate Avg Daily Population'!O9</f>
        <v>18812.708333333332</v>
      </c>
      <c r="E32" s="462">
        <f t="shared" si="4"/>
        <v>239.77040307416311</v>
      </c>
      <c r="F32" s="463">
        <f t="shared" si="1"/>
        <v>0.63925657088270771</v>
      </c>
      <c r="G32" s="464">
        <f t="shared" si="2"/>
        <v>35.327500656327352</v>
      </c>
      <c r="H32" s="464">
        <f t="shared" si="3"/>
        <v>6.4914477681021907</v>
      </c>
      <c r="I32" s="464">
        <f t="shared" si="0"/>
        <v>9.0887491751267362</v>
      </c>
      <c r="J32" s="382">
        <f t="shared" si="5"/>
        <v>291.31735724460214</v>
      </c>
    </row>
    <row r="33" spans="1:10" x14ac:dyDescent="0.2">
      <c r="A33" s="263" t="s">
        <v>760</v>
      </c>
      <c r="B33" s="263"/>
      <c r="C33" s="382">
        <f>'Sched-B1'!E10+'Sched-D1'!F344</f>
        <v>10004180.280000001</v>
      </c>
      <c r="D33" s="465">
        <f>'Inmate Avg Daily Population'!O10</f>
        <v>77267.458333333328</v>
      </c>
      <c r="E33" s="462">
        <f t="shared" si="4"/>
        <v>129.4746908438708</v>
      </c>
      <c r="F33" s="463">
        <f t="shared" si="1"/>
        <v>0.63925657088270771</v>
      </c>
      <c r="G33" s="464">
        <f t="shared" si="2"/>
        <v>35.327500656327352</v>
      </c>
      <c r="H33" s="464">
        <f t="shared" si="3"/>
        <v>6.4914477681021907</v>
      </c>
      <c r="I33" s="464">
        <f t="shared" si="0"/>
        <v>9.0887491751267362</v>
      </c>
      <c r="J33" s="382">
        <f t="shared" si="5"/>
        <v>181.0216450143098</v>
      </c>
    </row>
    <row r="34" spans="1:10" x14ac:dyDescent="0.2">
      <c r="A34" s="263" t="s">
        <v>849</v>
      </c>
      <c r="B34" s="263"/>
      <c r="C34" s="382">
        <f>'Sched-B1'!E11+'Sched-D1'!F397</f>
        <v>6077488.0999999996</v>
      </c>
      <c r="D34" s="465">
        <f>'Inmate Avg Daily Population'!O11</f>
        <v>34811.875</v>
      </c>
      <c r="E34" s="462">
        <f t="shared" si="4"/>
        <v>174.58088942350849</v>
      </c>
      <c r="F34" s="463">
        <f t="shared" si="1"/>
        <v>0.63925657088270771</v>
      </c>
      <c r="G34" s="464">
        <f t="shared" si="2"/>
        <v>35.327500656327352</v>
      </c>
      <c r="H34" s="464">
        <f t="shared" si="3"/>
        <v>6.4914477681021907</v>
      </c>
      <c r="I34" s="464">
        <f t="shared" si="0"/>
        <v>9.0887491751267362</v>
      </c>
      <c r="J34" s="382">
        <f t="shared" si="5"/>
        <v>226.12784359394749</v>
      </c>
    </row>
    <row r="35" spans="1:10" x14ac:dyDescent="0.2">
      <c r="A35" s="263" t="s">
        <v>850</v>
      </c>
      <c r="B35" s="263"/>
      <c r="C35" s="382">
        <f>'Sched-B1'!E12+'Sched-D1'!F446</f>
        <v>7181922.3200000003</v>
      </c>
      <c r="D35" s="465">
        <f>'Inmate Avg Daily Population'!O12</f>
        <v>37628.775000000001</v>
      </c>
      <c r="E35" s="462">
        <f t="shared" si="4"/>
        <v>190.86250668537576</v>
      </c>
      <c r="F35" s="463">
        <f t="shared" si="1"/>
        <v>0.63925657088270771</v>
      </c>
      <c r="G35" s="464">
        <f t="shared" si="2"/>
        <v>35.327500656327352</v>
      </c>
      <c r="H35" s="464">
        <f t="shared" si="3"/>
        <v>6.4914477681021907</v>
      </c>
      <c r="I35" s="464">
        <f t="shared" si="0"/>
        <v>9.0887491751267362</v>
      </c>
      <c r="J35" s="382">
        <f t="shared" si="5"/>
        <v>242.40946085581476</v>
      </c>
    </row>
    <row r="36" spans="1:10" x14ac:dyDescent="0.2">
      <c r="A36" s="1167" t="s">
        <v>328</v>
      </c>
      <c r="B36" s="1168"/>
      <c r="C36" s="382">
        <f>'Sched-B1'!E16+'Sched-D1'!F658</f>
        <v>210708.57</v>
      </c>
      <c r="D36" s="465">
        <f>'Inmate Avg Daily Population'!O13</f>
        <v>35222.5</v>
      </c>
      <c r="E36" s="462">
        <f t="shared" si="4"/>
        <v>5.982215061395415</v>
      </c>
      <c r="F36" s="463">
        <f t="shared" si="1"/>
        <v>0.63925657088270771</v>
      </c>
      <c r="G36" s="464">
        <f t="shared" si="2"/>
        <v>35.327500656327352</v>
      </c>
      <c r="H36" s="464">
        <f t="shared" si="3"/>
        <v>6.4914477681021907</v>
      </c>
      <c r="I36" s="464">
        <f t="shared" si="0"/>
        <v>9.0887491751267362</v>
      </c>
      <c r="J36" s="382">
        <f t="shared" si="5"/>
        <v>57.529169231834402</v>
      </c>
    </row>
    <row r="37" spans="1:10" x14ac:dyDescent="0.2">
      <c r="A37" s="263" t="s">
        <v>750</v>
      </c>
      <c r="B37" s="263"/>
      <c r="C37" s="382">
        <f>'Sched-B1'!E13+'Sched-D1'!F500</f>
        <v>22206670.48</v>
      </c>
      <c r="D37" s="466">
        <f>'Inmate Avg Daily Population'!O14</f>
        <v>178512.375</v>
      </c>
      <c r="E37" s="462">
        <f t="shared" si="4"/>
        <v>124.3984932697243</v>
      </c>
      <c r="F37" s="463">
        <f t="shared" si="1"/>
        <v>0.63925657088270771</v>
      </c>
      <c r="G37" s="464">
        <f t="shared" si="2"/>
        <v>35.327500656327352</v>
      </c>
      <c r="H37" s="464">
        <f t="shared" si="3"/>
        <v>6.4914477681021907</v>
      </c>
      <c r="I37" s="464">
        <f t="shared" si="0"/>
        <v>9.0887491751267362</v>
      </c>
      <c r="J37" s="382">
        <f t="shared" si="5"/>
        <v>175.94544744016326</v>
      </c>
    </row>
    <row r="38" spans="1:10" x14ac:dyDescent="0.2">
      <c r="A38" s="266" t="s">
        <v>751</v>
      </c>
      <c r="B38" s="266"/>
      <c r="C38" s="382">
        <f>'Sched-B1'!E14+'Sched-D1'!F554</f>
        <v>14957571.449999999</v>
      </c>
      <c r="D38" s="466">
        <f>'Inmate Avg Daily Population'!O15</f>
        <v>140722.70833333334</v>
      </c>
      <c r="E38" s="462">
        <f t="shared" si="4"/>
        <v>106.29109990243815</v>
      </c>
      <c r="F38" s="467">
        <f t="shared" si="1"/>
        <v>0.63925657088270771</v>
      </c>
      <c r="G38" s="464">
        <f t="shared" si="2"/>
        <v>35.327500656327352</v>
      </c>
      <c r="H38" s="464">
        <f t="shared" si="3"/>
        <v>6.4914477681021907</v>
      </c>
      <c r="I38" s="464">
        <f t="shared" si="0"/>
        <v>9.0887491751267362</v>
      </c>
      <c r="J38" s="382">
        <f t="shared" si="5"/>
        <v>157.83805407287713</v>
      </c>
    </row>
    <row r="39" spans="1:10" ht="13.5" thickBot="1" x14ac:dyDescent="0.25">
      <c r="A39" s="558" t="s">
        <v>851</v>
      </c>
      <c r="B39" s="264"/>
      <c r="C39" s="382">
        <f>'Sched-B1'!E15+'Sched-D1'!F604</f>
        <v>8388146.79</v>
      </c>
      <c r="D39" s="468">
        <f>'Inmate Avg Daily Population'!O16</f>
        <v>59288.166666666672</v>
      </c>
      <c r="E39" s="469">
        <f t="shared" si="4"/>
        <v>141.48096090001096</v>
      </c>
      <c r="F39" s="467">
        <f t="shared" si="1"/>
        <v>0.63925657088270771</v>
      </c>
      <c r="G39" s="464">
        <f t="shared" si="2"/>
        <v>35.327500656327352</v>
      </c>
      <c r="H39" s="464">
        <f t="shared" si="3"/>
        <v>6.4914477681021907</v>
      </c>
      <c r="I39" s="464">
        <f t="shared" si="0"/>
        <v>9.0887491751267362</v>
      </c>
      <c r="J39" s="469">
        <f t="shared" si="5"/>
        <v>193.02791507044992</v>
      </c>
    </row>
    <row r="40" spans="1:10" s="383" customFormat="1" ht="15.75" customHeight="1" thickTop="1" thickBot="1" x14ac:dyDescent="0.25">
      <c r="A40" s="567" t="s">
        <v>61</v>
      </c>
      <c r="B40" s="568"/>
      <c r="C40" s="1081">
        <f>SUM(C27:C39)</f>
        <v>177963493.48999995</v>
      </c>
      <c r="D40" s="1082">
        <f>SUM(D27:D39)</f>
        <v>1604160.1083333334</v>
      </c>
      <c r="E40" s="1083">
        <f>G4</f>
        <v>110.93873520823173</v>
      </c>
      <c r="F40" s="1084">
        <f>G8</f>
        <v>0.63925657088270771</v>
      </c>
      <c r="G40" s="1085">
        <f>G10</f>
        <v>35.327500656327352</v>
      </c>
      <c r="H40" s="1085">
        <f>G11</f>
        <v>6.4914477681021907</v>
      </c>
      <c r="I40" s="1084">
        <f>G13</f>
        <v>9.0887491751267362</v>
      </c>
      <c r="J40" s="1080">
        <f>SUM(E40:I40)</f>
        <v>162.48568937867071</v>
      </c>
    </row>
    <row r="41" spans="1:10" ht="13.5" thickTop="1" x14ac:dyDescent="0.2">
      <c r="C41" s="227"/>
      <c r="D41" s="1113"/>
      <c r="E41" s="227"/>
    </row>
    <row r="42" spans="1:10" x14ac:dyDescent="0.2">
      <c r="C42" s="227"/>
      <c r="J42" s="227"/>
    </row>
    <row r="43" spans="1:10" x14ac:dyDescent="0.2">
      <c r="J43" s="227"/>
    </row>
    <row r="44" spans="1:10" x14ac:dyDescent="0.2">
      <c r="A44" s="239" t="s">
        <v>964</v>
      </c>
      <c r="B44" s="470"/>
    </row>
    <row r="57" spans="6:7" x14ac:dyDescent="0.2">
      <c r="F57" s="227"/>
      <c r="G57" s="227"/>
    </row>
  </sheetData>
  <mergeCells count="5">
    <mergeCell ref="A1:G1"/>
    <mergeCell ref="A36:B36"/>
    <mergeCell ref="A3:B3"/>
    <mergeCell ref="C3:D3"/>
    <mergeCell ref="A26:B26"/>
  </mergeCells>
  <phoneticPr fontId="21" type="noConversion"/>
  <printOptions horizontalCentered="1"/>
  <pageMargins left="0" right="0" top="1" bottom="0.5" header="0.33" footer="0.5"/>
  <pageSetup scale="80" fitToHeight="0"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pageSetUpPr fitToPage="1"/>
  </sheetPr>
  <dimension ref="A1:V33"/>
  <sheetViews>
    <sheetView showGridLines="0" zoomScale="75" workbookViewId="0">
      <pane ySplit="3" topLeftCell="A4" activePane="bottomLeft" state="frozenSplit"/>
      <selection activeCell="B35" sqref="B35"/>
      <selection pane="bottomLeft" activeCell="A18" sqref="A18"/>
    </sheetView>
  </sheetViews>
  <sheetFormatPr defaultColWidth="9.140625" defaultRowHeight="12.75" x14ac:dyDescent="0.2"/>
  <cols>
    <col min="1" max="1" width="28.42578125" style="180" customWidth="1"/>
    <col min="2" max="2" width="12.28515625" style="180" customWidth="1"/>
    <col min="3" max="3" width="11.7109375" style="180" customWidth="1"/>
    <col min="4" max="4" width="11" style="180" customWidth="1"/>
    <col min="5" max="5" width="11.28515625" style="180" customWidth="1"/>
    <col min="6" max="6" width="11.42578125" style="180" customWidth="1"/>
    <col min="7" max="7" width="11.5703125" style="180" customWidth="1"/>
    <col min="8" max="8" width="11.28515625" style="180" customWidth="1"/>
    <col min="9" max="9" width="11.5703125" style="180" customWidth="1"/>
    <col min="10" max="10" width="11.28515625" style="180" customWidth="1"/>
    <col min="11" max="11" width="10.85546875" style="180" customWidth="1"/>
    <col min="12" max="12" width="11.42578125" style="180" customWidth="1"/>
    <col min="13" max="13" width="10.85546875" style="180" customWidth="1"/>
    <col min="14" max="14" width="16.5703125" style="180" customWidth="1"/>
    <col min="15" max="15" width="15.42578125" style="180" customWidth="1"/>
    <col min="16" max="16384" width="9.140625" style="180"/>
  </cols>
  <sheetData>
    <row r="1" spans="1:22" ht="31.5" customHeight="1" thickBot="1" x14ac:dyDescent="0.25">
      <c r="A1" s="213" t="s">
        <v>155</v>
      </c>
    </row>
    <row r="2" spans="1:22" ht="33.75" customHeight="1" x14ac:dyDescent="0.25">
      <c r="A2" s="474"/>
      <c r="B2" s="1174" t="s">
        <v>153</v>
      </c>
      <c r="C2" s="1175"/>
      <c r="D2" s="1175"/>
      <c r="E2" s="1175"/>
      <c r="F2" s="1175"/>
      <c r="G2" s="1175"/>
      <c r="H2" s="1175"/>
      <c r="I2" s="1175"/>
      <c r="J2" s="1175"/>
      <c r="K2" s="1175"/>
      <c r="L2" s="1175"/>
      <c r="M2" s="1176"/>
      <c r="N2" s="1177" t="s">
        <v>154</v>
      </c>
      <c r="O2" s="1179" t="s">
        <v>155</v>
      </c>
    </row>
    <row r="3" spans="1:22" ht="33.75" customHeight="1" thickBot="1" x14ac:dyDescent="0.25">
      <c r="A3" s="483" t="s">
        <v>56</v>
      </c>
      <c r="B3" s="1044">
        <v>42560</v>
      </c>
      <c r="C3" s="1044">
        <v>42591</v>
      </c>
      <c r="D3" s="1044">
        <v>42622</v>
      </c>
      <c r="E3" s="1044">
        <v>42652</v>
      </c>
      <c r="F3" s="1044">
        <v>42683</v>
      </c>
      <c r="G3" s="1044">
        <v>42713</v>
      </c>
      <c r="H3" s="1044">
        <v>42744</v>
      </c>
      <c r="I3" s="1044">
        <v>42775</v>
      </c>
      <c r="J3" s="1044">
        <v>42803</v>
      </c>
      <c r="K3" s="1044">
        <v>42834</v>
      </c>
      <c r="L3" s="1044">
        <v>42864</v>
      </c>
      <c r="M3" s="1044">
        <v>42895</v>
      </c>
      <c r="N3" s="1178"/>
      <c r="O3" s="1180"/>
    </row>
    <row r="4" spans="1:22" ht="22.5" customHeight="1" x14ac:dyDescent="0.25">
      <c r="A4" s="475" t="s">
        <v>413</v>
      </c>
      <c r="B4" s="186">
        <f>'Qtrly''s-Cntsht Book'!D6</f>
        <v>822.4</v>
      </c>
      <c r="C4" s="186">
        <f>'Qtrly''s-Cntsht Book'!E6</f>
        <v>823</v>
      </c>
      <c r="D4" s="186">
        <f>'Qtrly''s-Cntsht Book'!F6</f>
        <v>813</v>
      </c>
      <c r="E4" s="651">
        <f>'Qtrly''s-Cntsht Book'!I6</f>
        <v>973</v>
      </c>
      <c r="F4" s="651">
        <f>'Qtrly''s-Cntsht Book'!J6</f>
        <v>874.1</v>
      </c>
      <c r="G4" s="651">
        <f>'Qtrly''s-Cntsht Book'!K6</f>
        <v>860.7</v>
      </c>
      <c r="H4" s="651">
        <f>'Qtrly''s-Cntsht Book'!N6</f>
        <v>845.2</v>
      </c>
      <c r="I4" s="651">
        <f>'Qtrly''s-Cntsht Book'!O6</f>
        <v>844.3</v>
      </c>
      <c r="J4" s="651">
        <f>'Qtrly''s-Cntsht Book'!P6</f>
        <v>863</v>
      </c>
      <c r="K4" s="651">
        <f>'Qtrly''s-Cntsht Book'!S6</f>
        <v>857</v>
      </c>
      <c r="L4" s="651">
        <f>'Qtrly''s-Cntsht Book'!T6</f>
        <v>868.2</v>
      </c>
      <c r="M4" s="784">
        <f>'Qtrly''s-Cntsht Book'!U6</f>
        <v>862.5</v>
      </c>
      <c r="N4" s="476">
        <f>SUM(B4:M4)/12</f>
        <v>858.86666666666679</v>
      </c>
      <c r="O4" s="477">
        <f>N4*365</f>
        <v>313486.33333333337</v>
      </c>
      <c r="R4" s="512"/>
      <c r="S4" s="513"/>
      <c r="T4" s="514"/>
      <c r="U4" s="514"/>
      <c r="V4" s="515"/>
    </row>
    <row r="5" spans="1:22" ht="23.45" customHeight="1" x14ac:dyDescent="0.25">
      <c r="A5" s="478" t="s">
        <v>138</v>
      </c>
      <c r="B5" s="186">
        <f>'Qtrly''s-Cntsht Book'!D7</f>
        <v>107.5</v>
      </c>
      <c r="C5" s="186">
        <f>'Qtrly''s-Cntsht Book'!E7</f>
        <v>98</v>
      </c>
      <c r="D5" s="186">
        <f>'Qtrly''s-Cntsht Book'!F7</f>
        <v>100</v>
      </c>
      <c r="E5" s="651">
        <f>'Qtrly''s-Cntsht Book'!I7</f>
        <v>100</v>
      </c>
      <c r="F5" s="651">
        <f>'Qtrly''s-Cntsht Book'!J7</f>
        <v>104</v>
      </c>
      <c r="G5" s="651">
        <f>'Qtrly''s-Cntsht Book'!K7</f>
        <v>105.1</v>
      </c>
      <c r="H5" s="651">
        <f>'Qtrly''s-Cntsht Book'!N7</f>
        <v>97</v>
      </c>
      <c r="I5" s="651">
        <f>'Qtrly''s-Cntsht Book'!O7</f>
        <v>105.9</v>
      </c>
      <c r="J5" s="651">
        <f>'Qtrly''s-Cntsht Book'!P7</f>
        <v>111.3</v>
      </c>
      <c r="K5" s="651">
        <f>'Qtrly''s-Cntsht Book'!S7</f>
        <v>105</v>
      </c>
      <c r="L5" s="651">
        <f>'Qtrly''s-Cntsht Book'!T7</f>
        <v>100.6</v>
      </c>
      <c r="M5" s="784">
        <f>'Qtrly''s-Cntsht Book'!U7</f>
        <v>111</v>
      </c>
      <c r="N5" s="1046">
        <f>SUM(B5:M5)/12</f>
        <v>103.78333333333332</v>
      </c>
      <c r="O5" s="477">
        <f>N5*365</f>
        <v>37880.916666666664</v>
      </c>
      <c r="R5" s="491"/>
      <c r="S5" s="516"/>
      <c r="T5" s="514"/>
      <c r="U5" s="514"/>
      <c r="V5" s="515"/>
    </row>
    <row r="6" spans="1:22" ht="23.45" customHeight="1" x14ac:dyDescent="0.25">
      <c r="A6" s="479" t="s">
        <v>25</v>
      </c>
      <c r="B6" s="186">
        <f>'Qtrly''s-Cntsht Book'!D8</f>
        <v>288.89999999999998</v>
      </c>
      <c r="C6" s="186">
        <f>'Qtrly''s-Cntsht Book'!E8</f>
        <v>284</v>
      </c>
      <c r="D6" s="186">
        <f>'Qtrly''s-Cntsht Book'!F8</f>
        <v>262</v>
      </c>
      <c r="E6" s="651">
        <f>'Qtrly''s-Cntsht Book'!I8</f>
        <v>252</v>
      </c>
      <c r="F6" s="651">
        <f>'Qtrly''s-Cntsht Book'!J8</f>
        <v>240.2</v>
      </c>
      <c r="G6" s="651">
        <f>'Qtrly''s-Cntsht Book'!K8</f>
        <v>242.9</v>
      </c>
      <c r="H6" s="651">
        <f>'Qtrly''s-Cntsht Book'!N8</f>
        <v>255.4</v>
      </c>
      <c r="I6" s="651">
        <f>'Qtrly''s-Cntsht Book'!O8</f>
        <v>262</v>
      </c>
      <c r="J6" s="651">
        <f>'Qtrly''s-Cntsht Book'!P8</f>
        <v>270.8</v>
      </c>
      <c r="K6" s="651">
        <f>'Qtrly''s-Cntsht Book'!S8</f>
        <v>283</v>
      </c>
      <c r="L6" s="651">
        <f>'Qtrly''s-Cntsht Book'!T8</f>
        <v>294.5</v>
      </c>
      <c r="M6" s="784">
        <f>'Qtrly''s-Cntsht Book'!U8</f>
        <v>289.8</v>
      </c>
      <c r="N6" s="1046">
        <f t="shared" ref="N6:N17" si="0">SUM(B6:M6)/12</f>
        <v>268.79166666666674</v>
      </c>
      <c r="O6" s="477">
        <f>N6*365</f>
        <v>98108.958333333358</v>
      </c>
      <c r="R6" s="491"/>
      <c r="S6" s="516"/>
      <c r="T6" s="514"/>
      <c r="U6" s="514"/>
      <c r="V6" s="515"/>
    </row>
    <row r="7" spans="1:22" ht="23.45" customHeight="1" x14ac:dyDescent="0.25">
      <c r="A7" s="479" t="s">
        <v>462</v>
      </c>
      <c r="B7" s="186">
        <f>'Qtrly''s-Cntsht Book'!D9</f>
        <v>1145.8</v>
      </c>
      <c r="C7" s="186">
        <f>'Qtrly''s-Cntsht Book'!E9</f>
        <v>1238</v>
      </c>
      <c r="D7" s="186">
        <f>'Qtrly''s-Cntsht Book'!F9</f>
        <v>1268</v>
      </c>
      <c r="E7" s="651">
        <f>'Qtrly''s-Cntsht Book'!I9</f>
        <v>1311</v>
      </c>
      <c r="F7" s="651">
        <f>'Qtrly''s-Cntsht Book'!J9</f>
        <v>1334.8</v>
      </c>
      <c r="G7" s="651">
        <f>'Qtrly''s-Cntsht Book'!K9</f>
        <v>1326.3</v>
      </c>
      <c r="H7" s="651">
        <f>'Qtrly''s-Cntsht Book'!N9</f>
        <v>1271.3</v>
      </c>
      <c r="I7" s="651">
        <f>'Qtrly''s-Cntsht Book'!O9</f>
        <v>1250</v>
      </c>
      <c r="J7" s="651">
        <f>'Qtrly''s-Cntsht Book'!P9</f>
        <v>1242.9000000000001</v>
      </c>
      <c r="K7" s="651">
        <f>'Qtrly''s-Cntsht Book'!S9</f>
        <v>1257</v>
      </c>
      <c r="L7" s="651">
        <f>'Qtrly''s-Cntsht Book'!T9</f>
        <v>1240.5999999999999</v>
      </c>
      <c r="M7" s="784">
        <f>'Qtrly''s-Cntsht Book'!U9</f>
        <v>1295.5999999999999</v>
      </c>
      <c r="N7" s="1046">
        <f>SUM(B7:M7)/12</f>
        <v>1265.1083333333333</v>
      </c>
      <c r="O7" s="477">
        <f>N7*365</f>
        <v>461764.54166666669</v>
      </c>
      <c r="R7" s="491"/>
      <c r="S7" s="516"/>
      <c r="T7" s="514"/>
      <c r="U7" s="514"/>
      <c r="V7" s="515"/>
    </row>
    <row r="8" spans="1:22" ht="23.45" customHeight="1" x14ac:dyDescent="0.25">
      <c r="A8" s="479" t="s">
        <v>225</v>
      </c>
      <c r="B8" s="186">
        <f>'Qtrly''s-Cntsht Book'!D10</f>
        <v>348.5</v>
      </c>
      <c r="C8" s="186">
        <f>'Qtrly''s-Cntsht Book'!E10</f>
        <v>349</v>
      </c>
      <c r="D8" s="186">
        <f>'Qtrly''s-Cntsht Book'!F10</f>
        <v>347</v>
      </c>
      <c r="E8" s="651">
        <f>'Qtrly''s-Cntsht Book'!I10</f>
        <v>325</v>
      </c>
      <c r="F8" s="651">
        <f>'Qtrly''s-Cntsht Book'!J10</f>
        <v>304.89999999999998</v>
      </c>
      <c r="G8" s="651">
        <f>'Qtrly''s-Cntsht Book'!K10</f>
        <v>291.60000000000002</v>
      </c>
      <c r="H8" s="651">
        <f>'Qtrly''s-Cntsht Book'!N10</f>
        <v>275.39999999999998</v>
      </c>
      <c r="I8" s="651">
        <f>'Qtrly''s-Cntsht Book'!O10</f>
        <v>264</v>
      </c>
      <c r="J8" s="651">
        <f>'Qtrly''s-Cntsht Book'!P10</f>
        <v>267.5</v>
      </c>
      <c r="K8" s="651">
        <f>'Qtrly''s-Cntsht Book'!S10</f>
        <v>269</v>
      </c>
      <c r="L8" s="651">
        <f>'Qtrly''s-Cntsht Book'!T10</f>
        <v>297.89999999999998</v>
      </c>
      <c r="M8" s="784">
        <f>'Qtrly''s-Cntsht Book'!U10</f>
        <v>298.10000000000002</v>
      </c>
      <c r="N8" s="1046">
        <f t="shared" si="0"/>
        <v>303.15833333333336</v>
      </c>
      <c r="O8" s="477">
        <f>N8*365</f>
        <v>110652.79166666667</v>
      </c>
      <c r="R8" s="517"/>
      <c r="S8" s="516"/>
      <c r="T8" s="514"/>
      <c r="U8" s="514"/>
      <c r="V8" s="515"/>
    </row>
    <row r="9" spans="1:22" ht="23.45" customHeight="1" x14ac:dyDescent="0.25">
      <c r="A9" s="479" t="s">
        <v>16</v>
      </c>
      <c r="B9" s="186">
        <f>'Qtrly''s-Cntsht Book'!D11</f>
        <v>50</v>
      </c>
      <c r="C9" s="186">
        <f>'Qtrly''s-Cntsht Book'!E11</f>
        <v>50</v>
      </c>
      <c r="D9" s="186">
        <f>'Qtrly''s-Cntsht Book'!F11</f>
        <v>47</v>
      </c>
      <c r="E9" s="651">
        <f>'Qtrly''s-Cntsht Book'!I11</f>
        <v>53</v>
      </c>
      <c r="F9" s="651">
        <f>'Qtrly''s-Cntsht Book'!J11</f>
        <v>49</v>
      </c>
      <c r="G9" s="651">
        <f>'Qtrly''s-Cntsht Book'!K11</f>
        <v>46.1</v>
      </c>
      <c r="H9" s="651">
        <f>'Qtrly''s-Cntsht Book'!N11</f>
        <v>46.1</v>
      </c>
      <c r="I9" s="651">
        <f>'Qtrly''s-Cntsht Book'!O11</f>
        <v>55</v>
      </c>
      <c r="J9" s="651">
        <f>'Qtrly''s-Cntsht Book'!P11</f>
        <v>58</v>
      </c>
      <c r="K9" s="651">
        <f>'Qtrly''s-Cntsht Book'!S11</f>
        <v>56</v>
      </c>
      <c r="L9" s="651">
        <f>'Qtrly''s-Cntsht Book'!T11</f>
        <v>56.5</v>
      </c>
      <c r="M9" s="784">
        <f>'Qtrly''s-Cntsht Book'!U11</f>
        <v>51.8</v>
      </c>
      <c r="N9" s="1046">
        <f t="shared" si="0"/>
        <v>51.541666666666664</v>
      </c>
      <c r="O9" s="477">
        <f t="shared" ref="O9:O16" si="1">N9*365</f>
        <v>18812.708333333332</v>
      </c>
      <c r="R9" s="491"/>
      <c r="S9" s="516"/>
      <c r="T9" s="514"/>
      <c r="U9" s="514"/>
      <c r="V9" s="515"/>
    </row>
    <row r="10" spans="1:22" ht="23.45" customHeight="1" x14ac:dyDescent="0.25">
      <c r="A10" s="479" t="s">
        <v>17</v>
      </c>
      <c r="B10" s="186">
        <f>'Qtrly''s-Cntsht Book'!D12</f>
        <v>216.2</v>
      </c>
      <c r="C10" s="186">
        <f>'Qtrly''s-Cntsht Book'!E12</f>
        <v>220</v>
      </c>
      <c r="D10" s="186">
        <f>'Qtrly''s-Cntsht Book'!F12</f>
        <v>229</v>
      </c>
      <c r="E10" s="651">
        <f>'Qtrly''s-Cntsht Book'!I12</f>
        <v>230</v>
      </c>
      <c r="F10" s="651">
        <f>'Qtrly''s-Cntsht Book'!J12</f>
        <v>216</v>
      </c>
      <c r="G10" s="651">
        <f>'Qtrly''s-Cntsht Book'!K12</f>
        <v>216.8</v>
      </c>
      <c r="H10" s="651">
        <f>'Qtrly''s-Cntsht Book'!N12</f>
        <v>208.4</v>
      </c>
      <c r="I10" s="651">
        <f>'Qtrly''s-Cntsht Book'!O12</f>
        <v>202</v>
      </c>
      <c r="J10" s="651">
        <f>'Qtrly''s-Cntsht Book'!P12</f>
        <v>195.3</v>
      </c>
      <c r="K10" s="651">
        <f>'Qtrly''s-Cntsht Book'!S12</f>
        <v>208</v>
      </c>
      <c r="L10" s="651">
        <f>'Qtrly''s-Cntsht Book'!T12</f>
        <v>205.1</v>
      </c>
      <c r="M10" s="784">
        <f>'Qtrly''s-Cntsht Book'!U12</f>
        <v>193.5</v>
      </c>
      <c r="N10" s="1046">
        <f t="shared" si="0"/>
        <v>211.69166666666663</v>
      </c>
      <c r="O10" s="477">
        <f t="shared" si="1"/>
        <v>77267.458333333328</v>
      </c>
      <c r="R10" s="491"/>
      <c r="S10" s="516"/>
      <c r="T10" s="514"/>
      <c r="U10" s="514"/>
      <c r="V10" s="515"/>
    </row>
    <row r="11" spans="1:22" ht="23.45" customHeight="1" x14ac:dyDescent="0.25">
      <c r="A11" s="479" t="s">
        <v>140</v>
      </c>
      <c r="B11" s="186">
        <f>'Qtrly''s-Cntsht Book'!D13</f>
        <v>101.3</v>
      </c>
      <c r="C11" s="186">
        <f>'Qtrly''s-Cntsht Book'!E13</f>
        <v>100</v>
      </c>
      <c r="D11" s="186">
        <f>'Qtrly''s-Cntsht Book'!F13</f>
        <v>91</v>
      </c>
      <c r="E11" s="651">
        <f>'Qtrly''s-Cntsht Book'!I13</f>
        <v>102</v>
      </c>
      <c r="F11" s="651">
        <f>'Qtrly''s-Cntsht Book'!J13</f>
        <v>101.5</v>
      </c>
      <c r="G11" s="651">
        <f>'Qtrly''s-Cntsht Book'!K13</f>
        <v>98.4</v>
      </c>
      <c r="H11" s="651">
        <f>'Qtrly''s-Cntsht Book'!N13</f>
        <v>87.8</v>
      </c>
      <c r="I11" s="651">
        <f>'Qtrly''s-Cntsht Book'!O13</f>
        <v>89</v>
      </c>
      <c r="J11" s="651">
        <f>'Qtrly''s-Cntsht Book'!P13</f>
        <v>98.2</v>
      </c>
      <c r="K11" s="651">
        <f>'Qtrly''s-Cntsht Book'!S13</f>
        <v>90</v>
      </c>
      <c r="L11" s="651">
        <f>'Qtrly''s-Cntsht Book'!T13</f>
        <v>92</v>
      </c>
      <c r="M11" s="784">
        <f>'Qtrly''s-Cntsht Book'!U13</f>
        <v>93.3</v>
      </c>
      <c r="N11" s="1046">
        <f t="shared" si="0"/>
        <v>95.375</v>
      </c>
      <c r="O11" s="477">
        <f t="shared" si="1"/>
        <v>34811.875</v>
      </c>
      <c r="R11" s="491"/>
      <c r="S11" s="516"/>
      <c r="T11" s="514"/>
      <c r="U11" s="514"/>
      <c r="V11" s="515"/>
    </row>
    <row r="12" spans="1:22" ht="23.45" customHeight="1" x14ac:dyDescent="0.25">
      <c r="A12" s="479" t="s">
        <v>19</v>
      </c>
      <c r="B12" s="186">
        <f>'Qtrly''s-Cntsht Book'!D14</f>
        <v>477.7</v>
      </c>
      <c r="C12" s="186">
        <f>'Qtrly''s-Cntsht Book'!E14</f>
        <v>357</v>
      </c>
      <c r="D12" s="186">
        <f>'Qtrly''s-Cntsht Book'!F14</f>
        <v>279</v>
      </c>
      <c r="E12" s="651">
        <f>'Qtrly''s-Cntsht Book'!I14</f>
        <v>110</v>
      </c>
      <c r="F12" s="651">
        <f>'Qtrly''s-Cntsht Book'!J14</f>
        <v>0</v>
      </c>
      <c r="G12" s="651">
        <f>'Qtrly''s-Cntsht Book'!K14</f>
        <v>0</v>
      </c>
      <c r="H12" s="651">
        <f>'Qtrly''s-Cntsht Book'!N14</f>
        <v>0</v>
      </c>
      <c r="I12" s="651">
        <f>'Qtrly''s-Cntsht Book'!O14</f>
        <v>0</v>
      </c>
      <c r="J12" s="651">
        <f>'Qtrly''s-Cntsht Book'!P14</f>
        <v>0</v>
      </c>
      <c r="K12" s="651">
        <f>'Qtrly''s-Cntsht Book'!S14</f>
        <v>0</v>
      </c>
      <c r="L12" s="651">
        <f>'Qtrly''s-Cntsht Book'!T14</f>
        <v>0</v>
      </c>
      <c r="M12" s="784">
        <f>'Qtrly''s-Cntsht Book'!U14</f>
        <v>0</v>
      </c>
      <c r="N12" s="1046">
        <f>SUM(B12:M12)/4</f>
        <v>305.92500000000001</v>
      </c>
      <c r="O12" s="477">
        <f>N12*123</f>
        <v>37628.775000000001</v>
      </c>
      <c r="P12" s="180" t="s">
        <v>998</v>
      </c>
      <c r="R12" s="517"/>
      <c r="S12" s="516"/>
      <c r="T12" s="514"/>
      <c r="U12" s="514"/>
      <c r="V12" s="515"/>
    </row>
    <row r="13" spans="1:22" ht="23.45" customHeight="1" x14ac:dyDescent="0.25">
      <c r="A13" s="479" t="s">
        <v>149</v>
      </c>
      <c r="B13" s="186">
        <f>'Qtrly''s-Cntsht Book'!D15</f>
        <v>52.8</v>
      </c>
      <c r="C13" s="186">
        <f>'Qtrly''s-Cntsht Book'!E15</f>
        <v>54</v>
      </c>
      <c r="D13" s="186">
        <f>'Qtrly''s-Cntsht Book'!F15</f>
        <v>57</v>
      </c>
      <c r="E13" s="651">
        <f>'Qtrly''s-Cntsht Book'!I15</f>
        <v>69</v>
      </c>
      <c r="F13" s="651">
        <f>'Qtrly''s-Cntsht Book'!J15</f>
        <v>108.9</v>
      </c>
      <c r="G13" s="651">
        <f>'Qtrly''s-Cntsht Book'!K15</f>
        <v>125.3</v>
      </c>
      <c r="H13" s="651">
        <f>'Qtrly''s-Cntsht Book'!N15</f>
        <v>125</v>
      </c>
      <c r="I13" s="651">
        <f>'Qtrly''s-Cntsht Book'!O15</f>
        <v>125</v>
      </c>
      <c r="J13" s="651">
        <f>'Qtrly''s-Cntsht Book'!P15</f>
        <v>123.2</v>
      </c>
      <c r="K13" s="651">
        <f>'Qtrly''s-Cntsht Book'!S15</f>
        <v>119</v>
      </c>
      <c r="L13" s="651">
        <f>'Qtrly''s-Cntsht Book'!T15</f>
        <v>110.8</v>
      </c>
      <c r="M13" s="784">
        <f>'Qtrly''s-Cntsht Book'!U15</f>
        <v>88</v>
      </c>
      <c r="N13" s="1046">
        <f t="shared" si="0"/>
        <v>96.5</v>
      </c>
      <c r="O13" s="477">
        <f t="shared" si="1"/>
        <v>35222.5</v>
      </c>
      <c r="R13" s="491"/>
      <c r="S13" s="518"/>
      <c r="T13" s="514"/>
      <c r="U13" s="514"/>
      <c r="V13" s="515"/>
    </row>
    <row r="14" spans="1:22" ht="23.45" customHeight="1" x14ac:dyDescent="0.25">
      <c r="A14" s="478" t="s">
        <v>20</v>
      </c>
      <c r="B14" s="186">
        <f>'Qtrly''s-Cntsht Book'!D16</f>
        <v>523.6</v>
      </c>
      <c r="C14" s="186">
        <f>'Qtrly''s-Cntsht Book'!E16</f>
        <v>516</v>
      </c>
      <c r="D14" s="186">
        <f>'Qtrly''s-Cntsht Book'!F16</f>
        <v>518</v>
      </c>
      <c r="E14" s="651">
        <f>'Qtrly''s-Cntsht Book'!I16</f>
        <v>520</v>
      </c>
      <c r="F14" s="651">
        <f>'Qtrly''s-Cntsht Book'!J16</f>
        <v>494.8</v>
      </c>
      <c r="G14" s="651">
        <f>'Qtrly''s-Cntsht Book'!K16</f>
        <v>491.1</v>
      </c>
      <c r="H14" s="651">
        <f>'Qtrly''s-Cntsht Book'!N16</f>
        <v>484</v>
      </c>
      <c r="I14" s="651">
        <f>'Qtrly''s-Cntsht Book'!O16</f>
        <v>491</v>
      </c>
      <c r="J14" s="651">
        <f>'Qtrly''s-Cntsht Book'!P16</f>
        <v>485.5</v>
      </c>
      <c r="K14" s="651">
        <f>'Qtrly''s-Cntsht Book'!S16</f>
        <v>485</v>
      </c>
      <c r="L14" s="651">
        <f>'Qtrly''s-Cntsht Book'!T16</f>
        <v>463</v>
      </c>
      <c r="M14" s="784">
        <f>'Qtrly''s-Cntsht Book'!U16</f>
        <v>396.9</v>
      </c>
      <c r="N14" s="1046">
        <f t="shared" si="0"/>
        <v>489.07499999999999</v>
      </c>
      <c r="O14" s="477">
        <f t="shared" si="1"/>
        <v>178512.375</v>
      </c>
      <c r="R14" s="491"/>
      <c r="S14" s="516"/>
      <c r="T14" s="514"/>
      <c r="U14" s="514"/>
      <c r="V14" s="515"/>
    </row>
    <row r="15" spans="1:22" ht="23.45" customHeight="1" x14ac:dyDescent="0.25">
      <c r="A15" s="479" t="s">
        <v>26</v>
      </c>
      <c r="B15" s="186">
        <f>'Qtrly''s-Cntsht Book'!D17</f>
        <v>372.5</v>
      </c>
      <c r="C15" s="186">
        <f>'Qtrly''s-Cntsht Book'!E17</f>
        <v>389</v>
      </c>
      <c r="D15" s="186">
        <f>'Qtrly''s-Cntsht Book'!F17</f>
        <v>379</v>
      </c>
      <c r="E15" s="651">
        <f>'Qtrly''s-Cntsht Book'!I17</f>
        <v>390</v>
      </c>
      <c r="F15" s="651">
        <f>'Qtrly''s-Cntsht Book'!J17</f>
        <v>400.1</v>
      </c>
      <c r="G15" s="651">
        <f>'Qtrly''s-Cntsht Book'!K17</f>
        <v>394.2</v>
      </c>
      <c r="H15" s="651">
        <f>'Qtrly''s-Cntsht Book'!N17</f>
        <v>394</v>
      </c>
      <c r="I15" s="651">
        <f>'Qtrly''s-Cntsht Book'!O17</f>
        <v>374.9</v>
      </c>
      <c r="J15" s="651">
        <f>'Qtrly''s-Cntsht Book'!P17</f>
        <v>368.9</v>
      </c>
      <c r="K15" s="651">
        <f>'Qtrly''s-Cntsht Book'!S17</f>
        <v>376</v>
      </c>
      <c r="L15" s="651">
        <f>'Qtrly''s-Cntsht Book'!T17</f>
        <v>377.7</v>
      </c>
      <c r="M15" s="784">
        <f>'Qtrly''s-Cntsht Book'!U17</f>
        <v>410.2</v>
      </c>
      <c r="N15" s="1046">
        <f t="shared" si="0"/>
        <v>385.54166666666669</v>
      </c>
      <c r="O15" s="477">
        <f t="shared" si="1"/>
        <v>140722.70833333334</v>
      </c>
      <c r="R15" s="517"/>
      <c r="S15" s="516"/>
      <c r="T15" s="514"/>
      <c r="U15" s="514"/>
      <c r="V15" s="515"/>
    </row>
    <row r="16" spans="1:22" ht="23.45" customHeight="1" x14ac:dyDescent="0.25">
      <c r="A16" s="479" t="s">
        <v>141</v>
      </c>
      <c r="B16" s="186">
        <f>'Qtrly''s-Cntsht Book'!D18</f>
        <v>177.7</v>
      </c>
      <c r="C16" s="186">
        <f>'Qtrly''s-Cntsht Book'!E18</f>
        <v>158</v>
      </c>
      <c r="D16" s="186">
        <f>'Qtrly''s-Cntsht Book'!F18</f>
        <v>166</v>
      </c>
      <c r="E16" s="651">
        <f>'Qtrly''s-Cntsht Book'!I18</f>
        <v>175</v>
      </c>
      <c r="F16" s="651">
        <f>'Qtrly''s-Cntsht Book'!J18</f>
        <v>181.1</v>
      </c>
      <c r="G16" s="651">
        <f>'Qtrly''s-Cntsht Book'!K18</f>
        <v>172.9</v>
      </c>
      <c r="H16" s="651">
        <f>'Qtrly''s-Cntsht Book'!N18</f>
        <v>167.4</v>
      </c>
      <c r="I16" s="651">
        <f>'Qtrly''s-Cntsht Book'!O18</f>
        <v>150</v>
      </c>
      <c r="J16" s="651">
        <f>'Qtrly''s-Cntsht Book'!P18</f>
        <v>139.5</v>
      </c>
      <c r="K16" s="651">
        <f>'Qtrly''s-Cntsht Book'!S18</f>
        <v>149</v>
      </c>
      <c r="L16" s="651">
        <f>'Qtrly''s-Cntsht Book'!T18</f>
        <v>152.80000000000001</v>
      </c>
      <c r="M16" s="784">
        <f>'Qtrly''s-Cntsht Book'!U18</f>
        <v>159.80000000000001</v>
      </c>
      <c r="N16" s="1046">
        <f t="shared" si="0"/>
        <v>162.43333333333334</v>
      </c>
      <c r="O16" s="477">
        <f t="shared" si="1"/>
        <v>59288.166666666672</v>
      </c>
      <c r="R16" s="491"/>
      <c r="S16" s="516"/>
      <c r="T16" s="514"/>
      <c r="U16" s="514"/>
      <c r="V16" s="515"/>
    </row>
    <row r="17" spans="1:22" ht="23.45" customHeight="1" thickBot="1" x14ac:dyDescent="0.3">
      <c r="A17" s="479" t="s">
        <v>142</v>
      </c>
      <c r="B17" s="1047">
        <f>'Qtrly''s-Cntsht Book'!D19</f>
        <v>0</v>
      </c>
      <c r="C17" s="1047">
        <f>'Qtrly''s-Cntsht Book'!E19</f>
        <v>0</v>
      </c>
      <c r="D17" s="1047">
        <f>'Qtrly''s-Cntsht Book'!F19</f>
        <v>0</v>
      </c>
      <c r="E17" s="1048">
        <f>'Qtrly''s-Cntsht Book'!I19</f>
        <v>0</v>
      </c>
      <c r="F17" s="1048">
        <f>'Qtrly''s-Cntsht Book'!J19</f>
        <v>0</v>
      </c>
      <c r="G17" s="1048">
        <f>'Qtrly''s-Cntsht Book'!K19</f>
        <v>0</v>
      </c>
      <c r="H17" s="1048">
        <f>'Qtrly''s-Cntsht Book'!N19</f>
        <v>0</v>
      </c>
      <c r="I17" s="1048">
        <f>'Qtrly''s-Cntsht Book'!O19</f>
        <v>0</v>
      </c>
      <c r="J17" s="1048">
        <f>'Qtrly''s-Cntsht Book'!P19</f>
        <v>0</v>
      </c>
      <c r="K17" s="1048" t="str">
        <f>'Qtrly''s-Cntsht Book'!S19</f>
        <v>-</v>
      </c>
      <c r="L17" s="1048" t="str">
        <f>'Qtrly''s-Cntsht Book'!T19</f>
        <v>-</v>
      </c>
      <c r="M17" s="1049" t="str">
        <f>'Qtrly''s-Cntsht Book'!U19</f>
        <v>-</v>
      </c>
      <c r="N17" s="1050">
        <f t="shared" si="0"/>
        <v>0</v>
      </c>
      <c r="O17" s="477">
        <f>N17*365</f>
        <v>0</v>
      </c>
      <c r="R17" s="491"/>
      <c r="S17" s="519"/>
      <c r="T17" s="514"/>
      <c r="U17" s="514"/>
      <c r="V17" s="520"/>
    </row>
    <row r="18" spans="1:22" ht="23.45" customHeight="1" thickBot="1" x14ac:dyDescent="0.3">
      <c r="A18" s="647" t="s">
        <v>150</v>
      </c>
      <c r="B18" s="783">
        <f>SUM(B4:B17)</f>
        <v>4684.8999999999996</v>
      </c>
      <c r="C18" s="783">
        <f t="shared" ref="C18:M18" si="2">SUM(C4:C17)</f>
        <v>4636</v>
      </c>
      <c r="D18" s="783">
        <f t="shared" si="2"/>
        <v>4556</v>
      </c>
      <c r="E18" s="783">
        <f t="shared" si="2"/>
        <v>4610</v>
      </c>
      <c r="F18" s="783">
        <f t="shared" si="2"/>
        <v>4409.4000000000005</v>
      </c>
      <c r="G18" s="783">
        <f t="shared" si="2"/>
        <v>4371.3999999999996</v>
      </c>
      <c r="H18" s="783">
        <f t="shared" si="2"/>
        <v>4257</v>
      </c>
      <c r="I18" s="783">
        <f t="shared" si="2"/>
        <v>4213.1000000000004</v>
      </c>
      <c r="J18" s="783">
        <f t="shared" si="2"/>
        <v>4224.1000000000004</v>
      </c>
      <c r="K18" s="783">
        <f t="shared" si="2"/>
        <v>4254</v>
      </c>
      <c r="L18" s="783">
        <f t="shared" si="2"/>
        <v>4259.7000000000007</v>
      </c>
      <c r="M18" s="783">
        <f t="shared" si="2"/>
        <v>4250.5</v>
      </c>
      <c r="N18" s="1045">
        <f>SUM(B18:M18)/12</f>
        <v>4393.8416666666672</v>
      </c>
      <c r="O18" s="648">
        <f>SUM(O4:O17)</f>
        <v>1604160.1083333334</v>
      </c>
    </row>
    <row r="19" spans="1:22" ht="31.9" customHeight="1" thickBot="1" x14ac:dyDescent="0.3">
      <c r="A19" s="754" t="s">
        <v>151</v>
      </c>
      <c r="B19" s="755"/>
      <c r="C19" s="755"/>
      <c r="D19" s="755"/>
      <c r="E19" s="755"/>
      <c r="F19" s="756"/>
      <c r="G19" s="755"/>
      <c r="H19" s="755"/>
      <c r="I19" s="755"/>
      <c r="J19" s="755"/>
      <c r="K19" s="755"/>
      <c r="L19" s="755"/>
      <c r="M19" s="755"/>
      <c r="N19" s="757"/>
      <c r="O19" s="758" t="s">
        <v>0</v>
      </c>
    </row>
    <row r="20" spans="1:22" ht="23.45" customHeight="1" x14ac:dyDescent="0.25">
      <c r="A20" s="478" t="s">
        <v>143</v>
      </c>
      <c r="B20" s="481">
        <f>'Qtrly''s-Cntsht Book'!D22</f>
        <v>495.61</v>
      </c>
      <c r="C20" s="481">
        <f>'Qtrly''s-Cntsht Book'!E22</f>
        <v>470</v>
      </c>
      <c r="D20" s="481">
        <f>'Qtrly''s-Cntsht Book'!F22</f>
        <v>476</v>
      </c>
      <c r="E20" s="481">
        <f>'Qtrly''s-Cntsht Book'!I22</f>
        <v>430</v>
      </c>
      <c r="F20" s="481">
        <f>'Qtrly''s-Cntsht Book'!J22</f>
        <v>435</v>
      </c>
      <c r="G20" s="481">
        <f>'Qtrly''s-Cntsht Book'!K22</f>
        <v>424</v>
      </c>
      <c r="H20" s="481">
        <f>'Qtrly''s-Cntsht Book'!N22</f>
        <v>412</v>
      </c>
      <c r="I20" s="481">
        <f>'Qtrly''s-Cntsht Book'!O22</f>
        <v>432</v>
      </c>
      <c r="J20" s="481">
        <f>'Qtrly''s-Cntsht Book'!P22</f>
        <v>398</v>
      </c>
      <c r="K20" s="481">
        <f>'Qtrly''s-Cntsht Book'!S22</f>
        <v>408</v>
      </c>
      <c r="L20" s="481">
        <f>'Qtrly''s-Cntsht Book'!T22</f>
        <v>396.97</v>
      </c>
      <c r="M20" s="481">
        <f>'Qtrly''s-Cntsht Book'!U22</f>
        <v>386</v>
      </c>
      <c r="N20" s="476">
        <f t="shared" ref="N20:N25" si="3">SUM(B20:M20)/12</f>
        <v>430.2983333333334</v>
      </c>
      <c r="O20" s="477">
        <f t="shared" ref="O20:O25" si="4">N20*365</f>
        <v>157058.89166666669</v>
      </c>
    </row>
    <row r="21" spans="1:22" ht="23.45" customHeight="1" x14ac:dyDescent="0.25">
      <c r="A21" s="479" t="s">
        <v>144</v>
      </c>
      <c r="B21" s="481">
        <f>'Qtrly''s-Cntsht Book'!D23</f>
        <v>15.49</v>
      </c>
      <c r="C21" s="481">
        <f>'Qtrly''s-Cntsht Book'!E23</f>
        <v>9</v>
      </c>
      <c r="D21" s="481">
        <f>'Qtrly''s-Cntsht Book'!F23</f>
        <v>10</v>
      </c>
      <c r="E21" s="481">
        <f>'Qtrly''s-Cntsht Book'!I23</f>
        <v>12</v>
      </c>
      <c r="F21" s="481">
        <f>'Qtrly''s-Cntsht Book'!J23</f>
        <v>16</v>
      </c>
      <c r="G21" s="481">
        <f>'Qtrly''s-Cntsht Book'!K23</f>
        <v>14</v>
      </c>
      <c r="H21" s="481">
        <f>'Qtrly''s-Cntsht Book'!N23</f>
        <v>15</v>
      </c>
      <c r="I21" s="481">
        <f>'Qtrly''s-Cntsht Book'!O23</f>
        <v>15</v>
      </c>
      <c r="J21" s="481">
        <f>'Qtrly''s-Cntsht Book'!P23</f>
        <v>15</v>
      </c>
      <c r="K21" s="481">
        <f>'Qtrly''s-Cntsht Book'!S23</f>
        <v>15</v>
      </c>
      <c r="L21" s="481">
        <f>'Qtrly''s-Cntsht Book'!T23</f>
        <v>13.55</v>
      </c>
      <c r="M21" s="481">
        <f>'Qtrly''s-Cntsht Book'!U23</f>
        <v>12</v>
      </c>
      <c r="N21" s="476">
        <f t="shared" si="3"/>
        <v>13.503333333333336</v>
      </c>
      <c r="O21" s="482">
        <f t="shared" si="4"/>
        <v>4928.7166666666672</v>
      </c>
    </row>
    <row r="22" spans="1:22" ht="23.45" customHeight="1" x14ac:dyDescent="0.25">
      <c r="A22" s="479" t="s">
        <v>146</v>
      </c>
      <c r="B22" s="481">
        <f>'Qtrly''s-Cntsht Book'!D24</f>
        <v>14</v>
      </c>
      <c r="C22" s="481">
        <f>'Qtrly''s-Cntsht Book'!E24</f>
        <v>15</v>
      </c>
      <c r="D22" s="481">
        <f>'Qtrly''s-Cntsht Book'!F24</f>
        <v>15</v>
      </c>
      <c r="E22" s="481">
        <f>'Qtrly''s-Cntsht Book'!I24</f>
        <v>15</v>
      </c>
      <c r="F22" s="481">
        <f>'Qtrly''s-Cntsht Book'!J24</f>
        <v>15</v>
      </c>
      <c r="G22" s="481">
        <f>'Qtrly''s-Cntsht Book'!K24</f>
        <v>16</v>
      </c>
      <c r="H22" s="481">
        <f>'Qtrly''s-Cntsht Book'!N24</f>
        <v>14</v>
      </c>
      <c r="I22" s="481">
        <f>'Qtrly''s-Cntsht Book'!O24</f>
        <v>14</v>
      </c>
      <c r="J22" s="481">
        <f>'Qtrly''s-Cntsht Book'!P24</f>
        <v>17</v>
      </c>
      <c r="K22" s="481">
        <f>'Qtrly''s-Cntsht Book'!S24</f>
        <v>21</v>
      </c>
      <c r="L22" s="481">
        <f>'Qtrly''s-Cntsht Book'!T24</f>
        <v>23.13</v>
      </c>
      <c r="M22" s="481">
        <f>'Qtrly''s-Cntsht Book'!U24</f>
        <v>21</v>
      </c>
      <c r="N22" s="476">
        <f t="shared" si="3"/>
        <v>16.677499999999998</v>
      </c>
      <c r="O22" s="482">
        <f t="shared" si="4"/>
        <v>6087.2874999999995</v>
      </c>
    </row>
    <row r="23" spans="1:22" ht="23.45" customHeight="1" x14ac:dyDescent="0.25">
      <c r="A23" s="479" t="s">
        <v>145</v>
      </c>
      <c r="B23" s="481">
        <f>'Qtrly''s-Cntsht Book'!D25</f>
        <v>335</v>
      </c>
      <c r="C23" s="481">
        <f>'Qtrly''s-Cntsht Book'!E25</f>
        <v>303</v>
      </c>
      <c r="D23" s="481">
        <f>'Qtrly''s-Cntsht Book'!F25</f>
        <v>291</v>
      </c>
      <c r="E23" s="481">
        <f>'Qtrly''s-Cntsht Book'!I25</f>
        <v>282</v>
      </c>
      <c r="F23" s="481">
        <f>'Qtrly''s-Cntsht Book'!J25</f>
        <v>279</v>
      </c>
      <c r="G23" s="481">
        <f>'Qtrly''s-Cntsht Book'!K25</f>
        <v>286</v>
      </c>
      <c r="H23" s="481">
        <f>'Qtrly''s-Cntsht Book'!N25</f>
        <v>275</v>
      </c>
      <c r="I23" s="481">
        <f>'Qtrly''s-Cntsht Book'!O25</f>
        <v>263</v>
      </c>
      <c r="J23" s="481">
        <f>'Qtrly''s-Cntsht Book'!P25</f>
        <v>253</v>
      </c>
      <c r="K23" s="481">
        <f>'Qtrly''s-Cntsht Book'!S25</f>
        <v>290</v>
      </c>
      <c r="L23" s="481">
        <f>'Qtrly''s-Cntsht Book'!T25</f>
        <v>299</v>
      </c>
      <c r="M23" s="481">
        <f>'Qtrly''s-Cntsht Book'!U25</f>
        <v>286</v>
      </c>
      <c r="N23" s="476">
        <f t="shared" si="3"/>
        <v>286.83333333333331</v>
      </c>
      <c r="O23" s="482">
        <f t="shared" si="4"/>
        <v>104694.16666666666</v>
      </c>
    </row>
    <row r="24" spans="1:22" ht="23.45" customHeight="1" x14ac:dyDescent="0.25">
      <c r="A24" s="479" t="s">
        <v>359</v>
      </c>
      <c r="B24" s="481" t="str">
        <f>'Qtrly''s-Cntsht Book'!D26</f>
        <v>N/A</v>
      </c>
      <c r="C24" s="481" t="str">
        <f>'Qtrly''s-Cntsht Book'!E26</f>
        <v>N/A</v>
      </c>
      <c r="D24" s="481" t="str">
        <f>'Qtrly''s-Cntsht Book'!F26</f>
        <v>N/A</v>
      </c>
      <c r="E24" s="481" t="str">
        <f>'Qtrly''s-Cntsht Book'!I26</f>
        <v>N/A</v>
      </c>
      <c r="F24" s="481" t="str">
        <f>'Qtrly''s-Cntsht Book'!J26</f>
        <v>N/A</v>
      </c>
      <c r="G24" s="481" t="str">
        <f>'Qtrly''s-Cntsht Book'!K26</f>
        <v>N/A</v>
      </c>
      <c r="H24" s="481" t="str">
        <f>'Qtrly''s-Cntsht Book'!N26</f>
        <v>N/A</v>
      </c>
      <c r="I24" s="481" t="str">
        <f>'Qtrly''s-Cntsht Book'!O26</f>
        <v>N/A</v>
      </c>
      <c r="J24" s="481" t="str">
        <f>'Qtrly''s-Cntsht Book'!P26</f>
        <v>N/A</v>
      </c>
      <c r="K24" s="481" t="str">
        <f>'Qtrly''s-Cntsht Book'!S26</f>
        <v>N/A</v>
      </c>
      <c r="L24" s="481" t="str">
        <f>'Qtrly''s-Cntsht Book'!T26</f>
        <v>N/A</v>
      </c>
      <c r="M24" s="481" t="str">
        <f>'Qtrly''s-Cntsht Book'!U26</f>
        <v>N/A</v>
      </c>
      <c r="N24" s="476">
        <f>SUM(B24:M24)/3</f>
        <v>0</v>
      </c>
      <c r="O24" s="482">
        <f t="shared" si="4"/>
        <v>0</v>
      </c>
    </row>
    <row r="25" spans="1:22" ht="23.45" customHeight="1" thickBot="1" x14ac:dyDescent="0.3">
      <c r="A25" s="479" t="s">
        <v>148</v>
      </c>
      <c r="B25" s="481">
        <f>'Qtrly''s-Cntsht Book'!D27</f>
        <v>9</v>
      </c>
      <c r="C25" s="481">
        <f>'Qtrly''s-Cntsht Book'!E27</f>
        <v>9</v>
      </c>
      <c r="D25" s="481">
        <f>'Qtrly''s-Cntsht Book'!F27</f>
        <v>9</v>
      </c>
      <c r="E25" s="481">
        <f>'Qtrly''s-Cntsht Book'!I27</f>
        <v>9</v>
      </c>
      <c r="F25" s="481">
        <f>'Qtrly''s-Cntsht Book'!J27</f>
        <v>9</v>
      </c>
      <c r="G25" s="481">
        <f>'Qtrly''s-Cntsht Book'!K27</f>
        <v>9</v>
      </c>
      <c r="H25" s="481">
        <f>'Qtrly''s-Cntsht Book'!N27</f>
        <v>9</v>
      </c>
      <c r="I25" s="481">
        <f>'Qtrly''s-Cntsht Book'!O27</f>
        <v>9</v>
      </c>
      <c r="J25" s="481">
        <f>'Qtrly''s-Cntsht Book'!P27</f>
        <v>9</v>
      </c>
      <c r="K25" s="481">
        <f>'Qtrly''s-Cntsht Book'!S27</f>
        <v>9</v>
      </c>
      <c r="L25" s="481">
        <f>'Qtrly''s-Cntsht Book'!T27</f>
        <v>9</v>
      </c>
      <c r="M25" s="481">
        <f>'Qtrly''s-Cntsht Book'!U27</f>
        <v>9</v>
      </c>
      <c r="N25" s="476">
        <f t="shared" si="3"/>
        <v>9</v>
      </c>
      <c r="O25" s="482">
        <f t="shared" si="4"/>
        <v>3285</v>
      </c>
    </row>
    <row r="26" spans="1:22" ht="23.45" customHeight="1" thickBot="1" x14ac:dyDescent="0.3">
      <c r="A26" s="649" t="s">
        <v>152</v>
      </c>
      <c r="B26" s="650">
        <f>SUM(B20:B25)</f>
        <v>869.1</v>
      </c>
      <c r="C26" s="650">
        <f>SUM(C20:C25)</f>
        <v>806</v>
      </c>
      <c r="D26" s="650">
        <f t="shared" ref="D26:M26" si="5">SUM(D20:D25)</f>
        <v>801</v>
      </c>
      <c r="E26" s="650">
        <f t="shared" si="5"/>
        <v>748</v>
      </c>
      <c r="F26" s="650">
        <f t="shared" si="5"/>
        <v>754</v>
      </c>
      <c r="G26" s="650">
        <f t="shared" si="5"/>
        <v>749</v>
      </c>
      <c r="H26" s="650">
        <f t="shared" si="5"/>
        <v>725</v>
      </c>
      <c r="I26" s="650">
        <f t="shared" si="5"/>
        <v>733</v>
      </c>
      <c r="J26" s="650">
        <f t="shared" si="5"/>
        <v>692</v>
      </c>
      <c r="K26" s="650">
        <f t="shared" si="5"/>
        <v>743</v>
      </c>
      <c r="L26" s="650">
        <f t="shared" si="5"/>
        <v>741.65000000000009</v>
      </c>
      <c r="M26" s="650">
        <f t="shared" si="5"/>
        <v>714</v>
      </c>
      <c r="N26" s="648">
        <f>SUM(N20:N25)</f>
        <v>756.3125</v>
      </c>
      <c r="O26" s="648">
        <f>SUM(O20:O25)</f>
        <v>276054.0625</v>
      </c>
    </row>
    <row r="27" spans="1:22" ht="28.15" customHeight="1" thickBot="1" x14ac:dyDescent="0.3">
      <c r="A27" s="759" t="s">
        <v>156</v>
      </c>
      <c r="B27" s="760">
        <f>B18+B26</f>
        <v>5554</v>
      </c>
      <c r="C27" s="760">
        <f t="shared" ref="C27:L27" si="6">C18+C26</f>
        <v>5442</v>
      </c>
      <c r="D27" s="760">
        <f t="shared" si="6"/>
        <v>5357</v>
      </c>
      <c r="E27" s="760">
        <f t="shared" si="6"/>
        <v>5358</v>
      </c>
      <c r="F27" s="760">
        <f t="shared" si="6"/>
        <v>5163.4000000000005</v>
      </c>
      <c r="G27" s="760">
        <f t="shared" si="6"/>
        <v>5120.3999999999996</v>
      </c>
      <c r="H27" s="760">
        <f t="shared" si="6"/>
        <v>4982</v>
      </c>
      <c r="I27" s="760">
        <f t="shared" si="6"/>
        <v>4946.1000000000004</v>
      </c>
      <c r="J27" s="760">
        <f t="shared" si="6"/>
        <v>4916.1000000000004</v>
      </c>
      <c r="K27" s="760">
        <f t="shared" si="6"/>
        <v>4997</v>
      </c>
      <c r="L27" s="760">
        <f t="shared" si="6"/>
        <v>5001.3500000000004</v>
      </c>
      <c r="M27" s="760">
        <f>M18+M26</f>
        <v>4964.5</v>
      </c>
      <c r="N27" s="761">
        <f>SUM(B27:M27)/12</f>
        <v>5150.1541666666662</v>
      </c>
      <c r="O27" s="762">
        <f>O18+O26</f>
        <v>1880214.1708333334</v>
      </c>
    </row>
    <row r="29" spans="1:22" x14ac:dyDescent="0.2">
      <c r="A29" s="325"/>
    </row>
    <row r="31" spans="1:22" ht="15" customHeight="1" x14ac:dyDescent="0.2"/>
    <row r="32" spans="1:22" ht="15.75" x14ac:dyDescent="0.25">
      <c r="A32" s="195"/>
    </row>
    <row r="33" spans="1:1" ht="15" x14ac:dyDescent="0.25">
      <c r="A33" s="212" t="s">
        <v>928</v>
      </c>
    </row>
  </sheetData>
  <mergeCells count="3">
    <mergeCell ref="B2:M2"/>
    <mergeCell ref="N2:N3"/>
    <mergeCell ref="O2:O3"/>
  </mergeCells>
  <phoneticPr fontId="21" type="noConversion"/>
  <printOptions horizontalCentered="1" verticalCentered="1"/>
  <pageMargins left="0.75" right="0.75" top="0.97" bottom="1" header="0.33" footer="0.5"/>
  <pageSetup scale="62"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39997558519241921"/>
  </sheetPr>
  <dimension ref="A1:S107"/>
  <sheetViews>
    <sheetView showGridLines="0" topLeftCell="A79" zoomScaleNormal="100" workbookViewId="0">
      <selection activeCell="A107" sqref="A107"/>
    </sheetView>
  </sheetViews>
  <sheetFormatPr defaultRowHeight="12.75" x14ac:dyDescent="0.2"/>
  <cols>
    <col min="1" max="1" width="11.85546875" customWidth="1"/>
    <col min="2" max="2" width="9.7109375" customWidth="1"/>
    <col min="17" max="17" width="9.140625" bestFit="1" customWidth="1"/>
  </cols>
  <sheetData>
    <row r="1" spans="1:17" x14ac:dyDescent="0.2">
      <c r="A1" s="522" t="s">
        <v>623</v>
      </c>
    </row>
    <row r="2" spans="1:17" ht="4.9000000000000004" customHeight="1" x14ac:dyDescent="0.2">
      <c r="A2" s="522"/>
    </row>
    <row r="3" spans="1:17" s="598" customFormat="1" x14ac:dyDescent="0.2">
      <c r="A3" s="598" t="s">
        <v>532</v>
      </c>
      <c r="B3" s="593">
        <v>15</v>
      </c>
      <c r="C3" s="593">
        <v>7</v>
      </c>
      <c r="D3" s="593">
        <v>15</v>
      </c>
      <c r="E3" s="593">
        <v>20</v>
      </c>
      <c r="F3" s="593">
        <v>14</v>
      </c>
      <c r="G3" s="593">
        <v>10</v>
      </c>
      <c r="H3" s="593">
        <v>30</v>
      </c>
      <c r="I3" s="593">
        <v>30</v>
      </c>
      <c r="J3" s="593">
        <v>30</v>
      </c>
      <c r="K3" s="593">
        <v>15</v>
      </c>
      <c r="L3" s="593">
        <v>30</v>
      </c>
      <c r="M3" s="593">
        <v>10</v>
      </c>
      <c r="N3" s="593">
        <v>30</v>
      </c>
      <c r="O3" s="593">
        <v>10</v>
      </c>
      <c r="P3" s="593">
        <v>30</v>
      </c>
    </row>
    <row r="4" spans="1:17" s="597" customFormat="1" x14ac:dyDescent="0.2">
      <c r="B4" s="596" t="s">
        <v>505</v>
      </c>
      <c r="C4" s="596" t="s">
        <v>506</v>
      </c>
      <c r="D4" s="596" t="s">
        <v>507</v>
      </c>
      <c r="E4" s="596" t="s">
        <v>508</v>
      </c>
      <c r="F4" s="596" t="s">
        <v>509</v>
      </c>
      <c r="G4" s="596" t="s">
        <v>510</v>
      </c>
      <c r="H4" s="596" t="s">
        <v>511</v>
      </c>
      <c r="I4" s="596" t="s">
        <v>512</v>
      </c>
      <c r="J4" s="596" t="s">
        <v>513</v>
      </c>
      <c r="K4" s="596" t="s">
        <v>514</v>
      </c>
      <c r="L4" s="596" t="s">
        <v>515</v>
      </c>
      <c r="M4" s="596" t="s">
        <v>516</v>
      </c>
      <c r="N4" s="596" t="s">
        <v>517</v>
      </c>
      <c r="O4" s="596" t="s">
        <v>518</v>
      </c>
      <c r="P4" s="596" t="s">
        <v>519</v>
      </c>
    </row>
    <row r="5" spans="1:17" x14ac:dyDescent="0.2">
      <c r="A5" t="s">
        <v>520</v>
      </c>
      <c r="B5" s="595">
        <v>77</v>
      </c>
      <c r="C5" s="595">
        <v>50.5</v>
      </c>
      <c r="D5" s="595">
        <v>129</v>
      </c>
      <c r="E5" s="595">
        <v>274</v>
      </c>
      <c r="F5" s="595">
        <v>14</v>
      </c>
      <c r="G5" s="595">
        <v>87.5</v>
      </c>
      <c r="H5" s="595">
        <v>773.5</v>
      </c>
      <c r="I5" s="595">
        <v>309</v>
      </c>
      <c r="J5" s="595">
        <v>452.5</v>
      </c>
      <c r="K5" s="595">
        <v>91</v>
      </c>
      <c r="L5" s="595">
        <v>104.5</v>
      </c>
      <c r="M5" s="595">
        <v>151</v>
      </c>
      <c r="N5" s="595">
        <v>38</v>
      </c>
      <c r="O5" s="595">
        <v>118</v>
      </c>
      <c r="P5" s="595">
        <v>114</v>
      </c>
    </row>
    <row r="6" spans="1:17" x14ac:dyDescent="0.2">
      <c r="A6" t="s">
        <v>521</v>
      </c>
      <c r="B6" s="595">
        <v>50</v>
      </c>
      <c r="C6" s="595">
        <v>65</v>
      </c>
      <c r="D6" s="595">
        <v>160.5</v>
      </c>
      <c r="E6" s="595">
        <v>270</v>
      </c>
      <c r="F6" s="595">
        <v>24</v>
      </c>
      <c r="G6" s="595">
        <v>96</v>
      </c>
      <c r="H6" s="595">
        <v>913</v>
      </c>
      <c r="I6" s="595">
        <v>305</v>
      </c>
      <c r="J6" s="595">
        <v>405.5</v>
      </c>
      <c r="K6" s="595">
        <v>29.5</v>
      </c>
      <c r="L6" s="595">
        <v>104</v>
      </c>
      <c r="M6" s="595">
        <v>223</v>
      </c>
      <c r="N6" s="595">
        <v>82</v>
      </c>
      <c r="O6" s="595">
        <v>120</v>
      </c>
      <c r="P6" s="595">
        <v>106</v>
      </c>
    </row>
    <row r="7" spans="1:17" x14ac:dyDescent="0.2">
      <c r="A7" t="s">
        <v>522</v>
      </c>
      <c r="B7" s="595">
        <v>36</v>
      </c>
      <c r="C7" s="595">
        <v>37</v>
      </c>
      <c r="D7" s="595">
        <v>203.5</v>
      </c>
      <c r="E7" s="595">
        <v>230</v>
      </c>
      <c r="F7" s="595">
        <v>42</v>
      </c>
      <c r="G7" s="595">
        <v>105.5</v>
      </c>
      <c r="H7" s="595">
        <v>817</v>
      </c>
      <c r="I7" s="595">
        <v>148.5</v>
      </c>
      <c r="J7" s="595">
        <v>361</v>
      </c>
      <c r="K7" s="595">
        <v>83</v>
      </c>
      <c r="L7" s="595">
        <v>103.5</v>
      </c>
      <c r="M7" s="595">
        <v>255</v>
      </c>
      <c r="N7" s="595">
        <v>74</v>
      </c>
      <c r="O7" s="595">
        <v>88</v>
      </c>
      <c r="P7" s="595">
        <v>120</v>
      </c>
    </row>
    <row r="8" spans="1:17" x14ac:dyDescent="0.2">
      <c r="A8" t="s">
        <v>523</v>
      </c>
      <c r="B8" s="595">
        <v>37</v>
      </c>
      <c r="C8" s="595">
        <v>51.5</v>
      </c>
      <c r="D8" s="595">
        <v>205.5</v>
      </c>
      <c r="E8" s="595">
        <v>263</v>
      </c>
      <c r="F8" s="595">
        <v>6</v>
      </c>
      <c r="G8" s="595">
        <v>56</v>
      </c>
      <c r="H8" s="595">
        <v>764.5</v>
      </c>
      <c r="I8" s="595">
        <v>290.5</v>
      </c>
      <c r="J8" s="595">
        <v>376</v>
      </c>
      <c r="K8" s="595">
        <v>25.5</v>
      </c>
      <c r="L8" s="595">
        <v>247.5</v>
      </c>
      <c r="M8" s="595">
        <v>247.5</v>
      </c>
      <c r="N8" s="595">
        <v>59</v>
      </c>
      <c r="O8" s="595">
        <v>65</v>
      </c>
      <c r="P8" s="595">
        <v>101</v>
      </c>
    </row>
    <row r="9" spans="1:17" x14ac:dyDescent="0.2">
      <c r="A9" t="s">
        <v>524</v>
      </c>
      <c r="B9" s="595">
        <v>15</v>
      </c>
      <c r="C9" s="595">
        <v>20.5</v>
      </c>
      <c r="D9" s="595">
        <v>135.5</v>
      </c>
      <c r="E9" s="595">
        <v>143</v>
      </c>
      <c r="F9" s="595">
        <v>6</v>
      </c>
      <c r="G9" s="595">
        <v>73.5</v>
      </c>
      <c r="H9" s="595">
        <v>792.5</v>
      </c>
      <c r="I9" s="595">
        <v>275</v>
      </c>
      <c r="J9" s="595">
        <v>224.5</v>
      </c>
      <c r="K9" s="595">
        <v>36</v>
      </c>
      <c r="L9" s="595">
        <v>120</v>
      </c>
      <c r="M9" s="595">
        <v>185.5</v>
      </c>
      <c r="N9" s="595">
        <v>103</v>
      </c>
      <c r="O9" s="595">
        <v>116.5</v>
      </c>
      <c r="P9" s="595">
        <v>55</v>
      </c>
    </row>
    <row r="10" spans="1:17" x14ac:dyDescent="0.2">
      <c r="A10" t="s">
        <v>525</v>
      </c>
      <c r="B10" s="595">
        <v>39</v>
      </c>
      <c r="C10" s="595">
        <v>16</v>
      </c>
      <c r="D10" s="595">
        <v>95.5</v>
      </c>
      <c r="E10" s="595">
        <v>183</v>
      </c>
      <c r="F10" s="595">
        <v>16</v>
      </c>
      <c r="G10" s="595">
        <v>69</v>
      </c>
      <c r="H10" s="595">
        <v>865</v>
      </c>
      <c r="I10" s="592">
        <v>279.5</v>
      </c>
      <c r="J10" s="595">
        <v>149</v>
      </c>
      <c r="K10" s="595">
        <v>28</v>
      </c>
      <c r="L10" s="595">
        <v>153.5</v>
      </c>
      <c r="M10" s="595">
        <v>170</v>
      </c>
      <c r="N10" s="595">
        <v>117</v>
      </c>
      <c r="O10" s="595">
        <v>37</v>
      </c>
      <c r="P10" s="595">
        <v>51</v>
      </c>
    </row>
    <row r="11" spans="1:17" x14ac:dyDescent="0.2">
      <c r="A11" t="s">
        <v>526</v>
      </c>
      <c r="B11" s="595">
        <v>34.5</v>
      </c>
      <c r="C11" s="595">
        <v>18</v>
      </c>
      <c r="D11" s="595">
        <v>157.5</v>
      </c>
      <c r="E11" s="595">
        <v>261</v>
      </c>
      <c r="F11" s="595">
        <v>13</v>
      </c>
      <c r="G11" s="595">
        <v>90</v>
      </c>
      <c r="H11" s="595">
        <v>876.5</v>
      </c>
      <c r="I11" s="595">
        <v>263</v>
      </c>
      <c r="J11" s="748">
        <v>206</v>
      </c>
      <c r="K11" s="595">
        <v>25.5</v>
      </c>
      <c r="L11" s="595">
        <v>55.5</v>
      </c>
      <c r="M11" s="595">
        <v>317.5</v>
      </c>
      <c r="N11" s="595">
        <v>202</v>
      </c>
      <c r="O11" s="595">
        <v>53</v>
      </c>
      <c r="P11" s="595">
        <v>7</v>
      </c>
    </row>
    <row r="12" spans="1:17" x14ac:dyDescent="0.2">
      <c r="A12" t="s">
        <v>527</v>
      </c>
      <c r="B12" s="595">
        <v>18</v>
      </c>
      <c r="C12" s="595">
        <v>18.5</v>
      </c>
      <c r="D12" s="595">
        <v>171.5</v>
      </c>
      <c r="E12" s="595">
        <v>195</v>
      </c>
      <c r="F12" s="781">
        <v>2</v>
      </c>
      <c r="G12" s="595">
        <v>56</v>
      </c>
      <c r="H12" s="595">
        <v>914.5</v>
      </c>
      <c r="I12" s="595">
        <v>307.5</v>
      </c>
      <c r="J12" s="595">
        <v>223</v>
      </c>
      <c r="K12" s="587">
        <v>63.5</v>
      </c>
      <c r="L12" s="595">
        <v>64.5</v>
      </c>
      <c r="M12" s="781">
        <v>141</v>
      </c>
      <c r="N12" s="595">
        <v>87.5</v>
      </c>
      <c r="O12" s="595">
        <v>79</v>
      </c>
      <c r="P12" s="595">
        <v>59</v>
      </c>
    </row>
    <row r="13" spans="1:17" x14ac:dyDescent="0.2">
      <c r="A13" t="s">
        <v>533</v>
      </c>
      <c r="B13" s="595">
        <v>31</v>
      </c>
      <c r="C13" s="587">
        <v>49</v>
      </c>
      <c r="D13" s="595">
        <v>158</v>
      </c>
      <c r="E13" s="595">
        <v>138</v>
      </c>
      <c r="F13" s="781">
        <v>4.5</v>
      </c>
      <c r="G13" s="595">
        <v>54.5</v>
      </c>
      <c r="H13" s="595">
        <v>866</v>
      </c>
      <c r="I13" s="595">
        <v>292.5</v>
      </c>
      <c r="J13" s="587">
        <v>304</v>
      </c>
      <c r="K13" s="587">
        <v>48.5</v>
      </c>
      <c r="L13" s="595">
        <v>56.5</v>
      </c>
      <c r="M13" s="781">
        <v>239</v>
      </c>
      <c r="N13" s="595">
        <v>106</v>
      </c>
      <c r="O13" s="595">
        <v>41.5</v>
      </c>
      <c r="P13" s="595">
        <v>77</v>
      </c>
    </row>
    <row r="14" spans="1:17" x14ac:dyDescent="0.2">
      <c r="A14" t="s">
        <v>534</v>
      </c>
      <c r="B14" s="595">
        <v>14</v>
      </c>
      <c r="C14" s="587">
        <v>46</v>
      </c>
      <c r="D14" s="595">
        <v>106.5</v>
      </c>
      <c r="E14" s="595">
        <v>187</v>
      </c>
      <c r="F14" s="781">
        <v>31</v>
      </c>
      <c r="G14" s="595">
        <v>77.5</v>
      </c>
      <c r="H14" s="595">
        <v>1051.5</v>
      </c>
      <c r="I14" s="595">
        <v>347.5</v>
      </c>
      <c r="J14" s="587">
        <v>207</v>
      </c>
      <c r="K14" s="587">
        <v>36.5</v>
      </c>
      <c r="L14" s="595">
        <v>91</v>
      </c>
      <c r="M14" s="781">
        <v>253.5</v>
      </c>
      <c r="N14" s="595">
        <v>109</v>
      </c>
      <c r="O14" s="595">
        <v>61</v>
      </c>
      <c r="P14" s="595">
        <v>66</v>
      </c>
    </row>
    <row r="15" spans="1:17" x14ac:dyDescent="0.2">
      <c r="A15" t="s">
        <v>535</v>
      </c>
      <c r="B15" s="595">
        <v>25.5</v>
      </c>
      <c r="C15" s="587">
        <v>2</v>
      </c>
      <c r="D15" s="595">
        <v>117.5</v>
      </c>
      <c r="E15" s="587">
        <v>182</v>
      </c>
      <c r="F15" s="781">
        <v>11</v>
      </c>
      <c r="G15" s="595">
        <v>86</v>
      </c>
      <c r="H15" s="595">
        <v>929.5</v>
      </c>
      <c r="I15" s="595">
        <v>386.5</v>
      </c>
      <c r="J15" s="587">
        <v>260.5</v>
      </c>
      <c r="K15" s="587">
        <v>24</v>
      </c>
      <c r="L15" s="595">
        <v>34.5</v>
      </c>
      <c r="M15" s="781">
        <v>209</v>
      </c>
      <c r="N15" s="595">
        <v>71.5</v>
      </c>
      <c r="O15" s="595">
        <v>67</v>
      </c>
      <c r="P15" s="595">
        <v>79</v>
      </c>
    </row>
    <row r="16" spans="1:17" x14ac:dyDescent="0.2">
      <c r="A16" t="s">
        <v>430</v>
      </c>
      <c r="B16" s="587">
        <v>53</v>
      </c>
      <c r="C16" s="587">
        <v>25.5</v>
      </c>
      <c r="D16" s="587">
        <v>87.5</v>
      </c>
      <c r="E16" s="587">
        <v>191</v>
      </c>
      <c r="F16" s="781">
        <v>22</v>
      </c>
      <c r="G16" s="587">
        <v>82</v>
      </c>
      <c r="H16" s="587">
        <v>841.5</v>
      </c>
      <c r="I16" s="587">
        <v>284.5</v>
      </c>
      <c r="J16" s="587">
        <v>340.5</v>
      </c>
      <c r="K16" s="587">
        <v>8.5</v>
      </c>
      <c r="L16" s="595">
        <v>59</v>
      </c>
      <c r="M16" s="781">
        <v>209.5</v>
      </c>
      <c r="N16" s="587">
        <v>136.5</v>
      </c>
      <c r="O16" s="781">
        <v>107.5</v>
      </c>
      <c r="P16" s="587">
        <v>53</v>
      </c>
      <c r="Q16" s="522" t="s">
        <v>27</v>
      </c>
    </row>
    <row r="17" spans="1:17" x14ac:dyDescent="0.2">
      <c r="A17" s="749" t="s">
        <v>27</v>
      </c>
      <c r="B17" s="587">
        <f t="shared" ref="B17:P17" si="0">SUM(B5:B16)</f>
        <v>430</v>
      </c>
      <c r="C17" s="587">
        <f t="shared" si="0"/>
        <v>399.5</v>
      </c>
      <c r="D17" s="587">
        <f t="shared" si="0"/>
        <v>1728</v>
      </c>
      <c r="E17" s="587">
        <f t="shared" si="0"/>
        <v>2517</v>
      </c>
      <c r="F17" s="587">
        <f t="shared" si="0"/>
        <v>191.5</v>
      </c>
      <c r="G17" s="587">
        <f t="shared" si="0"/>
        <v>933.5</v>
      </c>
      <c r="H17" s="587">
        <f t="shared" si="0"/>
        <v>10405</v>
      </c>
      <c r="I17" s="587">
        <f t="shared" si="0"/>
        <v>3489</v>
      </c>
      <c r="J17" s="587">
        <f t="shared" si="0"/>
        <v>3509.5</v>
      </c>
      <c r="K17" s="587">
        <f t="shared" si="0"/>
        <v>499.5</v>
      </c>
      <c r="L17" s="587">
        <f t="shared" si="0"/>
        <v>1194</v>
      </c>
      <c r="M17" s="587">
        <f t="shared" si="0"/>
        <v>2601.5</v>
      </c>
      <c r="N17" s="587">
        <f t="shared" si="0"/>
        <v>1185.5</v>
      </c>
      <c r="O17" s="587">
        <f t="shared" si="0"/>
        <v>953.5</v>
      </c>
      <c r="P17" s="587">
        <f t="shared" si="0"/>
        <v>888</v>
      </c>
      <c r="Q17" s="522" t="s">
        <v>536</v>
      </c>
    </row>
    <row r="18" spans="1:17" x14ac:dyDescent="0.2">
      <c r="A18" s="750" t="s">
        <v>624</v>
      </c>
      <c r="B18" s="751">
        <f>AVERAGE(B5:B16)</f>
        <v>35.833333333333336</v>
      </c>
      <c r="C18" s="751">
        <f t="shared" ref="C18:P18" si="1">AVERAGE(C5:C16)</f>
        <v>33.291666666666664</v>
      </c>
      <c r="D18" s="751">
        <f t="shared" si="1"/>
        <v>144</v>
      </c>
      <c r="E18" s="751">
        <f t="shared" si="1"/>
        <v>209.75</v>
      </c>
      <c r="F18" s="751">
        <f t="shared" si="1"/>
        <v>15.958333333333334</v>
      </c>
      <c r="G18" s="751">
        <f t="shared" si="1"/>
        <v>77.791666666666671</v>
      </c>
      <c r="H18" s="751">
        <f t="shared" si="1"/>
        <v>867.08333333333337</v>
      </c>
      <c r="I18" s="751">
        <f t="shared" si="1"/>
        <v>290.75</v>
      </c>
      <c r="J18" s="751">
        <f t="shared" si="1"/>
        <v>292.45833333333331</v>
      </c>
      <c r="K18" s="751">
        <f t="shared" si="1"/>
        <v>41.625</v>
      </c>
      <c r="L18" s="751">
        <f t="shared" si="1"/>
        <v>99.5</v>
      </c>
      <c r="M18" s="751">
        <f t="shared" si="1"/>
        <v>216.79166666666666</v>
      </c>
      <c r="N18" s="751">
        <f t="shared" si="1"/>
        <v>98.791666666666671</v>
      </c>
      <c r="O18" s="751">
        <f t="shared" si="1"/>
        <v>79.458333333333329</v>
      </c>
      <c r="P18" s="751">
        <f t="shared" si="1"/>
        <v>74</v>
      </c>
      <c r="Q18" s="752">
        <f>SUM(B17:P17)</f>
        <v>30925</v>
      </c>
    </row>
    <row r="20" spans="1:17" x14ac:dyDescent="0.2">
      <c r="A20" s="588" t="s">
        <v>625</v>
      </c>
      <c r="B20">
        <f>Q18/365</f>
        <v>84.726027397260268</v>
      </c>
    </row>
    <row r="21" spans="1:17" ht="15.75" x14ac:dyDescent="0.25">
      <c r="A21" s="199" t="s">
        <v>583</v>
      </c>
      <c r="H21" s="782">
        <f>B20</f>
        <v>84.726027397260268</v>
      </c>
    </row>
    <row r="22" spans="1:17" x14ac:dyDescent="0.2">
      <c r="A22" s="753"/>
      <c r="B22" s="753"/>
      <c r="C22" s="753"/>
      <c r="D22" s="753"/>
      <c r="E22" s="753"/>
      <c r="F22" s="753"/>
      <c r="G22" s="753"/>
      <c r="H22" s="753"/>
      <c r="I22" s="753"/>
      <c r="J22" s="753"/>
      <c r="K22" s="753"/>
      <c r="L22" s="753"/>
      <c r="M22" s="753"/>
      <c r="N22" s="753"/>
      <c r="O22" s="753"/>
      <c r="P22" s="753"/>
      <c r="Q22" s="753"/>
    </row>
    <row r="24" spans="1:17" x14ac:dyDescent="0.2">
      <c r="A24" s="786" t="s">
        <v>655</v>
      </c>
    </row>
    <row r="25" spans="1:17" ht="4.9000000000000004" customHeight="1" x14ac:dyDescent="0.2">
      <c r="A25" s="786"/>
    </row>
    <row r="26" spans="1:17" s="787" customFormat="1" x14ac:dyDescent="0.2">
      <c r="A26" s="787" t="s">
        <v>504</v>
      </c>
      <c r="B26" s="788">
        <v>4</v>
      </c>
      <c r="C26" s="788">
        <v>6</v>
      </c>
      <c r="D26" s="788">
        <v>7</v>
      </c>
      <c r="E26" s="788">
        <v>8</v>
      </c>
      <c r="F26" s="788">
        <v>6</v>
      </c>
      <c r="G26" s="788">
        <v>7</v>
      </c>
      <c r="H26" s="788">
        <v>22</v>
      </c>
      <c r="I26" s="788">
        <v>12</v>
      </c>
      <c r="J26" s="788">
        <v>9</v>
      </c>
      <c r="K26" s="788">
        <v>12</v>
      </c>
      <c r="L26" s="788">
        <v>14</v>
      </c>
      <c r="M26" s="788">
        <v>15</v>
      </c>
      <c r="N26" s="788">
        <v>10</v>
      </c>
      <c r="O26" s="788">
        <v>13</v>
      </c>
      <c r="P26" s="788">
        <v>12</v>
      </c>
      <c r="Q26" s="789">
        <f>SUM(B26:P26)</f>
        <v>157</v>
      </c>
    </row>
    <row r="27" spans="1:17" s="597" customFormat="1" x14ac:dyDescent="0.2">
      <c r="B27" s="596" t="s">
        <v>505</v>
      </c>
      <c r="C27" s="596" t="s">
        <v>506</v>
      </c>
      <c r="D27" s="596" t="s">
        <v>507</v>
      </c>
      <c r="E27" s="596" t="s">
        <v>508</v>
      </c>
      <c r="F27" s="596" t="s">
        <v>509</v>
      </c>
      <c r="G27" s="596" t="s">
        <v>510</v>
      </c>
      <c r="H27" s="596" t="s">
        <v>511</v>
      </c>
      <c r="I27" s="596" t="s">
        <v>512</v>
      </c>
      <c r="J27" s="596" t="s">
        <v>513</v>
      </c>
      <c r="K27" s="596" t="s">
        <v>514</v>
      </c>
      <c r="L27" s="596" t="s">
        <v>515</v>
      </c>
      <c r="M27" s="596" t="s">
        <v>516</v>
      </c>
      <c r="N27" s="596" t="s">
        <v>517</v>
      </c>
      <c r="O27" s="596" t="s">
        <v>518</v>
      </c>
      <c r="P27" s="596" t="s">
        <v>519</v>
      </c>
    </row>
    <row r="28" spans="1:17" x14ac:dyDescent="0.2">
      <c r="A28" t="s">
        <v>520</v>
      </c>
      <c r="B28" s="595">
        <v>46</v>
      </c>
      <c r="C28" s="595">
        <v>8</v>
      </c>
      <c r="D28" s="595">
        <v>38</v>
      </c>
      <c r="E28" s="595">
        <v>58</v>
      </c>
      <c r="F28" s="790">
        <v>2</v>
      </c>
      <c r="G28" s="595">
        <v>44</v>
      </c>
      <c r="H28" s="595">
        <v>92</v>
      </c>
      <c r="I28" s="595">
        <v>93</v>
      </c>
      <c r="J28" s="791">
        <v>74</v>
      </c>
      <c r="K28" s="594">
        <v>7</v>
      </c>
      <c r="L28" s="595">
        <v>47</v>
      </c>
      <c r="M28" s="790">
        <v>42</v>
      </c>
      <c r="N28" s="595">
        <v>22</v>
      </c>
      <c r="O28" s="790">
        <v>25</v>
      </c>
      <c r="P28" s="595">
        <v>8</v>
      </c>
    </row>
    <row r="29" spans="1:17" x14ac:dyDescent="0.2">
      <c r="A29" t="s">
        <v>521</v>
      </c>
      <c r="B29" s="790">
        <v>10</v>
      </c>
      <c r="C29" s="595">
        <v>5</v>
      </c>
      <c r="D29" s="595">
        <v>37</v>
      </c>
      <c r="E29" s="790">
        <v>71</v>
      </c>
      <c r="F29" s="790">
        <v>5</v>
      </c>
      <c r="G29" s="595">
        <v>67</v>
      </c>
      <c r="H29" s="595">
        <v>86</v>
      </c>
      <c r="I29" s="595">
        <v>88</v>
      </c>
      <c r="J29" s="790">
        <v>55</v>
      </c>
      <c r="K29" s="595">
        <v>17</v>
      </c>
      <c r="L29" s="595">
        <v>65</v>
      </c>
      <c r="M29" s="790">
        <v>56</v>
      </c>
      <c r="N29" s="790">
        <v>23</v>
      </c>
      <c r="O29" s="790">
        <v>22</v>
      </c>
      <c r="P29" s="790">
        <v>5</v>
      </c>
    </row>
    <row r="30" spans="1:17" x14ac:dyDescent="0.2">
      <c r="A30" t="s">
        <v>522</v>
      </c>
      <c r="B30" s="595">
        <v>12</v>
      </c>
      <c r="C30" s="791">
        <v>8</v>
      </c>
      <c r="D30" s="595">
        <v>33</v>
      </c>
      <c r="E30" s="595">
        <v>72</v>
      </c>
      <c r="F30" s="595">
        <v>5</v>
      </c>
      <c r="G30" s="790">
        <v>39</v>
      </c>
      <c r="H30" s="790">
        <v>87</v>
      </c>
      <c r="I30" s="595">
        <v>104</v>
      </c>
      <c r="J30" s="790">
        <v>72</v>
      </c>
      <c r="K30" s="790">
        <v>14</v>
      </c>
      <c r="L30" s="790">
        <v>32</v>
      </c>
      <c r="M30" s="595">
        <v>63</v>
      </c>
      <c r="N30" s="595">
        <v>17</v>
      </c>
      <c r="O30" s="790">
        <v>22</v>
      </c>
      <c r="P30" s="790">
        <v>6</v>
      </c>
    </row>
    <row r="31" spans="1:17" x14ac:dyDescent="0.2">
      <c r="A31" t="s">
        <v>523</v>
      </c>
      <c r="B31" s="790">
        <v>15</v>
      </c>
      <c r="C31" s="595">
        <v>4</v>
      </c>
      <c r="D31" s="595">
        <v>46</v>
      </c>
      <c r="E31" s="595">
        <v>65</v>
      </c>
      <c r="F31" s="595">
        <v>5</v>
      </c>
      <c r="G31" s="595">
        <v>44</v>
      </c>
      <c r="H31" s="595">
        <v>84</v>
      </c>
      <c r="I31" s="595">
        <v>114</v>
      </c>
      <c r="J31" s="790">
        <v>72</v>
      </c>
      <c r="K31" s="790">
        <v>9</v>
      </c>
      <c r="L31" s="595">
        <v>21</v>
      </c>
      <c r="M31" s="595">
        <v>67</v>
      </c>
      <c r="N31" s="595">
        <v>32</v>
      </c>
      <c r="O31" s="790">
        <v>24</v>
      </c>
      <c r="P31" s="790">
        <v>8</v>
      </c>
    </row>
    <row r="32" spans="1:17" x14ac:dyDescent="0.2">
      <c r="A32" t="s">
        <v>524</v>
      </c>
      <c r="B32" s="595">
        <v>3</v>
      </c>
      <c r="C32" s="790">
        <v>6</v>
      </c>
      <c r="D32" s="595">
        <v>36</v>
      </c>
      <c r="E32" s="790">
        <v>40</v>
      </c>
      <c r="F32" s="595">
        <v>4</v>
      </c>
      <c r="G32" s="595">
        <v>33</v>
      </c>
      <c r="H32" s="595">
        <v>71</v>
      </c>
      <c r="I32" s="595">
        <v>69</v>
      </c>
      <c r="J32" s="790">
        <v>55</v>
      </c>
      <c r="K32" s="790">
        <v>4</v>
      </c>
      <c r="L32" s="595">
        <v>18</v>
      </c>
      <c r="M32" s="790">
        <v>44</v>
      </c>
      <c r="N32" s="595">
        <v>31</v>
      </c>
      <c r="O32" s="595">
        <v>18</v>
      </c>
      <c r="P32" s="595">
        <v>3</v>
      </c>
    </row>
    <row r="33" spans="1:17" x14ac:dyDescent="0.2">
      <c r="A33" t="s">
        <v>525</v>
      </c>
      <c r="B33" s="595">
        <v>6</v>
      </c>
      <c r="C33" s="790">
        <v>6</v>
      </c>
      <c r="D33" s="595">
        <v>17</v>
      </c>
      <c r="E33" s="790">
        <v>48</v>
      </c>
      <c r="F33" s="595">
        <v>2</v>
      </c>
      <c r="G33" s="595">
        <v>37</v>
      </c>
      <c r="H33" s="595">
        <v>91</v>
      </c>
      <c r="I33" s="594">
        <v>83</v>
      </c>
      <c r="J33" s="790">
        <v>59</v>
      </c>
      <c r="K33" s="790">
        <v>5</v>
      </c>
      <c r="L33" s="595">
        <v>17</v>
      </c>
      <c r="M33" s="790">
        <v>51</v>
      </c>
      <c r="N33" s="595">
        <v>23</v>
      </c>
      <c r="O33" s="595">
        <v>18</v>
      </c>
      <c r="P33" s="790">
        <v>10</v>
      </c>
    </row>
    <row r="34" spans="1:17" x14ac:dyDescent="0.2">
      <c r="A34" t="s">
        <v>526</v>
      </c>
      <c r="B34" s="595">
        <v>1</v>
      </c>
      <c r="C34" s="790">
        <v>5</v>
      </c>
      <c r="D34" s="595">
        <v>25</v>
      </c>
      <c r="E34" s="790">
        <v>41</v>
      </c>
      <c r="F34" s="595">
        <v>4</v>
      </c>
      <c r="G34" s="595">
        <v>41</v>
      </c>
      <c r="H34" s="595">
        <v>82</v>
      </c>
      <c r="I34" s="595">
        <v>97</v>
      </c>
      <c r="J34" s="595">
        <v>63</v>
      </c>
      <c r="K34" s="595">
        <v>12</v>
      </c>
      <c r="L34" s="595">
        <v>18</v>
      </c>
      <c r="M34" s="790">
        <v>55</v>
      </c>
      <c r="N34" s="595">
        <v>15</v>
      </c>
      <c r="O34" s="790">
        <v>16</v>
      </c>
      <c r="P34" s="595">
        <v>10</v>
      </c>
    </row>
    <row r="35" spans="1:17" x14ac:dyDescent="0.2">
      <c r="A35" t="s">
        <v>527</v>
      </c>
      <c r="B35" s="595">
        <v>9</v>
      </c>
      <c r="C35" s="595">
        <v>8</v>
      </c>
      <c r="D35" s="595">
        <v>19</v>
      </c>
      <c r="E35" s="595">
        <v>34</v>
      </c>
      <c r="F35" s="595">
        <v>11</v>
      </c>
      <c r="G35" s="595">
        <v>50</v>
      </c>
      <c r="H35" s="595">
        <v>62</v>
      </c>
      <c r="I35" s="595">
        <v>94</v>
      </c>
      <c r="J35" s="595">
        <v>49</v>
      </c>
      <c r="K35" s="595">
        <v>1</v>
      </c>
      <c r="L35" s="595">
        <v>25</v>
      </c>
      <c r="M35" s="595">
        <v>34</v>
      </c>
      <c r="N35" s="595">
        <v>25</v>
      </c>
      <c r="O35" s="595">
        <v>13</v>
      </c>
      <c r="P35" s="595">
        <v>5</v>
      </c>
    </row>
    <row r="36" spans="1:17" x14ac:dyDescent="0.2">
      <c r="A36" t="s">
        <v>528</v>
      </c>
      <c r="B36" s="595">
        <v>4</v>
      </c>
      <c r="C36" s="595">
        <v>5</v>
      </c>
      <c r="D36" s="595">
        <v>25</v>
      </c>
      <c r="E36" s="595">
        <v>58</v>
      </c>
      <c r="F36" s="595">
        <v>4</v>
      </c>
      <c r="G36" s="595">
        <v>38</v>
      </c>
      <c r="H36" s="595">
        <v>87</v>
      </c>
      <c r="I36" s="595">
        <v>96</v>
      </c>
      <c r="J36" s="595">
        <v>61</v>
      </c>
      <c r="K36" s="595">
        <v>9</v>
      </c>
      <c r="L36" s="595">
        <v>24</v>
      </c>
      <c r="M36" s="595">
        <v>49</v>
      </c>
      <c r="N36" s="595">
        <v>23</v>
      </c>
      <c r="O36" s="595">
        <v>16</v>
      </c>
      <c r="P36" s="595">
        <v>6</v>
      </c>
    </row>
    <row r="37" spans="1:17" x14ac:dyDescent="0.2">
      <c r="A37" t="s">
        <v>529</v>
      </c>
      <c r="B37" s="790">
        <v>2</v>
      </c>
      <c r="C37" s="790">
        <v>7</v>
      </c>
      <c r="D37" s="595">
        <v>29</v>
      </c>
      <c r="E37" s="595">
        <v>48</v>
      </c>
      <c r="F37" s="595">
        <v>8</v>
      </c>
      <c r="G37" s="595">
        <v>34</v>
      </c>
      <c r="H37" s="595">
        <v>73</v>
      </c>
      <c r="I37" s="595">
        <v>101</v>
      </c>
      <c r="J37" s="790">
        <v>44</v>
      </c>
      <c r="K37" s="595">
        <v>10</v>
      </c>
      <c r="L37" s="595">
        <v>33</v>
      </c>
      <c r="M37" s="595">
        <v>55</v>
      </c>
      <c r="N37" s="595">
        <v>20</v>
      </c>
      <c r="O37" s="790">
        <v>11</v>
      </c>
      <c r="P37" s="595">
        <v>5</v>
      </c>
    </row>
    <row r="38" spans="1:17" x14ac:dyDescent="0.2">
      <c r="A38" t="s">
        <v>429</v>
      </c>
      <c r="B38" s="595">
        <v>5</v>
      </c>
      <c r="C38" s="595">
        <v>7</v>
      </c>
      <c r="D38" s="595">
        <v>18</v>
      </c>
      <c r="E38" s="595">
        <v>60</v>
      </c>
      <c r="F38" s="595">
        <v>4</v>
      </c>
      <c r="G38" s="595">
        <v>53</v>
      </c>
      <c r="H38" s="595">
        <v>60</v>
      </c>
      <c r="I38" s="595">
        <v>103</v>
      </c>
      <c r="J38" s="790">
        <v>50</v>
      </c>
      <c r="K38" s="595">
        <v>8</v>
      </c>
      <c r="L38" s="595">
        <v>31</v>
      </c>
      <c r="M38" s="595">
        <v>44</v>
      </c>
      <c r="N38" s="595">
        <v>15</v>
      </c>
      <c r="O38" s="595">
        <v>12</v>
      </c>
      <c r="P38" s="595">
        <v>7</v>
      </c>
    </row>
    <row r="39" spans="1:17" x14ac:dyDescent="0.2">
      <c r="A39" t="s">
        <v>430</v>
      </c>
      <c r="B39" s="790">
        <v>15</v>
      </c>
      <c r="C39" s="790">
        <v>5</v>
      </c>
      <c r="D39" s="595">
        <v>18</v>
      </c>
      <c r="E39" s="790">
        <v>70</v>
      </c>
      <c r="F39" s="595">
        <v>4</v>
      </c>
      <c r="G39" s="595">
        <v>49</v>
      </c>
      <c r="H39" s="790">
        <v>57</v>
      </c>
      <c r="I39" s="595">
        <v>122</v>
      </c>
      <c r="J39" s="790">
        <v>65</v>
      </c>
      <c r="K39" s="790">
        <v>11</v>
      </c>
      <c r="L39" s="595">
        <v>29</v>
      </c>
      <c r="M39" s="790">
        <v>41</v>
      </c>
      <c r="N39" s="595">
        <v>15</v>
      </c>
      <c r="O39" s="595">
        <v>17</v>
      </c>
      <c r="P39" s="595">
        <v>6</v>
      </c>
      <c r="Q39" s="786" t="s">
        <v>530</v>
      </c>
    </row>
    <row r="40" spans="1:17" x14ac:dyDescent="0.2">
      <c r="A40" s="749" t="s">
        <v>27</v>
      </c>
      <c r="B40" s="792">
        <f t="shared" ref="B40:P40" si="2">SUM(B28:B39)</f>
        <v>128</v>
      </c>
      <c r="C40" s="792">
        <f t="shared" si="2"/>
        <v>74</v>
      </c>
      <c r="D40" s="792">
        <f t="shared" si="2"/>
        <v>341</v>
      </c>
      <c r="E40" s="792">
        <f t="shared" si="2"/>
        <v>665</v>
      </c>
      <c r="F40" s="792">
        <f t="shared" si="2"/>
        <v>58</v>
      </c>
      <c r="G40" s="792">
        <f t="shared" si="2"/>
        <v>529</v>
      </c>
      <c r="H40" s="792">
        <f t="shared" si="2"/>
        <v>932</v>
      </c>
      <c r="I40" s="792">
        <f t="shared" si="2"/>
        <v>1164</v>
      </c>
      <c r="J40" s="792">
        <f t="shared" si="2"/>
        <v>719</v>
      </c>
      <c r="K40" s="792">
        <f t="shared" si="2"/>
        <v>107</v>
      </c>
      <c r="L40" s="792">
        <f t="shared" si="2"/>
        <v>360</v>
      </c>
      <c r="M40" s="792">
        <f t="shared" si="2"/>
        <v>601</v>
      </c>
      <c r="N40" s="792">
        <f t="shared" si="2"/>
        <v>261</v>
      </c>
      <c r="O40" s="792">
        <f t="shared" si="2"/>
        <v>214</v>
      </c>
      <c r="P40" s="792">
        <f t="shared" si="2"/>
        <v>79</v>
      </c>
      <c r="Q40" s="786" t="s">
        <v>531</v>
      </c>
    </row>
    <row r="41" spans="1:17" x14ac:dyDescent="0.2">
      <c r="A41" s="749" t="s">
        <v>624</v>
      </c>
      <c r="B41" s="793">
        <f>AVERAGE(B28:B39)</f>
        <v>10.666666666666666</v>
      </c>
      <c r="C41" s="793">
        <f t="shared" ref="C41:P41" si="3">AVERAGE(C28:C39)</f>
        <v>6.166666666666667</v>
      </c>
      <c r="D41" s="793">
        <f t="shared" si="3"/>
        <v>28.416666666666668</v>
      </c>
      <c r="E41" s="793">
        <f t="shared" si="3"/>
        <v>55.416666666666664</v>
      </c>
      <c r="F41" s="793">
        <f t="shared" si="3"/>
        <v>4.833333333333333</v>
      </c>
      <c r="G41" s="793">
        <f t="shared" si="3"/>
        <v>44.083333333333336</v>
      </c>
      <c r="H41" s="793">
        <f t="shared" si="3"/>
        <v>77.666666666666671</v>
      </c>
      <c r="I41" s="793">
        <f t="shared" si="3"/>
        <v>97</v>
      </c>
      <c r="J41" s="793">
        <f t="shared" si="3"/>
        <v>59.916666666666664</v>
      </c>
      <c r="K41" s="793">
        <f t="shared" si="3"/>
        <v>8.9166666666666661</v>
      </c>
      <c r="L41" s="793">
        <f t="shared" si="3"/>
        <v>30</v>
      </c>
      <c r="M41" s="793">
        <f t="shared" si="3"/>
        <v>50.083333333333336</v>
      </c>
      <c r="N41" s="793">
        <f t="shared" si="3"/>
        <v>21.75</v>
      </c>
      <c r="O41" s="793">
        <f t="shared" si="3"/>
        <v>17.833333333333332</v>
      </c>
      <c r="P41" s="793">
        <f t="shared" si="3"/>
        <v>6.583333333333333</v>
      </c>
      <c r="Q41" s="794">
        <f>SUM(B40:P40)</f>
        <v>6232</v>
      </c>
    </row>
    <row r="42" spans="1:17" x14ac:dyDescent="0.2">
      <c r="I42" s="597"/>
    </row>
    <row r="43" spans="1:17" x14ac:dyDescent="0.2">
      <c r="A43" s="786" t="s">
        <v>656</v>
      </c>
    </row>
    <row r="44" spans="1:17" ht="4.9000000000000004" customHeight="1" x14ac:dyDescent="0.2">
      <c r="A44" s="786"/>
    </row>
    <row r="45" spans="1:17" s="787" customFormat="1" x14ac:dyDescent="0.2">
      <c r="A45" s="787" t="s">
        <v>532</v>
      </c>
      <c r="B45" s="795">
        <v>15</v>
      </c>
      <c r="C45" s="795">
        <v>7</v>
      </c>
      <c r="D45" s="795">
        <v>15</v>
      </c>
      <c r="E45" s="795">
        <v>20</v>
      </c>
      <c r="F45" s="795">
        <v>14</v>
      </c>
      <c r="G45" s="795">
        <v>10</v>
      </c>
      <c r="H45" s="795">
        <v>30</v>
      </c>
      <c r="I45" s="795">
        <v>30</v>
      </c>
      <c r="J45" s="795">
        <v>30</v>
      </c>
      <c r="K45" s="795">
        <v>15</v>
      </c>
      <c r="L45" s="795">
        <v>30</v>
      </c>
      <c r="M45" s="795">
        <v>10</v>
      </c>
      <c r="N45" s="795">
        <v>30</v>
      </c>
      <c r="O45" s="795">
        <v>10</v>
      </c>
      <c r="P45" s="795">
        <v>30</v>
      </c>
    </row>
    <row r="46" spans="1:17" s="597" customFormat="1" x14ac:dyDescent="0.2">
      <c r="B46" s="596" t="s">
        <v>505</v>
      </c>
      <c r="C46" s="596" t="s">
        <v>506</v>
      </c>
      <c r="D46" s="596" t="s">
        <v>507</v>
      </c>
      <c r="E46" s="596" t="s">
        <v>508</v>
      </c>
      <c r="F46" s="596" t="s">
        <v>509</v>
      </c>
      <c r="G46" s="596" t="s">
        <v>510</v>
      </c>
      <c r="H46" s="596" t="s">
        <v>511</v>
      </c>
      <c r="I46" s="596" t="s">
        <v>512</v>
      </c>
      <c r="J46" s="596" t="s">
        <v>513</v>
      </c>
      <c r="K46" s="596" t="s">
        <v>514</v>
      </c>
      <c r="L46" s="596" t="s">
        <v>515</v>
      </c>
      <c r="M46" s="596" t="s">
        <v>516</v>
      </c>
      <c r="N46" s="596" t="s">
        <v>517</v>
      </c>
      <c r="O46" s="596" t="s">
        <v>518</v>
      </c>
      <c r="P46" s="596" t="s">
        <v>519</v>
      </c>
    </row>
    <row r="47" spans="1:17" x14ac:dyDescent="0.2">
      <c r="A47" t="s">
        <v>520</v>
      </c>
      <c r="B47" s="595">
        <v>98</v>
      </c>
      <c r="C47" s="595">
        <v>19.5</v>
      </c>
      <c r="D47" s="595">
        <v>136</v>
      </c>
      <c r="E47" s="595">
        <v>212</v>
      </c>
      <c r="F47" s="595">
        <v>2</v>
      </c>
      <c r="G47" s="595">
        <v>57</v>
      </c>
      <c r="H47" s="595">
        <v>936.5</v>
      </c>
      <c r="I47" s="595">
        <v>282</v>
      </c>
      <c r="J47" s="595">
        <v>359.5</v>
      </c>
      <c r="K47" s="595">
        <v>17.5</v>
      </c>
      <c r="L47" s="595">
        <v>76.5</v>
      </c>
      <c r="M47" s="595">
        <v>238</v>
      </c>
      <c r="N47" s="595">
        <v>124.5</v>
      </c>
      <c r="O47" s="595">
        <v>106</v>
      </c>
      <c r="P47" s="595">
        <v>62</v>
      </c>
    </row>
    <row r="48" spans="1:17" x14ac:dyDescent="0.2">
      <c r="A48" t="s">
        <v>521</v>
      </c>
      <c r="B48" s="595">
        <v>55.5</v>
      </c>
      <c r="C48" s="595">
        <v>19</v>
      </c>
      <c r="D48" s="595">
        <v>151</v>
      </c>
      <c r="E48" s="595">
        <v>267</v>
      </c>
      <c r="F48" s="595">
        <v>28</v>
      </c>
      <c r="G48" s="595">
        <v>89.5</v>
      </c>
      <c r="H48" s="595">
        <v>790</v>
      </c>
      <c r="I48" s="595">
        <v>289.5</v>
      </c>
      <c r="J48" s="595">
        <v>226.5</v>
      </c>
      <c r="K48" s="595">
        <v>40.5</v>
      </c>
      <c r="L48" s="595">
        <v>165.5</v>
      </c>
      <c r="M48" s="595">
        <v>194.5</v>
      </c>
      <c r="N48" s="595">
        <v>91.5</v>
      </c>
      <c r="O48" s="595">
        <v>64</v>
      </c>
      <c r="P48" s="595">
        <v>47</v>
      </c>
    </row>
    <row r="49" spans="1:17" x14ac:dyDescent="0.2">
      <c r="A49" t="s">
        <v>522</v>
      </c>
      <c r="B49" s="595">
        <v>36.5</v>
      </c>
      <c r="C49" s="595">
        <v>34.5</v>
      </c>
      <c r="D49" s="595">
        <v>197.5</v>
      </c>
      <c r="E49" s="595">
        <v>173</v>
      </c>
      <c r="F49" s="595">
        <v>8.5</v>
      </c>
      <c r="G49" s="595">
        <v>65.5</v>
      </c>
      <c r="H49" s="595">
        <v>848</v>
      </c>
      <c r="I49" s="595">
        <v>312.5</v>
      </c>
      <c r="J49" s="595">
        <v>246.5</v>
      </c>
      <c r="K49" s="595">
        <v>58</v>
      </c>
      <c r="L49" s="595">
        <v>109.5</v>
      </c>
      <c r="M49" s="595">
        <v>275</v>
      </c>
      <c r="N49" s="595">
        <v>120</v>
      </c>
      <c r="O49" s="595">
        <v>164</v>
      </c>
      <c r="P49" s="595">
        <v>13</v>
      </c>
    </row>
    <row r="50" spans="1:17" x14ac:dyDescent="0.2">
      <c r="A50" t="s">
        <v>523</v>
      </c>
      <c r="B50" s="595">
        <v>53</v>
      </c>
      <c r="C50" s="595">
        <v>8</v>
      </c>
      <c r="D50" s="595">
        <v>184.5</v>
      </c>
      <c r="E50" s="595">
        <v>226</v>
      </c>
      <c r="F50" s="595">
        <v>13</v>
      </c>
      <c r="G50" s="595">
        <v>81.5</v>
      </c>
      <c r="H50" s="595">
        <v>764</v>
      </c>
      <c r="I50" s="595">
        <v>357.5</v>
      </c>
      <c r="J50" s="595">
        <v>320.5</v>
      </c>
      <c r="K50" s="595">
        <v>25.5</v>
      </c>
      <c r="L50" s="595">
        <v>80</v>
      </c>
      <c r="M50" s="595">
        <v>351</v>
      </c>
      <c r="N50" s="595">
        <v>134.5</v>
      </c>
      <c r="O50" s="595">
        <v>98.5</v>
      </c>
      <c r="P50" s="595">
        <v>41</v>
      </c>
    </row>
    <row r="51" spans="1:17" x14ac:dyDescent="0.2">
      <c r="A51" t="s">
        <v>524</v>
      </c>
      <c r="B51" s="595">
        <v>5</v>
      </c>
      <c r="C51" s="595">
        <v>25.5</v>
      </c>
      <c r="D51" s="595">
        <v>151</v>
      </c>
      <c r="E51" s="595">
        <v>182</v>
      </c>
      <c r="F51" s="595">
        <v>10</v>
      </c>
      <c r="G51" s="595">
        <v>66</v>
      </c>
      <c r="H51" s="595">
        <v>647</v>
      </c>
      <c r="I51" s="595">
        <v>218</v>
      </c>
      <c r="J51" s="595">
        <v>264</v>
      </c>
      <c r="K51" s="595">
        <v>32</v>
      </c>
      <c r="L51" s="595">
        <v>59.5</v>
      </c>
      <c r="M51" s="595">
        <v>239.5</v>
      </c>
      <c r="N51" s="595">
        <v>161.5</v>
      </c>
      <c r="O51" s="595">
        <v>81</v>
      </c>
      <c r="P51" s="595">
        <v>21</v>
      </c>
    </row>
    <row r="52" spans="1:17" x14ac:dyDescent="0.2">
      <c r="A52" t="s">
        <v>525</v>
      </c>
      <c r="B52" s="595">
        <v>27</v>
      </c>
      <c r="C52" s="595">
        <v>22.5</v>
      </c>
      <c r="D52" s="595">
        <v>103.5</v>
      </c>
      <c r="E52" s="595">
        <v>211</v>
      </c>
      <c r="F52" s="595">
        <v>3</v>
      </c>
      <c r="G52" s="595">
        <v>66.5</v>
      </c>
      <c r="H52" s="595">
        <v>781.5</v>
      </c>
      <c r="I52" s="592">
        <v>266</v>
      </c>
      <c r="J52" s="595">
        <v>193</v>
      </c>
      <c r="K52" s="595">
        <v>19.5</v>
      </c>
      <c r="L52" s="595">
        <v>64</v>
      </c>
      <c r="M52" s="595">
        <v>168.5</v>
      </c>
      <c r="N52" s="595">
        <v>133.5</v>
      </c>
      <c r="O52" s="595">
        <v>50.5</v>
      </c>
      <c r="P52" s="595">
        <v>70</v>
      </c>
    </row>
    <row r="53" spans="1:17" x14ac:dyDescent="0.2">
      <c r="A53" t="s">
        <v>526</v>
      </c>
      <c r="B53" s="595">
        <v>1</v>
      </c>
      <c r="C53" s="595">
        <v>28</v>
      </c>
      <c r="D53" s="595">
        <v>154.5</v>
      </c>
      <c r="E53" s="595">
        <v>154</v>
      </c>
      <c r="F53" s="595">
        <v>26.5</v>
      </c>
      <c r="G53" s="595">
        <v>71</v>
      </c>
      <c r="H53" s="595">
        <v>645.5</v>
      </c>
      <c r="I53" s="595">
        <v>281</v>
      </c>
      <c r="J53" s="595">
        <v>225.5</v>
      </c>
      <c r="K53" s="595">
        <v>88</v>
      </c>
      <c r="L53" s="595">
        <v>53</v>
      </c>
      <c r="M53" s="595">
        <v>255</v>
      </c>
      <c r="N53" s="595">
        <v>87</v>
      </c>
      <c r="O53" s="595">
        <v>80</v>
      </c>
      <c r="P53" s="595">
        <v>131</v>
      </c>
    </row>
    <row r="54" spans="1:17" x14ac:dyDescent="0.2">
      <c r="A54" t="s">
        <v>527</v>
      </c>
      <c r="B54" s="595">
        <v>20</v>
      </c>
      <c r="C54" s="595">
        <v>17.5</v>
      </c>
      <c r="D54" s="595">
        <v>107</v>
      </c>
      <c r="E54" s="790">
        <v>156</v>
      </c>
      <c r="F54" s="595">
        <v>34</v>
      </c>
      <c r="G54" s="595">
        <v>121</v>
      </c>
      <c r="H54" s="595">
        <v>618.5</v>
      </c>
      <c r="I54" s="595">
        <v>272</v>
      </c>
      <c r="J54" s="595">
        <v>208</v>
      </c>
      <c r="K54" s="595">
        <v>11.5</v>
      </c>
      <c r="L54" s="595">
        <v>80</v>
      </c>
      <c r="M54" s="595">
        <v>134</v>
      </c>
      <c r="N54" s="595">
        <v>93</v>
      </c>
      <c r="O54" s="595">
        <v>72</v>
      </c>
      <c r="P54" s="595">
        <v>61</v>
      </c>
    </row>
    <row r="55" spans="1:17" x14ac:dyDescent="0.2">
      <c r="A55" t="s">
        <v>533</v>
      </c>
      <c r="B55" s="595">
        <v>6</v>
      </c>
      <c r="C55" s="595">
        <v>9.5</v>
      </c>
      <c r="D55" s="595">
        <v>101</v>
      </c>
      <c r="E55" s="595">
        <v>147</v>
      </c>
      <c r="F55" s="595">
        <v>16</v>
      </c>
      <c r="G55" s="595">
        <v>68.5</v>
      </c>
      <c r="H55" s="595">
        <v>887</v>
      </c>
      <c r="I55" s="595">
        <v>300.5</v>
      </c>
      <c r="J55" s="595">
        <v>296.5</v>
      </c>
      <c r="K55" s="595">
        <v>50.5</v>
      </c>
      <c r="L55" s="595">
        <v>76</v>
      </c>
      <c r="M55" s="595">
        <v>195.5</v>
      </c>
      <c r="N55" s="595">
        <v>111</v>
      </c>
      <c r="O55" s="595">
        <v>68</v>
      </c>
      <c r="P55" s="595">
        <v>83</v>
      </c>
    </row>
    <row r="56" spans="1:17" x14ac:dyDescent="0.2">
      <c r="A56" t="s">
        <v>534</v>
      </c>
      <c r="B56" s="595">
        <v>6.5</v>
      </c>
      <c r="C56" s="595">
        <v>13</v>
      </c>
      <c r="D56" s="595">
        <v>146.5</v>
      </c>
      <c r="E56" s="595">
        <v>220</v>
      </c>
      <c r="F56" s="595">
        <v>8.5</v>
      </c>
      <c r="G56" s="595">
        <v>37</v>
      </c>
      <c r="H56" s="595">
        <v>640</v>
      </c>
      <c r="I56" s="595">
        <v>268.5</v>
      </c>
      <c r="J56" s="595">
        <v>208.8</v>
      </c>
      <c r="K56" s="595">
        <v>65.5</v>
      </c>
      <c r="L56" s="796">
        <v>73.5</v>
      </c>
      <c r="M56" s="595">
        <v>291.5</v>
      </c>
      <c r="N56" s="595">
        <v>194.5</v>
      </c>
      <c r="O56" s="790">
        <v>37</v>
      </c>
      <c r="P56" s="595">
        <v>114</v>
      </c>
    </row>
    <row r="57" spans="1:17" x14ac:dyDescent="0.2">
      <c r="A57" t="s">
        <v>535</v>
      </c>
      <c r="B57" s="595">
        <v>9</v>
      </c>
      <c r="C57" s="595">
        <v>32</v>
      </c>
      <c r="D57" s="595">
        <v>101.5</v>
      </c>
      <c r="E57" s="595">
        <v>253</v>
      </c>
      <c r="F57" s="595">
        <v>7.5</v>
      </c>
      <c r="G57" s="595">
        <v>100</v>
      </c>
      <c r="H57" s="595">
        <v>574.5</v>
      </c>
      <c r="I57" s="595">
        <v>323</v>
      </c>
      <c r="J57" s="595">
        <v>193.5</v>
      </c>
      <c r="K57" s="595">
        <v>18</v>
      </c>
      <c r="L57" s="595">
        <v>62</v>
      </c>
      <c r="M57" s="595">
        <v>243.5</v>
      </c>
      <c r="N57" s="595">
        <v>73</v>
      </c>
      <c r="O57" s="595">
        <v>90</v>
      </c>
      <c r="P57" s="595">
        <v>77</v>
      </c>
    </row>
    <row r="58" spans="1:17" x14ac:dyDescent="0.2">
      <c r="A58" t="s">
        <v>430</v>
      </c>
      <c r="B58" s="595">
        <v>35.5</v>
      </c>
      <c r="C58" s="595">
        <v>21</v>
      </c>
      <c r="D58" s="595">
        <v>76.5</v>
      </c>
      <c r="E58" s="595">
        <v>188</v>
      </c>
      <c r="F58" s="595">
        <v>1.5</v>
      </c>
      <c r="G58" s="595">
        <v>40</v>
      </c>
      <c r="H58" s="595">
        <v>485.5</v>
      </c>
      <c r="I58" s="595">
        <v>331</v>
      </c>
      <c r="J58" s="595">
        <v>317.5</v>
      </c>
      <c r="K58" s="790">
        <v>55</v>
      </c>
      <c r="L58" s="595">
        <v>60.5</v>
      </c>
      <c r="M58" s="595">
        <v>195.5</v>
      </c>
      <c r="N58" s="595">
        <v>66.5</v>
      </c>
      <c r="O58" s="595">
        <v>65.5</v>
      </c>
      <c r="P58" s="595">
        <v>26</v>
      </c>
      <c r="Q58" s="786" t="s">
        <v>27</v>
      </c>
    </row>
    <row r="59" spans="1:17" x14ac:dyDescent="0.2">
      <c r="A59" s="749" t="s">
        <v>27</v>
      </c>
      <c r="B59" s="792">
        <f t="shared" ref="B59:P59" si="4">SUM(B47:B58)</f>
        <v>353</v>
      </c>
      <c r="C59" s="792">
        <f t="shared" si="4"/>
        <v>250</v>
      </c>
      <c r="D59" s="792">
        <f t="shared" si="4"/>
        <v>1610.5</v>
      </c>
      <c r="E59" s="792">
        <f t="shared" si="4"/>
        <v>2389</v>
      </c>
      <c r="F59" s="792">
        <f t="shared" si="4"/>
        <v>158.5</v>
      </c>
      <c r="G59" s="792">
        <f t="shared" si="4"/>
        <v>863.5</v>
      </c>
      <c r="H59" s="792">
        <f t="shared" si="4"/>
        <v>8618</v>
      </c>
      <c r="I59" s="792">
        <f t="shared" si="4"/>
        <v>3501.5</v>
      </c>
      <c r="J59" s="792">
        <f t="shared" si="4"/>
        <v>3059.8</v>
      </c>
      <c r="K59" s="792">
        <f t="shared" si="4"/>
        <v>481.5</v>
      </c>
      <c r="L59" s="792">
        <f t="shared" si="4"/>
        <v>960</v>
      </c>
      <c r="M59" s="792">
        <f t="shared" si="4"/>
        <v>2781.5</v>
      </c>
      <c r="N59" s="792">
        <f t="shared" si="4"/>
        <v>1390.5</v>
      </c>
      <c r="O59" s="792">
        <f t="shared" si="4"/>
        <v>976.5</v>
      </c>
      <c r="P59" s="792">
        <f t="shared" si="4"/>
        <v>746</v>
      </c>
      <c r="Q59" s="786" t="s">
        <v>536</v>
      </c>
    </row>
    <row r="60" spans="1:17" x14ac:dyDescent="0.2">
      <c r="A60" s="749" t="s">
        <v>624</v>
      </c>
      <c r="B60" s="751">
        <f>AVERAGE(B47:B58)</f>
        <v>29.416666666666668</v>
      </c>
      <c r="C60" s="751">
        <f t="shared" ref="C60:P60" si="5">AVERAGE(C47:C58)</f>
        <v>20.833333333333332</v>
      </c>
      <c r="D60" s="751">
        <f t="shared" si="5"/>
        <v>134.20833333333334</v>
      </c>
      <c r="E60" s="751">
        <f t="shared" si="5"/>
        <v>199.08333333333334</v>
      </c>
      <c r="F60" s="751">
        <f t="shared" si="5"/>
        <v>13.208333333333334</v>
      </c>
      <c r="G60" s="751">
        <f t="shared" si="5"/>
        <v>71.958333333333329</v>
      </c>
      <c r="H60" s="751">
        <f t="shared" si="5"/>
        <v>718.16666666666663</v>
      </c>
      <c r="I60" s="751">
        <f t="shared" si="5"/>
        <v>291.79166666666669</v>
      </c>
      <c r="J60" s="751">
        <f t="shared" si="5"/>
        <v>254.98333333333335</v>
      </c>
      <c r="K60" s="751">
        <f t="shared" si="5"/>
        <v>40.125</v>
      </c>
      <c r="L60" s="751">
        <f t="shared" si="5"/>
        <v>80</v>
      </c>
      <c r="M60" s="751">
        <f t="shared" si="5"/>
        <v>231.79166666666666</v>
      </c>
      <c r="N60" s="751">
        <f t="shared" si="5"/>
        <v>115.875</v>
      </c>
      <c r="O60" s="751">
        <f t="shared" si="5"/>
        <v>81.375</v>
      </c>
      <c r="P60" s="751">
        <f t="shared" si="5"/>
        <v>62.166666666666664</v>
      </c>
      <c r="Q60" s="797">
        <f>SUM(B59:P59)</f>
        <v>28139.8</v>
      </c>
    </row>
    <row r="62" spans="1:17" x14ac:dyDescent="0.2">
      <c r="A62" s="588" t="s">
        <v>657</v>
      </c>
      <c r="B62">
        <f>Q60/365</f>
        <v>77.095342465753419</v>
      </c>
    </row>
    <row r="63" spans="1:17" ht="15.75" x14ac:dyDescent="0.25">
      <c r="A63" s="199" t="s">
        <v>649</v>
      </c>
      <c r="H63" s="782">
        <f>B62</f>
        <v>77.095342465753419</v>
      </c>
    </row>
    <row r="64" spans="1:17" x14ac:dyDescent="0.2">
      <c r="A64" s="753"/>
      <c r="B64" s="753"/>
      <c r="C64" s="753"/>
      <c r="D64" s="753"/>
      <c r="E64" s="753"/>
      <c r="F64" s="753"/>
      <c r="G64" s="753"/>
      <c r="H64" s="753"/>
      <c r="I64" s="753"/>
      <c r="J64" s="753"/>
      <c r="K64" s="753"/>
      <c r="L64" s="753"/>
      <c r="M64" s="753"/>
      <c r="N64" s="753"/>
      <c r="O64" s="753"/>
      <c r="P64" s="753"/>
      <c r="Q64" s="753"/>
    </row>
    <row r="66" spans="1:19" x14ac:dyDescent="0.2">
      <c r="A66" s="1026" t="s">
        <v>925</v>
      </c>
      <c r="B66" s="1025"/>
      <c r="C66" s="1025"/>
      <c r="D66" s="1025"/>
      <c r="E66" s="1025"/>
      <c r="F66" s="1025"/>
      <c r="G66" s="1025"/>
      <c r="H66" s="1025"/>
      <c r="I66" s="1025"/>
      <c r="J66" s="1025"/>
      <c r="K66" s="1025"/>
      <c r="L66" s="1025"/>
      <c r="M66" s="1025"/>
      <c r="N66" s="1025"/>
      <c r="O66" s="1025"/>
      <c r="P66" s="1025"/>
      <c r="Q66" s="1025"/>
      <c r="R66" s="1025"/>
      <c r="S66" s="1025"/>
    </row>
    <row r="67" spans="1:19" x14ac:dyDescent="0.2">
      <c r="A67" s="1026"/>
      <c r="B67" s="1025"/>
      <c r="C67" s="1025"/>
      <c r="D67" s="1025"/>
      <c r="E67" s="1025"/>
      <c r="F67" s="1025"/>
      <c r="G67" s="1025"/>
      <c r="H67" s="1025"/>
      <c r="I67" s="1025"/>
      <c r="J67" s="1025"/>
      <c r="K67" s="1025"/>
      <c r="L67" s="1025"/>
      <c r="M67" s="1025"/>
      <c r="N67" s="1025"/>
      <c r="O67" s="1025"/>
      <c r="P67" s="1025"/>
      <c r="Q67" s="1025"/>
      <c r="R67" s="1025"/>
      <c r="S67" s="1025"/>
    </row>
    <row r="68" spans="1:19" x14ac:dyDescent="0.2">
      <c r="A68" s="1029" t="s">
        <v>504</v>
      </c>
      <c r="B68" s="1032">
        <v>4</v>
      </c>
      <c r="C68" s="1032">
        <v>6</v>
      </c>
      <c r="D68" s="1032">
        <v>7</v>
      </c>
      <c r="E68" s="1032">
        <v>8</v>
      </c>
      <c r="F68" s="1032">
        <v>6</v>
      </c>
      <c r="G68" s="1032">
        <v>7</v>
      </c>
      <c r="H68" s="1032">
        <v>22</v>
      </c>
      <c r="I68" s="1032">
        <v>12</v>
      </c>
      <c r="J68" s="1032">
        <v>9</v>
      </c>
      <c r="K68" s="1032">
        <v>12</v>
      </c>
      <c r="L68" s="1032">
        <v>14</v>
      </c>
      <c r="M68" s="1032">
        <v>15</v>
      </c>
      <c r="N68" s="1032">
        <v>10</v>
      </c>
      <c r="O68" s="1032">
        <v>13</v>
      </c>
      <c r="P68" s="1032">
        <v>12</v>
      </c>
      <c r="Q68" s="1033">
        <v>157</v>
      </c>
      <c r="R68" s="1029"/>
      <c r="S68" s="1029"/>
    </row>
    <row r="69" spans="1:19" x14ac:dyDescent="0.2">
      <c r="A69" s="1028"/>
      <c r="B69" s="1027" t="s">
        <v>505</v>
      </c>
      <c r="C69" s="1027" t="s">
        <v>506</v>
      </c>
      <c r="D69" s="1027" t="s">
        <v>507</v>
      </c>
      <c r="E69" s="1027" t="s">
        <v>508</v>
      </c>
      <c r="F69" s="1027" t="s">
        <v>509</v>
      </c>
      <c r="G69" s="1027" t="s">
        <v>510</v>
      </c>
      <c r="H69" s="1027" t="s">
        <v>511</v>
      </c>
      <c r="I69" s="1027" t="s">
        <v>512</v>
      </c>
      <c r="J69" s="1027" t="s">
        <v>513</v>
      </c>
      <c r="K69" s="1027" t="s">
        <v>514</v>
      </c>
      <c r="L69" s="1027" t="s">
        <v>515</v>
      </c>
      <c r="M69" s="1027" t="s">
        <v>516</v>
      </c>
      <c r="N69" s="1027" t="s">
        <v>517</v>
      </c>
      <c r="O69" s="1027" t="s">
        <v>518</v>
      </c>
      <c r="P69" s="1027" t="s">
        <v>519</v>
      </c>
      <c r="Q69" s="1028"/>
      <c r="R69" s="1028"/>
      <c r="S69" s="1028"/>
    </row>
    <row r="70" spans="1:19" x14ac:dyDescent="0.2">
      <c r="A70" s="1025" t="s">
        <v>520</v>
      </c>
      <c r="B70" s="1030">
        <v>22</v>
      </c>
      <c r="C70" s="1030">
        <v>10</v>
      </c>
      <c r="D70" s="1030">
        <v>24</v>
      </c>
      <c r="E70" s="1030">
        <v>68</v>
      </c>
      <c r="F70" s="1036">
        <v>3</v>
      </c>
      <c r="G70" s="1030">
        <v>42</v>
      </c>
      <c r="H70" s="1030">
        <v>63</v>
      </c>
      <c r="I70" s="1030">
        <v>103</v>
      </c>
      <c r="J70" s="1036">
        <v>46</v>
      </c>
      <c r="K70" s="1030">
        <v>12</v>
      </c>
      <c r="L70" s="1030">
        <v>53</v>
      </c>
      <c r="M70" s="1036">
        <v>35</v>
      </c>
      <c r="N70" s="1030">
        <v>12</v>
      </c>
      <c r="O70" s="1036">
        <v>22</v>
      </c>
      <c r="P70" s="1030">
        <v>5</v>
      </c>
      <c r="Q70" s="1025"/>
      <c r="R70" s="1025"/>
      <c r="S70" s="1025"/>
    </row>
    <row r="71" spans="1:19" x14ac:dyDescent="0.2">
      <c r="A71" s="1025" t="s">
        <v>521</v>
      </c>
      <c r="B71" s="1036">
        <v>7</v>
      </c>
      <c r="C71" s="1030">
        <v>11</v>
      </c>
      <c r="D71" s="1030">
        <v>19</v>
      </c>
      <c r="E71" s="1036">
        <v>89</v>
      </c>
      <c r="F71" s="1036">
        <v>7</v>
      </c>
      <c r="G71" s="1030">
        <v>57</v>
      </c>
      <c r="H71" s="1030">
        <v>66</v>
      </c>
      <c r="I71" s="1030">
        <v>90</v>
      </c>
      <c r="J71" s="1036">
        <v>44</v>
      </c>
      <c r="K71" s="1030">
        <v>10</v>
      </c>
      <c r="L71" s="1030">
        <v>39</v>
      </c>
      <c r="M71" s="1036">
        <v>52</v>
      </c>
      <c r="N71" s="1036">
        <v>12</v>
      </c>
      <c r="O71" s="1036">
        <v>21</v>
      </c>
      <c r="P71" s="1036">
        <v>3</v>
      </c>
      <c r="Q71" s="1025"/>
      <c r="R71" s="1025"/>
      <c r="S71" s="1025"/>
    </row>
    <row r="72" spans="1:19" x14ac:dyDescent="0.2">
      <c r="A72" s="1025" t="s">
        <v>522</v>
      </c>
      <c r="B72" s="1030">
        <v>4</v>
      </c>
      <c r="C72" s="1036">
        <v>10</v>
      </c>
      <c r="D72" s="1036">
        <v>15</v>
      </c>
      <c r="E72" s="1030">
        <v>58</v>
      </c>
      <c r="F72" s="1030">
        <v>8</v>
      </c>
      <c r="G72" s="1036">
        <v>46</v>
      </c>
      <c r="H72" s="1036">
        <v>62</v>
      </c>
      <c r="I72" s="1036">
        <v>87</v>
      </c>
      <c r="J72" s="1036">
        <v>68</v>
      </c>
      <c r="K72" s="1036">
        <v>11</v>
      </c>
      <c r="L72" s="1036">
        <v>29</v>
      </c>
      <c r="M72" s="1030">
        <v>60</v>
      </c>
      <c r="N72" s="1030">
        <v>17</v>
      </c>
      <c r="O72" s="1036">
        <v>23</v>
      </c>
      <c r="P72" s="1036">
        <v>7</v>
      </c>
      <c r="Q72" s="1025"/>
      <c r="R72" s="1025"/>
      <c r="S72" s="1025"/>
    </row>
    <row r="73" spans="1:19" x14ac:dyDescent="0.2">
      <c r="A73" s="1025" t="s">
        <v>523</v>
      </c>
      <c r="B73" s="1036">
        <v>5</v>
      </c>
      <c r="C73" s="1030">
        <v>3</v>
      </c>
      <c r="D73" s="1030">
        <v>27</v>
      </c>
      <c r="E73" s="1030">
        <v>39</v>
      </c>
      <c r="F73" s="1030">
        <v>3</v>
      </c>
      <c r="G73" s="1030">
        <v>40</v>
      </c>
      <c r="H73" s="1030">
        <v>50</v>
      </c>
      <c r="I73" s="1030">
        <v>91</v>
      </c>
      <c r="J73" s="1036">
        <v>50</v>
      </c>
      <c r="K73" s="1036">
        <v>6</v>
      </c>
      <c r="L73" s="1030">
        <v>22</v>
      </c>
      <c r="M73" s="1030">
        <v>42</v>
      </c>
      <c r="N73" s="1030">
        <v>13</v>
      </c>
      <c r="O73" s="1036">
        <v>15</v>
      </c>
      <c r="P73" s="1036">
        <v>5</v>
      </c>
      <c r="Q73" s="1025"/>
      <c r="R73" s="1025"/>
      <c r="S73" s="1025"/>
    </row>
    <row r="74" spans="1:19" x14ac:dyDescent="0.2">
      <c r="A74" s="1025" t="s">
        <v>524</v>
      </c>
      <c r="B74" s="1030">
        <v>6</v>
      </c>
      <c r="C74" s="1036">
        <v>1</v>
      </c>
      <c r="D74" s="1030">
        <v>26</v>
      </c>
      <c r="E74" s="1036">
        <v>47</v>
      </c>
      <c r="F74" s="1030">
        <v>4</v>
      </c>
      <c r="G74" s="1030">
        <v>37</v>
      </c>
      <c r="H74" s="1030">
        <v>57</v>
      </c>
      <c r="I74" s="1030">
        <v>85</v>
      </c>
      <c r="J74" s="1036">
        <v>53</v>
      </c>
      <c r="K74" s="1036">
        <v>3</v>
      </c>
      <c r="L74" s="1030">
        <v>17</v>
      </c>
      <c r="M74" s="1036">
        <v>40</v>
      </c>
      <c r="N74" s="1030">
        <v>18</v>
      </c>
      <c r="O74" s="1030">
        <v>17</v>
      </c>
      <c r="P74" s="1030">
        <v>6</v>
      </c>
      <c r="Q74" s="1025"/>
      <c r="R74" s="1043"/>
      <c r="S74" s="1025"/>
    </row>
    <row r="75" spans="1:19" x14ac:dyDescent="0.2">
      <c r="A75" s="1025" t="s">
        <v>525</v>
      </c>
      <c r="B75" s="1030">
        <v>3</v>
      </c>
      <c r="C75" s="1036">
        <v>0</v>
      </c>
      <c r="D75" s="1030">
        <v>15</v>
      </c>
      <c r="E75" s="1036">
        <v>58</v>
      </c>
      <c r="F75" s="1030">
        <v>1</v>
      </c>
      <c r="G75" s="1030">
        <v>31</v>
      </c>
      <c r="H75" s="1030">
        <v>57</v>
      </c>
      <c r="I75" s="1030">
        <v>132</v>
      </c>
      <c r="J75" s="1036">
        <v>56</v>
      </c>
      <c r="K75" s="1036">
        <v>2</v>
      </c>
      <c r="L75" s="1030">
        <v>16</v>
      </c>
      <c r="M75" s="1036">
        <v>38</v>
      </c>
      <c r="N75" s="1030">
        <v>28</v>
      </c>
      <c r="O75" s="1030">
        <v>9</v>
      </c>
      <c r="P75" s="1036">
        <v>7</v>
      </c>
      <c r="Q75" s="1025"/>
      <c r="R75" s="1025"/>
      <c r="S75" s="1025"/>
    </row>
    <row r="76" spans="1:19" x14ac:dyDescent="0.2">
      <c r="A76" s="1025" t="s">
        <v>526</v>
      </c>
      <c r="B76" s="1030">
        <v>5</v>
      </c>
      <c r="C76" s="1036">
        <v>5</v>
      </c>
      <c r="D76" s="1030">
        <v>20</v>
      </c>
      <c r="E76" s="1036">
        <v>33</v>
      </c>
      <c r="F76" s="1030">
        <v>5</v>
      </c>
      <c r="G76" s="1036">
        <v>39</v>
      </c>
      <c r="H76" s="1030">
        <v>71</v>
      </c>
      <c r="I76" s="1030">
        <v>95</v>
      </c>
      <c r="J76" s="1030">
        <v>49</v>
      </c>
      <c r="K76" s="1030">
        <v>4</v>
      </c>
      <c r="L76" s="1030">
        <v>14</v>
      </c>
      <c r="M76" s="1036">
        <v>39</v>
      </c>
      <c r="N76" s="1030">
        <v>20</v>
      </c>
      <c r="O76" s="1036">
        <v>9</v>
      </c>
      <c r="P76" s="1030">
        <v>11</v>
      </c>
      <c r="Q76" s="1025"/>
      <c r="R76" s="1025"/>
      <c r="S76" s="1025"/>
    </row>
    <row r="77" spans="1:19" x14ac:dyDescent="0.2">
      <c r="A77" s="1025" t="s">
        <v>527</v>
      </c>
      <c r="B77" s="1030">
        <v>2</v>
      </c>
      <c r="C77" s="1036">
        <v>3</v>
      </c>
      <c r="D77" s="1030">
        <v>20</v>
      </c>
      <c r="E77" s="1030">
        <v>52</v>
      </c>
      <c r="F77" s="1030">
        <v>4</v>
      </c>
      <c r="G77" s="1030">
        <v>32</v>
      </c>
      <c r="H77" s="1030">
        <v>74</v>
      </c>
      <c r="I77" s="1030">
        <v>78</v>
      </c>
      <c r="J77" s="1036">
        <v>56</v>
      </c>
      <c r="K77" s="1030">
        <v>2</v>
      </c>
      <c r="L77" s="1030">
        <v>14</v>
      </c>
      <c r="M77" s="1030">
        <v>33</v>
      </c>
      <c r="N77" s="1030">
        <v>15</v>
      </c>
      <c r="O77" s="1036">
        <v>8</v>
      </c>
      <c r="P77" s="1030">
        <v>6</v>
      </c>
      <c r="Q77" s="1025"/>
      <c r="R77" s="1025"/>
      <c r="S77" s="1025"/>
    </row>
    <row r="78" spans="1:19" x14ac:dyDescent="0.2">
      <c r="A78" s="1025" t="s">
        <v>528</v>
      </c>
      <c r="B78" s="1030">
        <v>5</v>
      </c>
      <c r="C78" s="1030">
        <v>1</v>
      </c>
      <c r="D78" s="1030">
        <v>23</v>
      </c>
      <c r="E78" s="1030">
        <v>45</v>
      </c>
      <c r="F78" s="1036">
        <v>6</v>
      </c>
      <c r="G78" s="1030">
        <v>43</v>
      </c>
      <c r="H78" s="1030">
        <v>80</v>
      </c>
      <c r="I78" s="1030">
        <v>91</v>
      </c>
      <c r="J78" s="1036">
        <v>64</v>
      </c>
      <c r="K78" s="1030">
        <v>7</v>
      </c>
      <c r="L78" s="1030">
        <v>8</v>
      </c>
      <c r="M78" s="1030">
        <v>34</v>
      </c>
      <c r="N78" s="1030">
        <v>16</v>
      </c>
      <c r="O78" s="1030">
        <v>11</v>
      </c>
      <c r="P78" s="1030">
        <v>3</v>
      </c>
      <c r="Q78" s="1025"/>
      <c r="R78" s="1025"/>
      <c r="S78" s="1025"/>
    </row>
    <row r="79" spans="1:19" x14ac:dyDescent="0.2">
      <c r="A79" s="1025" t="s">
        <v>529</v>
      </c>
      <c r="B79" s="1036">
        <v>2</v>
      </c>
      <c r="C79" s="1036">
        <v>0</v>
      </c>
      <c r="D79" s="1030">
        <v>24</v>
      </c>
      <c r="E79" s="1030">
        <v>45</v>
      </c>
      <c r="F79" s="1030">
        <v>12</v>
      </c>
      <c r="G79" s="1030">
        <v>35</v>
      </c>
      <c r="H79" s="1030">
        <v>82</v>
      </c>
      <c r="I79" s="1030">
        <v>98</v>
      </c>
      <c r="J79" s="1036">
        <v>54</v>
      </c>
      <c r="K79" s="1030">
        <v>7</v>
      </c>
      <c r="L79" s="1030">
        <v>16</v>
      </c>
      <c r="M79" s="1030">
        <v>47</v>
      </c>
      <c r="N79" s="1030">
        <v>22</v>
      </c>
      <c r="O79" s="1036">
        <v>8</v>
      </c>
      <c r="P79" s="1030">
        <v>2</v>
      </c>
      <c r="Q79" s="1025"/>
      <c r="R79" s="1025"/>
      <c r="S79" s="1025"/>
    </row>
    <row r="80" spans="1:19" x14ac:dyDescent="0.2">
      <c r="A80" s="1025" t="s">
        <v>429</v>
      </c>
      <c r="B80" s="1030">
        <v>3</v>
      </c>
      <c r="C80" s="1030">
        <v>2</v>
      </c>
      <c r="D80" s="1030">
        <v>21</v>
      </c>
      <c r="E80" s="1030">
        <v>40</v>
      </c>
      <c r="F80" s="1030">
        <v>4</v>
      </c>
      <c r="G80" s="1030">
        <v>34</v>
      </c>
      <c r="H80" s="1030">
        <v>79</v>
      </c>
      <c r="I80" s="1030">
        <v>87</v>
      </c>
      <c r="J80" s="1036">
        <v>48</v>
      </c>
      <c r="K80" s="1030">
        <v>13</v>
      </c>
      <c r="L80" s="1030">
        <v>20</v>
      </c>
      <c r="M80" s="1030">
        <v>49</v>
      </c>
      <c r="N80" s="1030">
        <v>17</v>
      </c>
      <c r="O80" s="1030">
        <v>9</v>
      </c>
      <c r="P80" s="1030">
        <v>1</v>
      </c>
      <c r="Q80" s="1025"/>
      <c r="R80" s="1025"/>
      <c r="S80" s="1025"/>
    </row>
    <row r="81" spans="1:19" x14ac:dyDescent="0.2">
      <c r="A81" s="1025" t="s">
        <v>430</v>
      </c>
      <c r="B81" s="1036">
        <v>4</v>
      </c>
      <c r="C81" s="1036">
        <v>2</v>
      </c>
      <c r="D81" s="1030">
        <v>22</v>
      </c>
      <c r="E81" s="1036">
        <v>44</v>
      </c>
      <c r="F81" s="1030">
        <v>2</v>
      </c>
      <c r="G81" s="1030">
        <v>31</v>
      </c>
      <c r="H81" s="1036">
        <v>46</v>
      </c>
      <c r="I81" s="1030">
        <v>93</v>
      </c>
      <c r="J81" s="1036">
        <v>44</v>
      </c>
      <c r="K81" s="1036">
        <v>7</v>
      </c>
      <c r="L81" s="1030">
        <v>17</v>
      </c>
      <c r="M81" s="1036">
        <v>54</v>
      </c>
      <c r="N81" s="1030">
        <v>11</v>
      </c>
      <c r="O81" s="1030">
        <v>9</v>
      </c>
      <c r="P81" s="1030">
        <v>10</v>
      </c>
      <c r="Q81" s="1026" t="s">
        <v>530</v>
      </c>
      <c r="R81" s="1025"/>
      <c r="S81" s="1025"/>
    </row>
    <row r="82" spans="1:19" x14ac:dyDescent="0.2">
      <c r="A82" s="1037" t="s">
        <v>27</v>
      </c>
      <c r="B82" s="1031">
        <v>68</v>
      </c>
      <c r="C82" s="1031">
        <v>48</v>
      </c>
      <c r="D82" s="1031">
        <v>256</v>
      </c>
      <c r="E82" s="1031">
        <v>618</v>
      </c>
      <c r="F82" s="1031">
        <v>59</v>
      </c>
      <c r="G82" s="1031">
        <v>467</v>
      </c>
      <c r="H82" s="1031">
        <v>787</v>
      </c>
      <c r="I82" s="1031">
        <v>1130</v>
      </c>
      <c r="J82" s="1031">
        <v>632</v>
      </c>
      <c r="K82" s="1031">
        <v>84</v>
      </c>
      <c r="L82" s="1031">
        <v>265</v>
      </c>
      <c r="M82" s="1031">
        <v>523</v>
      </c>
      <c r="N82" s="1031">
        <v>201</v>
      </c>
      <c r="O82" s="1031">
        <v>161</v>
      </c>
      <c r="P82" s="1031">
        <v>66</v>
      </c>
      <c r="Q82" s="1026" t="s">
        <v>531</v>
      </c>
    </row>
    <row r="83" spans="1:19" x14ac:dyDescent="0.2">
      <c r="A83" s="1037" t="s">
        <v>624</v>
      </c>
      <c r="B83" s="1038">
        <v>5.666666666666667</v>
      </c>
      <c r="C83" s="1038">
        <v>4</v>
      </c>
      <c r="D83" s="1038">
        <v>21.333333333333332</v>
      </c>
      <c r="E83" s="1038">
        <v>51.5</v>
      </c>
      <c r="F83" s="1038">
        <v>4.916666666666667</v>
      </c>
      <c r="G83" s="1038">
        <v>38.916666666666664</v>
      </c>
      <c r="H83" s="1038">
        <v>65.583333333333329</v>
      </c>
      <c r="I83" s="1038">
        <v>94.166666666666671</v>
      </c>
      <c r="J83" s="1038">
        <v>52.666666666666664</v>
      </c>
      <c r="K83" s="1038">
        <v>7</v>
      </c>
      <c r="L83" s="1038">
        <v>22.083333333333332</v>
      </c>
      <c r="M83" s="1038">
        <v>43.583333333333336</v>
      </c>
      <c r="N83" s="1038">
        <v>16.75</v>
      </c>
      <c r="O83" s="1038">
        <v>13.416666666666666</v>
      </c>
      <c r="P83" s="1038">
        <v>5.5</v>
      </c>
      <c r="Q83" s="1040">
        <v>5365</v>
      </c>
    </row>
    <row r="84" spans="1:19" x14ac:dyDescent="0.2">
      <c r="A84" s="1025"/>
      <c r="B84" s="1025"/>
      <c r="C84" s="1025"/>
      <c r="D84" s="1025"/>
      <c r="E84" s="1025"/>
      <c r="F84" s="1025"/>
      <c r="G84" s="1025"/>
      <c r="H84" s="1025"/>
      <c r="I84" s="1028"/>
      <c r="J84" s="1025"/>
      <c r="K84" s="1025"/>
      <c r="L84" s="1025"/>
      <c r="M84" s="1025"/>
      <c r="N84" s="1025"/>
      <c r="O84" s="1025"/>
      <c r="P84" s="1025"/>
      <c r="Q84" s="1025"/>
    </row>
    <row r="85" spans="1:19" x14ac:dyDescent="0.2">
      <c r="A85" s="1026" t="s">
        <v>926</v>
      </c>
      <c r="B85" s="1025"/>
      <c r="C85" s="1025"/>
      <c r="D85" s="1025"/>
      <c r="E85" s="1025"/>
      <c r="F85" s="1025"/>
      <c r="G85" s="1025"/>
      <c r="H85" s="1025"/>
      <c r="I85" s="1025"/>
      <c r="J85" s="1025"/>
      <c r="K85" s="1025"/>
      <c r="L85" s="1025"/>
      <c r="M85" s="1025"/>
      <c r="N85" s="1025"/>
      <c r="O85" s="1025"/>
      <c r="P85" s="1025"/>
      <c r="Q85" s="1025"/>
    </row>
    <row r="86" spans="1:19" x14ac:dyDescent="0.2">
      <c r="A86" s="1026"/>
      <c r="B86" s="1025"/>
      <c r="C86" s="1025"/>
      <c r="D86" s="1025"/>
      <c r="E86" s="1025"/>
      <c r="F86" s="1025"/>
      <c r="G86" s="1025"/>
      <c r="H86" s="1025"/>
      <c r="I86" s="1025"/>
      <c r="J86" s="1025"/>
      <c r="K86" s="1025"/>
      <c r="L86" s="1025"/>
      <c r="M86" s="1025"/>
      <c r="N86" s="1025"/>
      <c r="O86" s="1025"/>
      <c r="P86" s="1025"/>
      <c r="Q86" s="1025"/>
    </row>
    <row r="87" spans="1:19" x14ac:dyDescent="0.2">
      <c r="A87" s="1029" t="s">
        <v>532</v>
      </c>
      <c r="B87" s="1034">
        <v>15</v>
      </c>
      <c r="C87" s="1034">
        <v>7</v>
      </c>
      <c r="D87" s="1034">
        <v>15</v>
      </c>
      <c r="E87" s="1034">
        <v>20</v>
      </c>
      <c r="F87" s="1034">
        <v>14</v>
      </c>
      <c r="G87" s="1034">
        <v>10</v>
      </c>
      <c r="H87" s="1034">
        <v>30</v>
      </c>
      <c r="I87" s="1034">
        <v>30</v>
      </c>
      <c r="J87" s="1034">
        <v>30</v>
      </c>
      <c r="K87" s="1034">
        <v>15</v>
      </c>
      <c r="L87" s="1034">
        <v>30</v>
      </c>
      <c r="M87" s="1034">
        <v>10</v>
      </c>
      <c r="N87" s="1034">
        <v>30</v>
      </c>
      <c r="O87" s="1034">
        <v>10</v>
      </c>
      <c r="P87" s="1034">
        <v>30</v>
      </c>
      <c r="Q87" s="1042">
        <v>266</v>
      </c>
    </row>
    <row r="88" spans="1:19" x14ac:dyDescent="0.2">
      <c r="A88" s="1028"/>
      <c r="B88" s="1027" t="s">
        <v>505</v>
      </c>
      <c r="C88" s="1027" t="s">
        <v>506</v>
      </c>
      <c r="D88" s="1027" t="s">
        <v>507</v>
      </c>
      <c r="E88" s="1027" t="s">
        <v>508</v>
      </c>
      <c r="F88" s="1027" t="s">
        <v>509</v>
      </c>
      <c r="G88" s="1027" t="s">
        <v>510</v>
      </c>
      <c r="H88" s="1027" t="s">
        <v>511</v>
      </c>
      <c r="I88" s="1027" t="s">
        <v>512</v>
      </c>
      <c r="J88" s="1027" t="s">
        <v>513</v>
      </c>
      <c r="K88" s="1027" t="s">
        <v>514</v>
      </c>
      <c r="L88" s="1027" t="s">
        <v>515</v>
      </c>
      <c r="M88" s="1027" t="s">
        <v>516</v>
      </c>
      <c r="N88" s="1027" t="s">
        <v>517</v>
      </c>
      <c r="O88" s="1027" t="s">
        <v>518</v>
      </c>
      <c r="P88" s="1027" t="s">
        <v>519</v>
      </c>
      <c r="Q88" s="1028"/>
    </row>
    <row r="89" spans="1:19" x14ac:dyDescent="0.2">
      <c r="A89" s="1025" t="s">
        <v>520</v>
      </c>
      <c r="B89" s="1030">
        <v>35.5</v>
      </c>
      <c r="C89" s="1030">
        <v>13</v>
      </c>
      <c r="D89" s="1030">
        <v>139</v>
      </c>
      <c r="E89" s="1030">
        <v>170</v>
      </c>
      <c r="F89" s="1030">
        <v>3</v>
      </c>
      <c r="G89" s="1030">
        <v>54.5</v>
      </c>
      <c r="H89" s="1030">
        <v>394</v>
      </c>
      <c r="I89" s="1030">
        <v>311.5</v>
      </c>
      <c r="J89" s="1030">
        <v>248.7</v>
      </c>
      <c r="K89" s="1030">
        <v>28</v>
      </c>
      <c r="L89" s="1030">
        <v>91.5</v>
      </c>
      <c r="M89" s="1030">
        <v>129</v>
      </c>
      <c r="N89" s="1030">
        <v>51.5</v>
      </c>
      <c r="O89" s="1030">
        <v>56.5</v>
      </c>
      <c r="P89" s="1030">
        <v>11</v>
      </c>
      <c r="Q89" s="1025"/>
    </row>
    <row r="90" spans="1:19" x14ac:dyDescent="0.2">
      <c r="A90" s="1025" t="s">
        <v>521</v>
      </c>
      <c r="B90" s="1030">
        <v>16</v>
      </c>
      <c r="C90" s="1030">
        <v>30.5</v>
      </c>
      <c r="D90" s="1030">
        <v>73</v>
      </c>
      <c r="E90" s="1030">
        <v>257</v>
      </c>
      <c r="F90" s="1030">
        <v>14.5</v>
      </c>
      <c r="G90" s="1030">
        <v>86</v>
      </c>
      <c r="H90" s="1030">
        <v>307.5</v>
      </c>
      <c r="I90" s="1030">
        <v>246.5</v>
      </c>
      <c r="J90" s="1030">
        <v>146.5</v>
      </c>
      <c r="K90" s="1030">
        <v>47</v>
      </c>
      <c r="L90" s="1030">
        <v>88.5</v>
      </c>
      <c r="M90" s="1030">
        <v>245</v>
      </c>
      <c r="N90" s="1030">
        <v>23</v>
      </c>
      <c r="O90" s="1030">
        <v>61</v>
      </c>
      <c r="P90" s="1030">
        <v>15</v>
      </c>
      <c r="Q90" s="1025"/>
    </row>
    <row r="91" spans="1:19" x14ac:dyDescent="0.2">
      <c r="A91" s="1025" t="s">
        <v>522</v>
      </c>
      <c r="B91" s="1030">
        <v>7</v>
      </c>
      <c r="C91" s="1030">
        <v>39</v>
      </c>
      <c r="D91" s="1030">
        <v>70.5</v>
      </c>
      <c r="E91" s="1030">
        <v>158</v>
      </c>
      <c r="F91" s="1030">
        <v>26.5</v>
      </c>
      <c r="G91" s="1030">
        <v>79</v>
      </c>
      <c r="H91" s="1030">
        <v>535.5</v>
      </c>
      <c r="I91" s="1030">
        <v>268</v>
      </c>
      <c r="J91" s="1030">
        <v>258</v>
      </c>
      <c r="K91" s="1030">
        <v>77</v>
      </c>
      <c r="L91" s="1030">
        <v>77.5</v>
      </c>
      <c r="M91" s="1030">
        <v>203.5</v>
      </c>
      <c r="N91" s="1030">
        <v>72.5</v>
      </c>
      <c r="O91" s="1030">
        <v>123</v>
      </c>
      <c r="P91" s="1030">
        <v>24</v>
      </c>
      <c r="Q91" s="1025"/>
    </row>
    <row r="92" spans="1:19" x14ac:dyDescent="0.2">
      <c r="A92" s="1025" t="s">
        <v>523</v>
      </c>
      <c r="B92" s="1030">
        <v>12</v>
      </c>
      <c r="C92" s="1030">
        <v>29</v>
      </c>
      <c r="D92" s="1030">
        <v>165</v>
      </c>
      <c r="E92" s="1030">
        <v>183</v>
      </c>
      <c r="F92" s="1030">
        <v>2</v>
      </c>
      <c r="G92" s="1030">
        <v>70</v>
      </c>
      <c r="H92" s="1030">
        <v>577</v>
      </c>
      <c r="I92" s="1030">
        <v>266</v>
      </c>
      <c r="J92" s="1030">
        <v>300.5</v>
      </c>
      <c r="K92" s="1030">
        <v>47</v>
      </c>
      <c r="L92" s="1030">
        <v>66.5</v>
      </c>
      <c r="M92" s="1030">
        <v>173</v>
      </c>
      <c r="N92" s="1030">
        <v>61.5</v>
      </c>
      <c r="O92" s="1030">
        <v>106</v>
      </c>
      <c r="P92" s="1030">
        <v>21</v>
      </c>
      <c r="Q92" s="1025"/>
    </row>
    <row r="93" spans="1:19" x14ac:dyDescent="0.2">
      <c r="A93" s="1025" t="s">
        <v>524</v>
      </c>
      <c r="B93" s="1030">
        <v>21</v>
      </c>
      <c r="C93" s="1030">
        <v>13</v>
      </c>
      <c r="D93" s="1030">
        <v>102.5</v>
      </c>
      <c r="E93" s="1030">
        <v>182</v>
      </c>
      <c r="F93" s="1030">
        <v>4.5</v>
      </c>
      <c r="G93" s="1030">
        <v>51</v>
      </c>
      <c r="H93" s="1030">
        <v>597.5</v>
      </c>
      <c r="I93" s="1030">
        <v>256.5</v>
      </c>
      <c r="J93" s="1030">
        <v>352</v>
      </c>
      <c r="K93" s="1030">
        <v>29</v>
      </c>
      <c r="L93" s="1030">
        <v>65.5</v>
      </c>
      <c r="M93" s="1030">
        <v>125</v>
      </c>
      <c r="N93" s="1030">
        <v>142</v>
      </c>
      <c r="O93" s="1030">
        <v>53</v>
      </c>
      <c r="P93" s="1030">
        <v>22</v>
      </c>
      <c r="Q93" s="1025"/>
    </row>
    <row r="94" spans="1:19" x14ac:dyDescent="0.2">
      <c r="A94" s="1025" t="s">
        <v>525</v>
      </c>
      <c r="B94" s="1030">
        <v>17</v>
      </c>
      <c r="C94" s="1030">
        <v>0</v>
      </c>
      <c r="D94" s="1030">
        <v>86.5</v>
      </c>
      <c r="E94" s="1030">
        <v>123</v>
      </c>
      <c r="F94" s="1030">
        <v>20</v>
      </c>
      <c r="G94" s="1030">
        <v>52</v>
      </c>
      <c r="H94" s="1030">
        <v>559</v>
      </c>
      <c r="I94" s="1035">
        <v>269</v>
      </c>
      <c r="J94" s="1030">
        <v>267</v>
      </c>
      <c r="K94" s="1030">
        <v>18</v>
      </c>
      <c r="L94" s="1030">
        <v>52</v>
      </c>
      <c r="M94" s="1030">
        <v>106</v>
      </c>
      <c r="N94" s="1030">
        <v>112.5</v>
      </c>
      <c r="O94" s="1030">
        <v>102</v>
      </c>
      <c r="P94" s="1030">
        <v>73</v>
      </c>
      <c r="Q94" s="1025"/>
    </row>
    <row r="95" spans="1:19" x14ac:dyDescent="0.2">
      <c r="A95" s="1025" t="s">
        <v>526</v>
      </c>
      <c r="B95" s="1030">
        <v>10</v>
      </c>
      <c r="C95" s="1030">
        <v>21</v>
      </c>
      <c r="D95" s="1030">
        <v>145</v>
      </c>
      <c r="E95" s="1030">
        <v>173</v>
      </c>
      <c r="F95" s="1030">
        <v>6</v>
      </c>
      <c r="G95" s="1030">
        <v>87</v>
      </c>
      <c r="H95" s="1030">
        <v>738.5</v>
      </c>
      <c r="I95" s="1030">
        <v>311</v>
      </c>
      <c r="J95" s="1030">
        <v>185.5</v>
      </c>
      <c r="K95" s="1030">
        <v>6</v>
      </c>
      <c r="L95" s="1030">
        <v>30.5</v>
      </c>
      <c r="M95" s="1030">
        <v>108.5</v>
      </c>
      <c r="N95" s="1030">
        <v>135.5</v>
      </c>
      <c r="O95" s="1030">
        <v>33</v>
      </c>
      <c r="P95" s="1030">
        <v>53</v>
      </c>
      <c r="Q95" s="1025"/>
    </row>
    <row r="96" spans="1:19" x14ac:dyDescent="0.2">
      <c r="A96" s="1025" t="s">
        <v>527</v>
      </c>
      <c r="B96" s="1030">
        <v>2</v>
      </c>
      <c r="C96" s="1030">
        <v>3</v>
      </c>
      <c r="D96" s="1030">
        <v>102.5</v>
      </c>
      <c r="E96" s="1036">
        <v>112</v>
      </c>
      <c r="F96" s="1030">
        <v>1.5</v>
      </c>
      <c r="G96" s="1030">
        <v>42</v>
      </c>
      <c r="H96" s="1030">
        <v>729.5</v>
      </c>
      <c r="I96" s="1030">
        <v>252.5</v>
      </c>
      <c r="J96" s="1030">
        <v>214.5</v>
      </c>
      <c r="K96" s="1030">
        <v>6</v>
      </c>
      <c r="L96" s="1030">
        <v>52.5</v>
      </c>
      <c r="M96" s="1030">
        <v>102</v>
      </c>
      <c r="N96" s="1030">
        <v>30</v>
      </c>
      <c r="O96" s="1036">
        <v>22.5</v>
      </c>
      <c r="P96" s="1030">
        <v>40</v>
      </c>
      <c r="Q96" s="1025"/>
    </row>
    <row r="97" spans="1:17" x14ac:dyDescent="0.2">
      <c r="A97" s="1025" t="s">
        <v>533</v>
      </c>
      <c r="B97" s="1030">
        <v>17</v>
      </c>
      <c r="C97" s="1030">
        <v>1</v>
      </c>
      <c r="D97" s="1030">
        <v>65</v>
      </c>
      <c r="E97" s="1030">
        <v>162</v>
      </c>
      <c r="F97" s="1030">
        <v>5.5</v>
      </c>
      <c r="G97" s="1030">
        <v>76</v>
      </c>
      <c r="H97" s="1030">
        <v>656</v>
      </c>
      <c r="I97" s="1030">
        <v>253</v>
      </c>
      <c r="J97" s="1030">
        <v>364</v>
      </c>
      <c r="K97" s="1030">
        <v>37</v>
      </c>
      <c r="L97" s="1030">
        <v>42.5</v>
      </c>
      <c r="M97" s="1030">
        <v>97.5</v>
      </c>
      <c r="N97" s="1030">
        <v>56</v>
      </c>
      <c r="O97" s="1030">
        <v>57.5</v>
      </c>
      <c r="P97" s="1030">
        <v>18</v>
      </c>
      <c r="Q97" s="1025"/>
    </row>
    <row r="98" spans="1:17" x14ac:dyDescent="0.2">
      <c r="A98" s="1025" t="s">
        <v>534</v>
      </c>
      <c r="B98" s="1030">
        <v>2</v>
      </c>
      <c r="C98" s="1030">
        <v>0</v>
      </c>
      <c r="D98" s="1030">
        <v>67.5</v>
      </c>
      <c r="E98" s="1030">
        <v>194</v>
      </c>
      <c r="F98" s="1030">
        <v>48.5</v>
      </c>
      <c r="G98" s="1030">
        <v>77.5</v>
      </c>
      <c r="H98" s="1030">
        <v>626.5</v>
      </c>
      <c r="I98" s="1030">
        <v>278.5</v>
      </c>
      <c r="J98" s="1030">
        <v>192</v>
      </c>
      <c r="K98" s="1030">
        <v>20</v>
      </c>
      <c r="L98" s="1039">
        <v>44.5</v>
      </c>
      <c r="M98" s="1030">
        <v>158</v>
      </c>
      <c r="N98" s="1030">
        <v>105</v>
      </c>
      <c r="O98" s="1036">
        <v>15.5</v>
      </c>
      <c r="P98" s="1030">
        <v>15</v>
      </c>
      <c r="Q98" s="1025"/>
    </row>
    <row r="99" spans="1:17" x14ac:dyDescent="0.2">
      <c r="A99" s="1025" t="s">
        <v>535</v>
      </c>
      <c r="B99" s="1030">
        <v>5</v>
      </c>
      <c r="C99" s="1030">
        <v>14</v>
      </c>
      <c r="D99" s="1030">
        <v>97.5</v>
      </c>
      <c r="E99" s="1030">
        <v>172</v>
      </c>
      <c r="F99" s="1030">
        <v>22</v>
      </c>
      <c r="G99" s="1030">
        <v>49</v>
      </c>
      <c r="H99" s="1030">
        <v>473</v>
      </c>
      <c r="I99" s="1030">
        <v>289.5</v>
      </c>
      <c r="J99" s="1030">
        <v>137</v>
      </c>
      <c r="K99" s="1030">
        <v>107</v>
      </c>
      <c r="L99" s="1030">
        <v>75.5</v>
      </c>
      <c r="M99" s="1030">
        <v>182.5</v>
      </c>
      <c r="N99" s="1030">
        <v>94.5</v>
      </c>
      <c r="O99" s="1030">
        <v>18</v>
      </c>
      <c r="P99" s="1030">
        <v>1</v>
      </c>
      <c r="Q99" s="1025"/>
    </row>
    <row r="100" spans="1:17" x14ac:dyDescent="0.2">
      <c r="A100" s="1025" t="s">
        <v>430</v>
      </c>
      <c r="B100" s="1030">
        <v>3.5</v>
      </c>
      <c r="C100" s="1030">
        <v>1.5</v>
      </c>
      <c r="D100" s="1030">
        <v>87.5</v>
      </c>
      <c r="E100" s="1030">
        <v>87</v>
      </c>
      <c r="F100" s="1030">
        <v>1.5</v>
      </c>
      <c r="G100" s="1030">
        <v>44.5</v>
      </c>
      <c r="H100" s="1030">
        <v>289</v>
      </c>
      <c r="I100" s="1030">
        <v>286.5</v>
      </c>
      <c r="J100" s="1030">
        <v>176</v>
      </c>
      <c r="K100" s="1036">
        <v>59</v>
      </c>
      <c r="L100" s="1030">
        <v>36</v>
      </c>
      <c r="M100" s="1030">
        <v>166.5</v>
      </c>
      <c r="N100" s="1030">
        <v>77</v>
      </c>
      <c r="O100" s="1030">
        <v>17</v>
      </c>
      <c r="P100" s="1030">
        <v>43</v>
      </c>
      <c r="Q100" s="1026" t="s">
        <v>27</v>
      </c>
    </row>
    <row r="101" spans="1:17" x14ac:dyDescent="0.2">
      <c r="A101" s="1037" t="s">
        <v>27</v>
      </c>
      <c r="B101" s="1031">
        <v>148</v>
      </c>
      <c r="C101" s="1031">
        <v>165</v>
      </c>
      <c r="D101" s="1031">
        <v>1201.5</v>
      </c>
      <c r="E101" s="1031">
        <v>1973</v>
      </c>
      <c r="F101" s="1031">
        <v>155.5</v>
      </c>
      <c r="G101" s="1031">
        <v>768.5</v>
      </c>
      <c r="H101" s="1031">
        <f>SUM(H89:H100)</f>
        <v>6483</v>
      </c>
      <c r="I101" s="1031">
        <v>3288.5</v>
      </c>
      <c r="J101" s="1031">
        <v>2841.7</v>
      </c>
      <c r="K101" s="1031">
        <v>481</v>
      </c>
      <c r="L101" s="1031">
        <v>723</v>
      </c>
      <c r="M101" s="1031">
        <v>1796.5</v>
      </c>
      <c r="N101" s="1031">
        <v>961</v>
      </c>
      <c r="O101" s="1031">
        <v>665</v>
      </c>
      <c r="P101" s="1031">
        <v>336</v>
      </c>
      <c r="Q101" s="1026" t="s">
        <v>536</v>
      </c>
    </row>
    <row r="102" spans="1:17" x14ac:dyDescent="0.2">
      <c r="A102" s="1037" t="s">
        <v>624</v>
      </c>
      <c r="B102" s="1038">
        <v>12.333333333333334</v>
      </c>
      <c r="C102" s="1038">
        <v>13.75</v>
      </c>
      <c r="D102" s="1038">
        <v>100.125</v>
      </c>
      <c r="E102" s="1038">
        <v>164.41666666666666</v>
      </c>
      <c r="F102" s="1038">
        <v>12.958333333333334</v>
      </c>
      <c r="G102" s="1038">
        <v>64.041666666666671</v>
      </c>
      <c r="H102" s="1038">
        <v>540.25</v>
      </c>
      <c r="I102" s="1038">
        <v>274.04166666666669</v>
      </c>
      <c r="J102" s="1038">
        <v>236.80833333333331</v>
      </c>
      <c r="K102" s="1038">
        <v>40.083333333333336</v>
      </c>
      <c r="L102" s="1038">
        <v>60.25</v>
      </c>
      <c r="M102" s="1038">
        <v>149.70833333333334</v>
      </c>
      <c r="N102" s="1038">
        <v>80.083333333333329</v>
      </c>
      <c r="O102" s="1038">
        <v>55.416666666666664</v>
      </c>
      <c r="P102" s="1038">
        <v>28</v>
      </c>
      <c r="Q102" s="1041">
        <f>SUM(B101:P101)</f>
        <v>21987.200000000001</v>
      </c>
    </row>
    <row r="104" spans="1:17" x14ac:dyDescent="0.2">
      <c r="A104" s="588" t="s">
        <v>927</v>
      </c>
      <c r="B104">
        <f>Q102/365</f>
        <v>60.238904109589043</v>
      </c>
    </row>
    <row r="105" spans="1:17" ht="15.75" x14ac:dyDescent="0.25">
      <c r="A105" s="199" t="s">
        <v>918</v>
      </c>
      <c r="H105" s="1024">
        <f>B104</f>
        <v>60.238904109589043</v>
      </c>
    </row>
    <row r="107" spans="1:17" x14ac:dyDescent="0.2">
      <c r="A107" s="753"/>
      <c r="B107" s="753"/>
      <c r="C107" s="753"/>
      <c r="D107" s="753"/>
      <c r="E107" s="753"/>
      <c r="F107" s="753"/>
      <c r="G107" s="753"/>
      <c r="H107" s="753"/>
      <c r="I107" s="753"/>
      <c r="J107" s="753"/>
      <c r="K107" s="753"/>
      <c r="L107" s="753"/>
      <c r="M107" s="753"/>
      <c r="N107" s="753"/>
      <c r="O107" s="753"/>
      <c r="P107" s="753"/>
      <c r="Q107" s="753"/>
    </row>
  </sheetData>
  <phoneticPr fontId="79" type="noConversion"/>
  <pageMargins left="0" right="0" top="0.75" bottom="0.25" header="0.3" footer="0.3"/>
  <pageSetup scale="88" orientation="landscape" r:id="rId1"/>
  <headerFooter>
    <oddHeader>&amp;C&amp;"Arial,Bold"&amp;12COST OF CARE Year 2018
(Based on Fiscal Year 2017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39997558519241921"/>
  </sheetPr>
  <dimension ref="A2:S190"/>
  <sheetViews>
    <sheetView showGridLines="0" workbookViewId="0">
      <selection activeCell="J21" sqref="J21"/>
    </sheetView>
  </sheetViews>
  <sheetFormatPr defaultColWidth="9.140625" defaultRowHeight="15" x14ac:dyDescent="0.25"/>
  <cols>
    <col min="1" max="1" width="24.7109375" style="206" customWidth="1"/>
    <col min="2" max="2" width="11.7109375" style="206" customWidth="1"/>
    <col min="3" max="3" width="10.28515625" style="206" customWidth="1"/>
    <col min="4" max="4" width="10.42578125" style="206" customWidth="1"/>
    <col min="5" max="5" width="9.5703125" style="206" customWidth="1"/>
    <col min="6" max="6" width="6.85546875" style="206" hidden="1" customWidth="1"/>
    <col min="7" max="7" width="0.28515625" style="206" hidden="1" customWidth="1"/>
    <col min="8" max="8" width="11.85546875" style="206" customWidth="1"/>
    <col min="9" max="9" width="6.140625" style="206" customWidth="1"/>
    <col min="10" max="10" width="8.7109375" style="206" customWidth="1"/>
    <col min="11" max="11" width="1.7109375" style="206" customWidth="1"/>
    <col min="12" max="12" width="7.140625" style="206" customWidth="1"/>
    <col min="13" max="13" width="6.42578125" style="206" customWidth="1"/>
    <col min="14" max="14" width="5.7109375" style="206" customWidth="1"/>
    <col min="15" max="15" width="8.140625" style="206" customWidth="1"/>
    <col min="16" max="16" width="14.85546875" style="206" customWidth="1"/>
    <col min="17" max="16384" width="9.140625" style="206"/>
  </cols>
  <sheetData>
    <row r="2" spans="1:8" ht="15.75" thickBot="1" x14ac:dyDescent="0.3">
      <c r="A2" s="1183" t="s">
        <v>930</v>
      </c>
      <c r="B2" s="1183"/>
      <c r="C2" s="1183"/>
      <c r="D2" s="1183"/>
      <c r="E2" s="1183"/>
      <c r="F2" s="1183"/>
      <c r="G2" s="1183"/>
      <c r="H2" s="1183"/>
    </row>
    <row r="3" spans="1:8" ht="46.9" customHeight="1" x14ac:dyDescent="0.25">
      <c r="A3" s="1059" t="s">
        <v>931</v>
      </c>
      <c r="B3" s="1064" t="s">
        <v>932</v>
      </c>
      <c r="C3" s="1064" t="s">
        <v>933</v>
      </c>
      <c r="D3" s="1064" t="s">
        <v>934</v>
      </c>
      <c r="E3" s="1064" t="s">
        <v>935</v>
      </c>
      <c r="F3" s="1064" t="s">
        <v>936</v>
      </c>
      <c r="G3" s="1064" t="s">
        <v>937</v>
      </c>
      <c r="H3" s="1060" t="s">
        <v>897</v>
      </c>
    </row>
    <row r="4" spans="1:8" x14ac:dyDescent="0.25">
      <c r="A4" s="1061" t="s">
        <v>609</v>
      </c>
      <c r="B4" s="1062">
        <v>2.1200999999999999</v>
      </c>
      <c r="C4" s="1062">
        <v>101.121</v>
      </c>
      <c r="D4" s="1062">
        <v>4.7199999999999999E-2</v>
      </c>
      <c r="E4" s="1062">
        <v>8.0130999999999997</v>
      </c>
      <c r="F4" s="1062">
        <v>0.08</v>
      </c>
      <c r="G4" s="1062">
        <v>7.7709999999999999</v>
      </c>
      <c r="H4" s="1063">
        <v>119.15239999999999</v>
      </c>
    </row>
    <row r="5" spans="1:8" x14ac:dyDescent="0.25">
      <c r="A5" s="1061" t="s">
        <v>611</v>
      </c>
      <c r="B5" s="1062">
        <v>0.5897</v>
      </c>
      <c r="C5" s="1062">
        <v>26.291</v>
      </c>
      <c r="D5" s="1062">
        <v>0</v>
      </c>
      <c r="E5" s="1062">
        <v>0</v>
      </c>
      <c r="F5" s="1062">
        <v>0</v>
      </c>
      <c r="G5" s="1062">
        <v>0</v>
      </c>
      <c r="H5" s="1063">
        <v>26.880700000000001</v>
      </c>
    </row>
    <row r="6" spans="1:8" x14ac:dyDescent="0.25">
      <c r="A6" s="1061" t="s">
        <v>372</v>
      </c>
      <c r="B6" s="1062">
        <v>3.4441999999999999</v>
      </c>
      <c r="C6" s="1062">
        <v>7.3049999999999997</v>
      </c>
      <c r="D6" s="1062">
        <v>0.63949999999999996</v>
      </c>
      <c r="E6" s="1062">
        <v>1.4009</v>
      </c>
      <c r="F6" s="1062">
        <v>0.44900000000000001</v>
      </c>
      <c r="G6" s="1062">
        <v>6.5229999999999997</v>
      </c>
      <c r="H6" s="1063">
        <v>19.761600000000001</v>
      </c>
    </row>
    <row r="7" spans="1:8" x14ac:dyDescent="0.25">
      <c r="A7" s="1061" t="s">
        <v>374</v>
      </c>
      <c r="B7" s="1062">
        <v>5.2377000000000002</v>
      </c>
      <c r="C7" s="1062">
        <v>55.529000000000003</v>
      </c>
      <c r="D7" s="1062">
        <v>0.2056</v>
      </c>
      <c r="E7" s="1062">
        <v>11.416399999999999</v>
      </c>
      <c r="F7" s="1062">
        <v>0.99399999999999999</v>
      </c>
      <c r="G7" s="1062">
        <v>16.23</v>
      </c>
      <c r="H7" s="1063">
        <v>89.612700000000004</v>
      </c>
    </row>
    <row r="8" spans="1:8" x14ac:dyDescent="0.25">
      <c r="A8" s="1061" t="s">
        <v>503</v>
      </c>
      <c r="B8" s="1062">
        <v>15.47</v>
      </c>
      <c r="C8" s="1062">
        <v>27.628</v>
      </c>
      <c r="D8" s="1062">
        <v>0</v>
      </c>
      <c r="E8" s="1062">
        <v>0</v>
      </c>
      <c r="F8" s="1062">
        <v>0</v>
      </c>
      <c r="G8" s="1062">
        <v>0</v>
      </c>
      <c r="H8" s="1063">
        <v>43.097999999999999</v>
      </c>
    </row>
    <row r="9" spans="1:8" x14ac:dyDescent="0.25">
      <c r="A9" s="1061" t="s">
        <v>375</v>
      </c>
      <c r="B9" s="1062">
        <v>0</v>
      </c>
      <c r="C9" s="1062">
        <v>0</v>
      </c>
      <c r="D9" s="1062">
        <v>3.0497000000000001</v>
      </c>
      <c r="E9" s="1062">
        <v>42.783099999999997</v>
      </c>
      <c r="F9" s="1062">
        <v>120.184</v>
      </c>
      <c r="G9" s="1062">
        <v>144.072</v>
      </c>
      <c r="H9" s="1063">
        <v>310.08879999999999</v>
      </c>
    </row>
    <row r="10" spans="1:8" x14ac:dyDescent="0.25">
      <c r="A10" s="1061" t="s">
        <v>376</v>
      </c>
      <c r="B10" s="1062">
        <v>1.6437999999999999</v>
      </c>
      <c r="C10" s="1062">
        <v>2.8090000000000002</v>
      </c>
      <c r="D10" s="1062">
        <v>0.16969999999999999</v>
      </c>
      <c r="E10" s="1062">
        <v>0.57879999999999998</v>
      </c>
      <c r="F10" s="1062">
        <v>1.079</v>
      </c>
      <c r="G10" s="1062">
        <v>8.3629999999999995</v>
      </c>
      <c r="H10" s="1063">
        <v>14.6433</v>
      </c>
    </row>
    <row r="11" spans="1:8" x14ac:dyDescent="0.25">
      <c r="A11" s="1061" t="s">
        <v>377</v>
      </c>
      <c r="B11" s="1062">
        <v>4.9795999999999996</v>
      </c>
      <c r="C11" s="1062">
        <v>15.375</v>
      </c>
      <c r="D11" s="1062">
        <v>0.15409999999999999</v>
      </c>
      <c r="E11" s="1062">
        <v>3.8285999999999998</v>
      </c>
      <c r="F11" s="1062">
        <v>4.8410000000000002</v>
      </c>
      <c r="G11" s="1062">
        <v>9.2690000000000001</v>
      </c>
      <c r="H11" s="1063">
        <v>38.447299999999998</v>
      </c>
    </row>
    <row r="12" spans="1:8" x14ac:dyDescent="0.25">
      <c r="A12" s="1061" t="s">
        <v>378</v>
      </c>
      <c r="B12" s="1062">
        <v>0.15359999999999999</v>
      </c>
      <c r="C12" s="1062">
        <v>19.268999999999998</v>
      </c>
      <c r="D12" s="1062">
        <v>3.2099999999999997E-2</v>
      </c>
      <c r="E12" s="1062">
        <v>4.7213000000000003</v>
      </c>
      <c r="F12" s="1062">
        <v>0.20399999999999999</v>
      </c>
      <c r="G12" s="1062">
        <v>5.3689999999999998</v>
      </c>
      <c r="H12" s="1063">
        <v>29.748999999999999</v>
      </c>
    </row>
    <row r="13" spans="1:8" x14ac:dyDescent="0.25">
      <c r="A13" s="1061" t="s">
        <v>379</v>
      </c>
      <c r="B13" s="1062">
        <v>2.3536000000000001</v>
      </c>
      <c r="C13" s="1062">
        <v>7.9000000000000001E-2</v>
      </c>
      <c r="D13" s="1062">
        <v>0</v>
      </c>
      <c r="E13" s="1062">
        <v>3.8E-3</v>
      </c>
      <c r="F13" s="1062">
        <v>0</v>
      </c>
      <c r="G13" s="1062">
        <v>0</v>
      </c>
      <c r="H13" s="1063">
        <v>2.4364000000000003</v>
      </c>
    </row>
    <row r="14" spans="1:8" x14ac:dyDescent="0.25">
      <c r="A14" s="1061" t="s">
        <v>380</v>
      </c>
      <c r="B14" s="1062">
        <v>1.2313000000000001</v>
      </c>
      <c r="C14" s="1062">
        <v>0</v>
      </c>
      <c r="D14" s="1062">
        <v>0</v>
      </c>
      <c r="E14" s="1062">
        <v>0</v>
      </c>
      <c r="F14" s="1062">
        <v>0</v>
      </c>
      <c r="G14" s="1062">
        <v>0</v>
      </c>
      <c r="H14" s="1063">
        <v>1.2313000000000001</v>
      </c>
    </row>
    <row r="15" spans="1:8" x14ac:dyDescent="0.25">
      <c r="A15" s="1061" t="s">
        <v>334</v>
      </c>
      <c r="B15" s="1062">
        <v>0</v>
      </c>
      <c r="C15" s="1062">
        <v>0</v>
      </c>
      <c r="D15" s="1062">
        <v>0</v>
      </c>
      <c r="E15" s="1062">
        <v>0</v>
      </c>
      <c r="F15" s="1062">
        <v>0</v>
      </c>
      <c r="G15" s="1062">
        <v>0</v>
      </c>
      <c r="H15" s="1063">
        <v>0</v>
      </c>
    </row>
    <row r="16" spans="1:8" x14ac:dyDescent="0.25">
      <c r="A16" s="1061" t="s">
        <v>381</v>
      </c>
      <c r="B16" s="1062">
        <v>10.6701</v>
      </c>
      <c r="C16" s="1062">
        <v>0</v>
      </c>
      <c r="D16" s="1062">
        <v>0</v>
      </c>
      <c r="E16" s="1062">
        <v>0</v>
      </c>
      <c r="F16" s="1062">
        <v>0</v>
      </c>
      <c r="G16" s="1062">
        <v>0</v>
      </c>
      <c r="H16" s="1063">
        <v>10.6701</v>
      </c>
    </row>
    <row r="17" spans="1:10" x14ac:dyDescent="0.25">
      <c r="A17" s="1061" t="s">
        <v>382</v>
      </c>
      <c r="B17" s="1062">
        <v>1.2382</v>
      </c>
      <c r="C17" s="1062">
        <v>6.9390000000000001</v>
      </c>
      <c r="D17" s="1062">
        <v>0</v>
      </c>
      <c r="E17" s="1062">
        <v>0</v>
      </c>
      <c r="F17" s="1062">
        <v>0</v>
      </c>
      <c r="G17" s="1062">
        <v>0</v>
      </c>
      <c r="H17" s="1063">
        <v>8.1771999999999991</v>
      </c>
      <c r="I17" s="1058"/>
      <c r="J17" s="986" t="s">
        <v>612</v>
      </c>
    </row>
    <row r="18" spans="1:10" x14ac:dyDescent="0.25">
      <c r="A18" s="1061" t="s">
        <v>383</v>
      </c>
      <c r="B18" s="1062">
        <v>0.10050000000000001</v>
      </c>
      <c r="C18" s="1062">
        <v>5.6680000000000001</v>
      </c>
      <c r="D18" s="1062">
        <v>4.9700000000000001E-2</v>
      </c>
      <c r="E18" s="1062">
        <v>3.7612000000000001</v>
      </c>
      <c r="F18" s="1062">
        <v>0.42199999999999999</v>
      </c>
      <c r="G18" s="1062">
        <v>21.751000000000001</v>
      </c>
      <c r="H18" s="1063">
        <v>31.752400000000002</v>
      </c>
      <c r="I18" s="1058"/>
      <c r="J18" s="986" t="s">
        <v>898</v>
      </c>
    </row>
    <row r="19" spans="1:10" ht="30" x14ac:dyDescent="0.25">
      <c r="A19" s="1061" t="s">
        <v>938</v>
      </c>
      <c r="B19" s="1062">
        <v>0.98299999999999998</v>
      </c>
      <c r="C19" s="1062">
        <v>2.976</v>
      </c>
      <c r="D19" s="1062">
        <v>0</v>
      </c>
      <c r="E19" s="1062">
        <v>0</v>
      </c>
      <c r="F19" s="1062">
        <v>0</v>
      </c>
      <c r="G19" s="1062">
        <v>0</v>
      </c>
      <c r="H19" s="1063">
        <v>3.9590000000000001</v>
      </c>
      <c r="I19" s="1058"/>
      <c r="J19" s="986" t="s">
        <v>899</v>
      </c>
    </row>
    <row r="20" spans="1:10" x14ac:dyDescent="0.25">
      <c r="A20" s="1065" t="s">
        <v>384</v>
      </c>
      <c r="B20" s="1066">
        <v>1.3541000000000001</v>
      </c>
      <c r="C20" s="1066">
        <v>22.963000000000001</v>
      </c>
      <c r="D20" s="1066">
        <v>0.3473</v>
      </c>
      <c r="E20" s="1066">
        <v>3.0013000000000001</v>
      </c>
      <c r="F20" s="1066">
        <v>0.1</v>
      </c>
      <c r="G20" s="1066">
        <v>4.3369999999999997</v>
      </c>
      <c r="H20" s="1067">
        <v>32.102699999999999</v>
      </c>
      <c r="I20" s="1058"/>
      <c r="J20" s="986" t="s">
        <v>613</v>
      </c>
    </row>
    <row r="21" spans="1:10" x14ac:dyDescent="0.25">
      <c r="A21" s="1071" t="s">
        <v>900</v>
      </c>
      <c r="B21" s="1072">
        <v>51.569499999999984</v>
      </c>
      <c r="C21" s="1072">
        <v>293.952</v>
      </c>
      <c r="D21" s="1072">
        <v>4.6948999999999987</v>
      </c>
      <c r="E21" s="1072">
        <v>79.508499999999984</v>
      </c>
      <c r="F21" s="1072">
        <v>128.35299999999998</v>
      </c>
      <c r="G21" s="1072">
        <v>223.685</v>
      </c>
      <c r="H21" s="1073">
        <v>781.76289999999995</v>
      </c>
      <c r="I21" s="1058"/>
      <c r="J21" s="1074">
        <v>436.2414</v>
      </c>
    </row>
    <row r="22" spans="1:10" x14ac:dyDescent="0.25">
      <c r="A22" s="1068" t="s">
        <v>385</v>
      </c>
      <c r="B22" s="1069">
        <v>0</v>
      </c>
      <c r="C22" s="1069">
        <v>0</v>
      </c>
      <c r="D22" s="1069">
        <v>0</v>
      </c>
      <c r="E22" s="1069">
        <v>0</v>
      </c>
      <c r="F22" s="1069">
        <v>0</v>
      </c>
      <c r="G22" s="1069">
        <v>0</v>
      </c>
      <c r="H22" s="1070">
        <v>0.47</v>
      </c>
      <c r="I22" s="1058"/>
      <c r="J22" s="1058"/>
    </row>
    <row r="23" spans="1:10" x14ac:dyDescent="0.25">
      <c r="A23" s="1061" t="s">
        <v>386</v>
      </c>
      <c r="B23" s="1062">
        <v>0</v>
      </c>
      <c r="C23" s="1062">
        <v>0</v>
      </c>
      <c r="D23" s="1062">
        <v>0</v>
      </c>
      <c r="E23" s="1062">
        <v>0</v>
      </c>
      <c r="F23" s="1062">
        <v>4.3040000000000003</v>
      </c>
      <c r="G23" s="1062">
        <v>0</v>
      </c>
      <c r="H23" s="1063">
        <v>7.3</v>
      </c>
      <c r="I23" s="1058"/>
      <c r="J23" s="1058"/>
    </row>
    <row r="24" spans="1:10" x14ac:dyDescent="0.25">
      <c r="A24" s="1061" t="s">
        <v>387</v>
      </c>
      <c r="B24" s="1062">
        <v>29.613299999999999</v>
      </c>
      <c r="C24" s="1062">
        <v>59.043999999999997</v>
      </c>
      <c r="D24" s="1062">
        <v>0.92579999999999996</v>
      </c>
      <c r="E24" s="1062">
        <v>0.30380000000000001</v>
      </c>
      <c r="F24" s="1062">
        <v>0.28100000000000003</v>
      </c>
      <c r="G24" s="1062">
        <v>0.28499999999999998</v>
      </c>
      <c r="H24" s="1063">
        <v>117.32</v>
      </c>
      <c r="I24" s="1058"/>
      <c r="J24" s="1058"/>
    </row>
    <row r="25" spans="1:10" x14ac:dyDescent="0.25">
      <c r="A25" s="1061" t="s">
        <v>388</v>
      </c>
      <c r="B25" s="1062">
        <v>1.401</v>
      </c>
      <c r="C25" s="1062">
        <v>0.66900000000000004</v>
      </c>
      <c r="D25" s="1062">
        <v>0</v>
      </c>
      <c r="E25" s="1062">
        <v>0.56459999999999999</v>
      </c>
      <c r="F25" s="1062">
        <v>0.57599999999999996</v>
      </c>
      <c r="G25" s="1062">
        <v>0</v>
      </c>
      <c r="H25" s="1063">
        <v>49.69</v>
      </c>
      <c r="I25" s="1058"/>
      <c r="J25" s="1058"/>
    </row>
    <row r="26" spans="1:10" x14ac:dyDescent="0.25">
      <c r="A26" s="1061" t="s">
        <v>389</v>
      </c>
      <c r="B26" s="1062">
        <v>0</v>
      </c>
      <c r="C26" s="1062">
        <v>0</v>
      </c>
      <c r="D26" s="1062">
        <v>0.2487</v>
      </c>
      <c r="E26" s="1062">
        <v>0</v>
      </c>
      <c r="F26" s="1062">
        <v>14.933999999999999</v>
      </c>
      <c r="G26" s="1062">
        <v>0</v>
      </c>
      <c r="H26" s="1063">
        <v>67.260000000000005</v>
      </c>
      <c r="I26" s="1058"/>
      <c r="J26" s="1058"/>
    </row>
    <row r="27" spans="1:10" x14ac:dyDescent="0.25">
      <c r="A27" s="1061" t="s">
        <v>390</v>
      </c>
      <c r="B27" s="1062">
        <v>0</v>
      </c>
      <c r="C27" s="1062">
        <v>0</v>
      </c>
      <c r="D27" s="1062">
        <v>10.2347</v>
      </c>
      <c r="E27" s="1062">
        <v>4.0091000000000001</v>
      </c>
      <c r="F27" s="1062">
        <v>10.14</v>
      </c>
      <c r="G27" s="1062">
        <v>1.5289999999999999</v>
      </c>
      <c r="H27" s="1063">
        <v>25.91</v>
      </c>
      <c r="I27" s="1058"/>
      <c r="J27" s="1058"/>
    </row>
    <row r="28" spans="1:10" x14ac:dyDescent="0.25">
      <c r="A28" s="1061" t="s">
        <v>391</v>
      </c>
      <c r="B28" s="1062">
        <v>6.8021000000000003</v>
      </c>
      <c r="C28" s="1062">
        <v>11.214</v>
      </c>
      <c r="D28" s="1062">
        <v>0.58140000000000003</v>
      </c>
      <c r="E28" s="1062">
        <v>0.68689999999999996</v>
      </c>
      <c r="F28" s="1062">
        <v>3.7229999999999999</v>
      </c>
      <c r="G28" s="1062">
        <v>0</v>
      </c>
      <c r="H28" s="1063">
        <v>51.37</v>
      </c>
      <c r="I28" s="1058"/>
      <c r="J28" s="1058"/>
    </row>
    <row r="29" spans="1:10" x14ac:dyDescent="0.25">
      <c r="A29" s="1061" t="s">
        <v>392</v>
      </c>
      <c r="B29" s="1062">
        <v>1.0261</v>
      </c>
      <c r="C29" s="1062">
        <v>4.8179999999999996</v>
      </c>
      <c r="D29" s="1062">
        <v>0</v>
      </c>
      <c r="E29" s="1062">
        <v>0</v>
      </c>
      <c r="F29" s="1062">
        <v>0</v>
      </c>
      <c r="G29" s="1062">
        <v>0</v>
      </c>
      <c r="H29" s="1063">
        <v>17.690000000000001</v>
      </c>
      <c r="I29" s="1058"/>
      <c r="J29" s="1058"/>
    </row>
    <row r="30" spans="1:10" x14ac:dyDescent="0.25">
      <c r="A30" s="1061" t="s">
        <v>939</v>
      </c>
      <c r="B30" s="1062" t="s">
        <v>251</v>
      </c>
      <c r="C30" s="1062" t="s">
        <v>251</v>
      </c>
      <c r="D30" s="1062" t="s">
        <v>251</v>
      </c>
      <c r="E30" s="1062" t="s">
        <v>251</v>
      </c>
      <c r="F30" s="1062" t="s">
        <v>251</v>
      </c>
      <c r="G30" s="1062" t="s">
        <v>251</v>
      </c>
      <c r="H30" s="1063" t="s">
        <v>251</v>
      </c>
      <c r="I30" s="1058"/>
      <c r="J30" s="1058"/>
    </row>
    <row r="31" spans="1:10" x14ac:dyDescent="0.25">
      <c r="A31" s="1061" t="s">
        <v>469</v>
      </c>
      <c r="B31" s="1062">
        <v>0</v>
      </c>
      <c r="C31" s="1062">
        <v>0</v>
      </c>
      <c r="D31" s="1062">
        <v>0</v>
      </c>
      <c r="E31" s="1062">
        <v>0</v>
      </c>
      <c r="F31" s="1062">
        <v>0</v>
      </c>
      <c r="G31" s="1062">
        <v>0</v>
      </c>
      <c r="H31" s="1063">
        <v>0.84</v>
      </c>
      <c r="I31" s="1058"/>
      <c r="J31" s="1058"/>
    </row>
    <row r="32" spans="1:10" x14ac:dyDescent="0.25">
      <c r="A32" s="1061" t="s">
        <v>226</v>
      </c>
      <c r="B32" s="1062">
        <v>2.512</v>
      </c>
      <c r="C32" s="1062">
        <v>9.9090000000000007</v>
      </c>
      <c r="D32" s="1062">
        <v>0.1328</v>
      </c>
      <c r="E32" s="1062">
        <v>0.62590000000000001</v>
      </c>
      <c r="F32" s="1062">
        <v>1.155</v>
      </c>
      <c r="G32" s="1062">
        <v>1.282</v>
      </c>
      <c r="H32" s="1063">
        <v>36.26</v>
      </c>
      <c r="I32" s="1058"/>
      <c r="J32" s="1058"/>
    </row>
    <row r="33" spans="1:8" x14ac:dyDescent="0.25">
      <c r="A33" s="1061" t="s">
        <v>394</v>
      </c>
      <c r="B33" s="1062">
        <v>3.1097999999999999</v>
      </c>
      <c r="C33" s="1062">
        <v>11.082000000000001</v>
      </c>
      <c r="D33" s="1062">
        <v>0</v>
      </c>
      <c r="E33" s="1062">
        <v>4.4565000000000001</v>
      </c>
      <c r="F33" s="1062">
        <v>2.1930000000000001</v>
      </c>
      <c r="G33" s="1062">
        <v>0.28299999999999997</v>
      </c>
      <c r="H33" s="1063">
        <v>36.869999999999997</v>
      </c>
    </row>
    <row r="34" spans="1:8" x14ac:dyDescent="0.25">
      <c r="A34" s="1071" t="s">
        <v>940</v>
      </c>
      <c r="B34" s="1072">
        <v>41.707500000000003</v>
      </c>
      <c r="C34" s="1072">
        <v>95.673000000000002</v>
      </c>
      <c r="D34" s="1072">
        <v>9.1832999999999991</v>
      </c>
      <c r="E34" s="1072">
        <v>11.701000000000001</v>
      </c>
      <c r="F34" s="1072">
        <v>32.988</v>
      </c>
      <c r="G34" s="1072">
        <v>3.1459999999999999</v>
      </c>
      <c r="H34" s="1073">
        <v>411.2</v>
      </c>
    </row>
    <row r="35" spans="1:8" x14ac:dyDescent="0.25">
      <c r="A35" s="1061" t="s">
        <v>395</v>
      </c>
      <c r="B35" s="1062">
        <v>13.137700000000001</v>
      </c>
      <c r="C35" s="1062">
        <v>0.161</v>
      </c>
      <c r="D35" s="1062">
        <v>5.8103999999999996</v>
      </c>
      <c r="E35" s="1062">
        <v>0.1108</v>
      </c>
      <c r="F35" s="1062">
        <v>42.103999999999999</v>
      </c>
      <c r="G35" s="1062">
        <v>0.46500000000000002</v>
      </c>
      <c r="H35" s="1063">
        <v>61.788899999999998</v>
      </c>
    </row>
    <row r="36" spans="1:8" x14ac:dyDescent="0.25">
      <c r="A36" s="1061" t="s">
        <v>617</v>
      </c>
      <c r="B36" s="1062">
        <v>0.1041</v>
      </c>
      <c r="C36" s="1062">
        <v>0</v>
      </c>
      <c r="D36" s="1062">
        <v>0.31540000000000001</v>
      </c>
      <c r="E36" s="1062">
        <v>0</v>
      </c>
      <c r="F36" s="1062">
        <v>0</v>
      </c>
      <c r="G36" s="1062">
        <v>0</v>
      </c>
      <c r="H36" s="1063">
        <v>0.41949999999999998</v>
      </c>
    </row>
    <row r="37" spans="1:8" x14ac:dyDescent="0.25">
      <c r="A37" s="1061" t="s">
        <v>396</v>
      </c>
      <c r="B37" s="1062">
        <v>6.5494000000000003</v>
      </c>
      <c r="C37" s="1062">
        <v>0.61699999999999999</v>
      </c>
      <c r="D37" s="1062">
        <v>1.2331000000000001</v>
      </c>
      <c r="E37" s="1062">
        <v>0.1515</v>
      </c>
      <c r="F37" s="1062">
        <v>8.391</v>
      </c>
      <c r="G37" s="1062">
        <v>0</v>
      </c>
      <c r="H37" s="1063">
        <v>16.942</v>
      </c>
    </row>
    <row r="38" spans="1:8" x14ac:dyDescent="0.25">
      <c r="A38" s="1061" t="s">
        <v>397</v>
      </c>
      <c r="B38" s="1062">
        <v>0.58340000000000003</v>
      </c>
      <c r="C38" s="1062">
        <v>5.5E-2</v>
      </c>
      <c r="D38" s="1062">
        <v>0.30330000000000001</v>
      </c>
      <c r="E38" s="1062">
        <v>0.18</v>
      </c>
      <c r="F38" s="1062">
        <v>1.4390000000000001</v>
      </c>
      <c r="G38" s="1062">
        <v>0</v>
      </c>
      <c r="H38" s="1063">
        <v>2.5607000000000002</v>
      </c>
    </row>
    <row r="39" spans="1:8" x14ac:dyDescent="0.25">
      <c r="A39" s="1061" t="s">
        <v>398</v>
      </c>
      <c r="B39" s="1062">
        <v>1.2072000000000001</v>
      </c>
      <c r="C39" s="1062">
        <v>0.27800000000000002</v>
      </c>
      <c r="D39" s="1062">
        <v>0.45760000000000001</v>
      </c>
      <c r="E39" s="1062">
        <v>0.19489999999999999</v>
      </c>
      <c r="F39" s="1062">
        <v>0</v>
      </c>
      <c r="G39" s="1062">
        <v>0</v>
      </c>
      <c r="H39" s="1063">
        <v>2.1377000000000002</v>
      </c>
    </row>
    <row r="40" spans="1:8" x14ac:dyDescent="0.25">
      <c r="A40" s="1061" t="s">
        <v>399</v>
      </c>
      <c r="B40" s="1062">
        <v>0.54959999999999998</v>
      </c>
      <c r="C40" s="1062">
        <v>0</v>
      </c>
      <c r="D40" s="1062">
        <v>0.10879999999999999</v>
      </c>
      <c r="E40" s="1062">
        <v>0</v>
      </c>
      <c r="F40" s="1062">
        <v>0.44400000000000001</v>
      </c>
      <c r="G40" s="1062">
        <v>0</v>
      </c>
      <c r="H40" s="1063">
        <v>1.1024</v>
      </c>
    </row>
    <row r="41" spans="1:8" x14ac:dyDescent="0.25">
      <c r="A41" s="1061" t="s">
        <v>618</v>
      </c>
      <c r="B41" s="1062">
        <v>0.14369999999999999</v>
      </c>
      <c r="C41" s="1062">
        <v>0</v>
      </c>
      <c r="D41" s="1062">
        <v>0</v>
      </c>
      <c r="E41" s="1062">
        <v>0</v>
      </c>
      <c r="F41" s="1062">
        <v>0</v>
      </c>
      <c r="G41" s="1062">
        <v>0</v>
      </c>
      <c r="H41" s="1063">
        <v>0.14369999999999999</v>
      </c>
    </row>
    <row r="42" spans="1:8" x14ac:dyDescent="0.25">
      <c r="A42" s="1061" t="s">
        <v>400</v>
      </c>
      <c r="B42" s="1062">
        <v>3.6160000000000001</v>
      </c>
      <c r="C42" s="1062">
        <v>0</v>
      </c>
      <c r="D42" s="1062">
        <v>0.54530000000000001</v>
      </c>
      <c r="E42" s="1062">
        <v>0</v>
      </c>
      <c r="F42" s="1062">
        <v>6.351</v>
      </c>
      <c r="G42" s="1062">
        <v>0</v>
      </c>
      <c r="H42" s="1063">
        <v>10.5123</v>
      </c>
    </row>
    <row r="43" spans="1:8" x14ac:dyDescent="0.25">
      <c r="A43" s="1071" t="s">
        <v>941</v>
      </c>
      <c r="B43" s="1072">
        <v>24.098500000000001</v>
      </c>
      <c r="C43" s="1072">
        <v>0.75600000000000001</v>
      </c>
      <c r="D43" s="1072">
        <v>8.8114000000000008</v>
      </c>
      <c r="E43" s="1072">
        <v>0.46060000000000001</v>
      </c>
      <c r="F43" s="1072">
        <v>59.834000000000003</v>
      </c>
      <c r="G43" s="1072">
        <v>0.51</v>
      </c>
      <c r="H43" s="1073">
        <v>94.470500000000001</v>
      </c>
    </row>
    <row r="44" spans="1:8" hidden="1" x14ac:dyDescent="0.25">
      <c r="A44" s="1061" t="s">
        <v>403</v>
      </c>
      <c r="B44" s="1062">
        <v>0</v>
      </c>
      <c r="C44" s="1062">
        <v>0</v>
      </c>
      <c r="D44" s="1062">
        <v>0</v>
      </c>
      <c r="E44" s="1062">
        <v>0</v>
      </c>
      <c r="F44" s="1062">
        <v>1.002</v>
      </c>
      <c r="G44" s="1062">
        <v>0</v>
      </c>
      <c r="H44" s="1063">
        <v>1.002</v>
      </c>
    </row>
    <row r="45" spans="1:8" hidden="1" x14ac:dyDescent="0.25">
      <c r="A45" s="1061" t="s">
        <v>402</v>
      </c>
      <c r="B45" s="1062">
        <v>0</v>
      </c>
      <c r="C45" s="1062">
        <v>0</v>
      </c>
      <c r="D45" s="1062">
        <v>0</v>
      </c>
      <c r="E45" s="1062">
        <v>0</v>
      </c>
      <c r="F45" s="1062">
        <v>0</v>
      </c>
      <c r="G45" s="1062">
        <v>0</v>
      </c>
      <c r="H45" s="1063">
        <v>0</v>
      </c>
    </row>
    <row r="46" spans="1:8" hidden="1" x14ac:dyDescent="0.25">
      <c r="A46" s="1061" t="s">
        <v>942</v>
      </c>
      <c r="B46" s="1062">
        <v>0</v>
      </c>
      <c r="C46" s="1062">
        <v>0</v>
      </c>
      <c r="D46" s="1062">
        <v>0</v>
      </c>
      <c r="E46" s="1062">
        <v>0</v>
      </c>
      <c r="F46" s="1062">
        <v>0</v>
      </c>
      <c r="G46" s="1062">
        <v>0</v>
      </c>
      <c r="H46" s="1063">
        <v>0</v>
      </c>
    </row>
    <row r="47" spans="1:8" hidden="1" x14ac:dyDescent="0.25">
      <c r="A47" s="1061" t="s">
        <v>404</v>
      </c>
      <c r="B47" s="1062">
        <v>0</v>
      </c>
      <c r="C47" s="1062">
        <v>0</v>
      </c>
      <c r="D47" s="1062">
        <v>0</v>
      </c>
      <c r="E47" s="1062">
        <v>0</v>
      </c>
      <c r="F47" s="1062">
        <v>0</v>
      </c>
      <c r="G47" s="1062">
        <v>0</v>
      </c>
      <c r="H47" s="1063">
        <v>0</v>
      </c>
    </row>
    <row r="48" spans="1:8" hidden="1" x14ac:dyDescent="0.25">
      <c r="A48" s="1071" t="s">
        <v>48</v>
      </c>
      <c r="B48" s="1072">
        <v>0</v>
      </c>
      <c r="C48" s="1072">
        <v>0</v>
      </c>
      <c r="D48" s="1072">
        <v>0</v>
      </c>
      <c r="E48" s="1072">
        <v>0</v>
      </c>
      <c r="F48" s="1072">
        <v>1.002</v>
      </c>
      <c r="G48" s="1072">
        <v>0</v>
      </c>
      <c r="H48" s="1073">
        <v>1.002</v>
      </c>
    </row>
    <row r="51" spans="1:10" customFormat="1" x14ac:dyDescent="0.2">
      <c r="A51" s="1182" t="s">
        <v>886</v>
      </c>
      <c r="B51" s="1182"/>
      <c r="C51" s="1182"/>
      <c r="D51" s="1182"/>
      <c r="E51" s="1182"/>
      <c r="F51" s="1182"/>
      <c r="G51" s="1182"/>
      <c r="H51" s="1182"/>
      <c r="I51" s="1182"/>
      <c r="J51" s="1182"/>
    </row>
    <row r="52" spans="1:10" customFormat="1" ht="13.5" thickBot="1" x14ac:dyDescent="0.25">
      <c r="A52" s="597" t="s">
        <v>887</v>
      </c>
    </row>
    <row r="53" spans="1:10" customFormat="1" ht="45" customHeight="1" thickBot="1" x14ac:dyDescent="0.3">
      <c r="A53" s="1000" t="s">
        <v>888</v>
      </c>
      <c r="B53" s="1001" t="s">
        <v>889</v>
      </c>
      <c r="C53" s="1001" t="s">
        <v>890</v>
      </c>
      <c r="D53" s="1001" t="s">
        <v>891</v>
      </c>
      <c r="E53" s="1001" t="s">
        <v>892</v>
      </c>
      <c r="F53" s="1001" t="s">
        <v>893</v>
      </c>
      <c r="G53" s="979" t="s">
        <v>894</v>
      </c>
      <c r="H53" s="1001" t="s">
        <v>895</v>
      </c>
      <c r="I53" s="1001" t="s">
        <v>896</v>
      </c>
      <c r="J53" s="1001" t="s">
        <v>897</v>
      </c>
    </row>
    <row r="54" spans="1:10" customFormat="1" ht="12.75" x14ac:dyDescent="0.2">
      <c r="A54" s="980" t="s">
        <v>609</v>
      </c>
      <c r="B54" s="981">
        <v>34</v>
      </c>
      <c r="C54" s="981">
        <v>87</v>
      </c>
      <c r="D54" s="981">
        <v>2</v>
      </c>
      <c r="E54" s="981">
        <v>11</v>
      </c>
      <c r="F54" s="981">
        <v>81</v>
      </c>
      <c r="G54" s="981">
        <v>210</v>
      </c>
      <c r="H54" s="981">
        <v>2</v>
      </c>
      <c r="I54" s="981">
        <v>15</v>
      </c>
      <c r="J54" s="982">
        <v>442</v>
      </c>
    </row>
    <row r="55" spans="1:10" customFormat="1" ht="12.75" x14ac:dyDescent="0.2">
      <c r="A55" s="983" t="s">
        <v>611</v>
      </c>
      <c r="B55" s="984">
        <v>9</v>
      </c>
      <c r="C55" s="984">
        <v>33</v>
      </c>
      <c r="D55" s="984">
        <v>0</v>
      </c>
      <c r="E55" s="984">
        <v>0</v>
      </c>
      <c r="F55" s="984">
        <v>96</v>
      </c>
      <c r="G55" s="984">
        <v>273</v>
      </c>
      <c r="H55" s="984">
        <v>0</v>
      </c>
      <c r="I55" s="984">
        <v>0</v>
      </c>
      <c r="J55" s="985">
        <v>411</v>
      </c>
    </row>
    <row r="56" spans="1:10" customFormat="1" ht="12.75" x14ac:dyDescent="0.2">
      <c r="A56" s="983" t="s">
        <v>372</v>
      </c>
      <c r="B56" s="984">
        <v>9</v>
      </c>
      <c r="C56" s="984">
        <v>16</v>
      </c>
      <c r="D56" s="984">
        <v>1</v>
      </c>
      <c r="E56" s="984">
        <v>3</v>
      </c>
      <c r="F56" s="984">
        <v>28</v>
      </c>
      <c r="G56" s="984">
        <v>50</v>
      </c>
      <c r="H56" s="984">
        <v>4</v>
      </c>
      <c r="I56" s="984">
        <v>4</v>
      </c>
      <c r="J56" s="985">
        <v>115</v>
      </c>
    </row>
    <row r="57" spans="1:10" customFormat="1" ht="12.75" x14ac:dyDescent="0.2">
      <c r="A57" s="983" t="s">
        <v>374</v>
      </c>
      <c r="B57" s="984">
        <v>16</v>
      </c>
      <c r="C57" s="984">
        <v>60</v>
      </c>
      <c r="D57" s="984">
        <v>3</v>
      </c>
      <c r="E57" s="984">
        <v>11</v>
      </c>
      <c r="F57" s="984">
        <v>22</v>
      </c>
      <c r="G57" s="984">
        <v>150</v>
      </c>
      <c r="H57" s="984">
        <v>3</v>
      </c>
      <c r="I57" s="984">
        <v>16</v>
      </c>
      <c r="J57" s="985">
        <v>281</v>
      </c>
    </row>
    <row r="58" spans="1:10" customFormat="1" ht="12.75" x14ac:dyDescent="0.2">
      <c r="A58" s="983" t="s">
        <v>503</v>
      </c>
      <c r="B58" s="984">
        <v>85</v>
      </c>
      <c r="C58" s="984">
        <v>39</v>
      </c>
      <c r="D58" s="984">
        <v>0</v>
      </c>
      <c r="E58" s="984">
        <v>0</v>
      </c>
      <c r="F58" s="984">
        <v>893</v>
      </c>
      <c r="G58" s="984">
        <v>211</v>
      </c>
      <c r="H58" s="984">
        <v>0</v>
      </c>
      <c r="I58" s="984">
        <v>0</v>
      </c>
      <c r="J58" s="985">
        <v>1228</v>
      </c>
    </row>
    <row r="59" spans="1:10" customFormat="1" ht="12.75" x14ac:dyDescent="0.2">
      <c r="A59" s="983" t="s">
        <v>375</v>
      </c>
      <c r="B59" s="984">
        <v>0</v>
      </c>
      <c r="C59" s="984">
        <v>0</v>
      </c>
      <c r="D59" s="984">
        <v>34</v>
      </c>
      <c r="E59" s="984">
        <v>37</v>
      </c>
      <c r="F59" s="984">
        <v>0</v>
      </c>
      <c r="G59" s="984">
        <v>0</v>
      </c>
      <c r="H59" s="984">
        <v>207</v>
      </c>
      <c r="I59" s="984">
        <v>98</v>
      </c>
      <c r="J59" s="985">
        <v>376</v>
      </c>
    </row>
    <row r="60" spans="1:10" customFormat="1" ht="12.75" x14ac:dyDescent="0.2">
      <c r="A60" s="983" t="s">
        <v>376</v>
      </c>
      <c r="B60" s="984">
        <v>5</v>
      </c>
      <c r="C60" s="984">
        <v>7</v>
      </c>
      <c r="D60" s="984">
        <v>1</v>
      </c>
      <c r="E60" s="984">
        <v>2</v>
      </c>
      <c r="F60" s="984">
        <v>11</v>
      </c>
      <c r="G60" s="984">
        <v>24</v>
      </c>
      <c r="H60" s="984">
        <v>1</v>
      </c>
      <c r="I60" s="984">
        <v>5</v>
      </c>
      <c r="J60" s="985">
        <v>56</v>
      </c>
    </row>
    <row r="61" spans="1:10" customFormat="1" ht="12.75" x14ac:dyDescent="0.2">
      <c r="A61" s="983" t="s">
        <v>377</v>
      </c>
      <c r="B61" s="984">
        <v>20</v>
      </c>
      <c r="C61" s="984">
        <v>20</v>
      </c>
      <c r="D61" s="984">
        <v>2</v>
      </c>
      <c r="E61" s="984">
        <v>4</v>
      </c>
      <c r="F61" s="984">
        <v>110</v>
      </c>
      <c r="G61" s="984">
        <v>57</v>
      </c>
      <c r="H61" s="984">
        <v>6</v>
      </c>
      <c r="I61" s="984">
        <v>9</v>
      </c>
      <c r="J61" s="985">
        <v>228</v>
      </c>
    </row>
    <row r="62" spans="1:10" customFormat="1" ht="12.75" x14ac:dyDescent="0.2">
      <c r="A62" s="983" t="s">
        <v>378</v>
      </c>
      <c r="B62" s="984">
        <v>3</v>
      </c>
      <c r="C62" s="984">
        <v>19</v>
      </c>
      <c r="D62" s="984">
        <v>1</v>
      </c>
      <c r="E62" s="984">
        <v>5</v>
      </c>
      <c r="F62" s="984">
        <v>10</v>
      </c>
      <c r="G62" s="984">
        <v>60</v>
      </c>
      <c r="H62" s="984">
        <v>2</v>
      </c>
      <c r="I62" s="984">
        <v>8</v>
      </c>
      <c r="J62" s="985">
        <v>108</v>
      </c>
    </row>
    <row r="63" spans="1:10" customFormat="1" ht="12.75" x14ac:dyDescent="0.2">
      <c r="A63" s="983" t="s">
        <v>379</v>
      </c>
      <c r="B63" s="984">
        <v>25</v>
      </c>
      <c r="C63" s="984">
        <v>1</v>
      </c>
      <c r="D63" s="984">
        <v>0</v>
      </c>
      <c r="E63" s="984">
        <v>0</v>
      </c>
      <c r="F63" s="984">
        <v>289</v>
      </c>
      <c r="G63" s="984">
        <v>4</v>
      </c>
      <c r="H63" s="984">
        <v>0</v>
      </c>
      <c r="I63" s="984">
        <v>0</v>
      </c>
      <c r="J63" s="985">
        <v>319</v>
      </c>
    </row>
    <row r="64" spans="1:10" customFormat="1" ht="12.75" x14ac:dyDescent="0.2">
      <c r="A64" s="983" t="s">
        <v>380</v>
      </c>
      <c r="B64" s="984">
        <v>9</v>
      </c>
      <c r="C64" s="984">
        <v>0</v>
      </c>
      <c r="D64" s="984">
        <v>0</v>
      </c>
      <c r="E64" s="984">
        <v>0</v>
      </c>
      <c r="F64" s="984">
        <v>167</v>
      </c>
      <c r="G64" s="984">
        <v>0</v>
      </c>
      <c r="H64" s="984">
        <v>0</v>
      </c>
      <c r="I64" s="984">
        <v>0</v>
      </c>
      <c r="J64" s="985">
        <v>176</v>
      </c>
    </row>
    <row r="65" spans="1:12" customFormat="1" ht="12.75" x14ac:dyDescent="0.2">
      <c r="A65" s="983" t="s">
        <v>334</v>
      </c>
      <c r="B65" s="984">
        <v>2</v>
      </c>
      <c r="C65" s="984">
        <v>0</v>
      </c>
      <c r="D65" s="984">
        <v>0</v>
      </c>
      <c r="E65" s="984">
        <v>0</v>
      </c>
      <c r="F65" s="984">
        <v>35</v>
      </c>
      <c r="G65" s="984">
        <v>0</v>
      </c>
      <c r="H65" s="984">
        <v>0</v>
      </c>
      <c r="I65" s="984">
        <v>0</v>
      </c>
      <c r="J65" s="985">
        <v>37</v>
      </c>
    </row>
    <row r="66" spans="1:12" customFormat="1" ht="12.75" x14ac:dyDescent="0.2">
      <c r="A66" s="983" t="s">
        <v>381</v>
      </c>
      <c r="B66" s="984">
        <v>19</v>
      </c>
      <c r="C66" s="984">
        <v>0</v>
      </c>
      <c r="D66" s="984">
        <v>0</v>
      </c>
      <c r="E66" s="984">
        <v>0</v>
      </c>
      <c r="F66" s="984">
        <v>493</v>
      </c>
      <c r="G66" s="984">
        <v>2</v>
      </c>
      <c r="H66" s="984">
        <v>0</v>
      </c>
      <c r="I66" s="984">
        <v>0</v>
      </c>
      <c r="J66" s="985">
        <v>514</v>
      </c>
    </row>
    <row r="67" spans="1:12" customFormat="1" x14ac:dyDescent="0.25">
      <c r="A67" s="983" t="s">
        <v>382</v>
      </c>
      <c r="B67" s="984">
        <v>13</v>
      </c>
      <c r="C67" s="984">
        <v>7</v>
      </c>
      <c r="D67" s="984">
        <v>0</v>
      </c>
      <c r="E67" s="984">
        <v>0</v>
      </c>
      <c r="F67" s="984">
        <v>190</v>
      </c>
      <c r="G67" s="984">
        <v>30</v>
      </c>
      <c r="H67" s="984">
        <v>0</v>
      </c>
      <c r="I67" s="984">
        <v>0</v>
      </c>
      <c r="J67" s="985">
        <v>240</v>
      </c>
      <c r="L67" s="986" t="s">
        <v>612</v>
      </c>
    </row>
    <row r="68" spans="1:12" customFormat="1" x14ac:dyDescent="0.25">
      <c r="A68" s="983" t="s">
        <v>383</v>
      </c>
      <c r="B68" s="984">
        <v>2</v>
      </c>
      <c r="C68" s="984">
        <v>14</v>
      </c>
      <c r="D68" s="984">
        <v>3</v>
      </c>
      <c r="E68" s="984">
        <v>7</v>
      </c>
      <c r="F68" s="984">
        <v>4</v>
      </c>
      <c r="G68" s="984">
        <v>53</v>
      </c>
      <c r="H68" s="984">
        <v>5</v>
      </c>
      <c r="I68" s="984">
        <v>22</v>
      </c>
      <c r="J68" s="985">
        <v>110</v>
      </c>
      <c r="L68" s="986" t="s">
        <v>898</v>
      </c>
    </row>
    <row r="69" spans="1:12" customFormat="1" x14ac:dyDescent="0.25">
      <c r="A69" s="983" t="s">
        <v>574</v>
      </c>
      <c r="B69" s="984">
        <v>6</v>
      </c>
      <c r="C69" s="984">
        <v>1</v>
      </c>
      <c r="D69" s="984">
        <v>0</v>
      </c>
      <c r="E69" s="984">
        <v>0</v>
      </c>
      <c r="F69" s="984">
        <v>50</v>
      </c>
      <c r="G69" s="984">
        <v>2</v>
      </c>
      <c r="H69" s="984">
        <v>0</v>
      </c>
      <c r="I69" s="984">
        <v>0</v>
      </c>
      <c r="J69" s="985">
        <v>59</v>
      </c>
      <c r="L69" s="986" t="s">
        <v>899</v>
      </c>
    </row>
    <row r="70" spans="1:12" customFormat="1" ht="15.75" thickBot="1" x14ac:dyDescent="0.3">
      <c r="A70" s="987" t="s">
        <v>384</v>
      </c>
      <c r="B70" s="988">
        <v>27</v>
      </c>
      <c r="C70" s="988">
        <v>37</v>
      </c>
      <c r="D70" s="988">
        <v>2</v>
      </c>
      <c r="E70" s="988">
        <v>4</v>
      </c>
      <c r="F70" s="988">
        <v>15</v>
      </c>
      <c r="G70" s="988">
        <v>97</v>
      </c>
      <c r="H70" s="988">
        <v>2</v>
      </c>
      <c r="I70" s="988">
        <v>5</v>
      </c>
      <c r="J70" s="989">
        <v>189</v>
      </c>
      <c r="L70" s="986" t="s">
        <v>613</v>
      </c>
    </row>
    <row r="71" spans="1:12" customFormat="1" ht="19.149999999999999" customHeight="1" thickBot="1" x14ac:dyDescent="0.3">
      <c r="A71" s="1002" t="s">
        <v>900</v>
      </c>
      <c r="B71" s="1003">
        <v>284</v>
      </c>
      <c r="C71" s="1004">
        <v>341</v>
      </c>
      <c r="D71" s="990">
        <v>49</v>
      </c>
      <c r="E71" s="1004">
        <v>84</v>
      </c>
      <c r="F71" s="990">
        <v>2494</v>
      </c>
      <c r="G71" s="990">
        <v>1223</v>
      </c>
      <c r="H71" s="990">
        <v>232</v>
      </c>
      <c r="I71" s="1004">
        <v>182</v>
      </c>
      <c r="J71" s="991">
        <v>4889</v>
      </c>
      <c r="L71" s="1056">
        <f>D71+E71+H71+I71</f>
        <v>547</v>
      </c>
    </row>
    <row r="72" spans="1:12" customFormat="1" ht="12.75" x14ac:dyDescent="0.2">
      <c r="A72" s="980" t="s">
        <v>385</v>
      </c>
      <c r="B72" s="992">
        <v>0</v>
      </c>
      <c r="C72" s="992">
        <v>0</v>
      </c>
      <c r="D72" s="992">
        <v>0</v>
      </c>
      <c r="E72" s="992">
        <v>0</v>
      </c>
      <c r="F72" s="992">
        <v>0</v>
      </c>
      <c r="G72" s="992">
        <v>0</v>
      </c>
      <c r="H72" s="992">
        <v>0</v>
      </c>
      <c r="I72" s="992">
        <v>1</v>
      </c>
      <c r="J72" s="993">
        <v>1</v>
      </c>
    </row>
    <row r="73" spans="1:12" customFormat="1" ht="12.75" x14ac:dyDescent="0.2">
      <c r="A73" s="983" t="s">
        <v>386</v>
      </c>
      <c r="B73" s="994">
        <v>0</v>
      </c>
      <c r="C73" s="994">
        <v>0</v>
      </c>
      <c r="D73" s="994">
        <v>0</v>
      </c>
      <c r="E73" s="994">
        <v>0</v>
      </c>
      <c r="F73" s="994">
        <v>2</v>
      </c>
      <c r="G73" s="994">
        <v>0</v>
      </c>
      <c r="H73" s="994">
        <v>4</v>
      </c>
      <c r="I73" s="994">
        <v>0</v>
      </c>
      <c r="J73" s="995">
        <v>6</v>
      </c>
    </row>
    <row r="74" spans="1:12" customFormat="1" ht="12.75" x14ac:dyDescent="0.2">
      <c r="A74" s="983" t="s">
        <v>387</v>
      </c>
      <c r="B74" s="994">
        <v>39</v>
      </c>
      <c r="C74" s="994">
        <v>18</v>
      </c>
      <c r="D74" s="994">
        <v>1</v>
      </c>
      <c r="E74" s="994">
        <v>1</v>
      </c>
      <c r="F74" s="994">
        <v>46</v>
      </c>
      <c r="G74" s="994">
        <v>16</v>
      </c>
      <c r="H74" s="994">
        <v>0</v>
      </c>
      <c r="I74" s="994">
        <v>0</v>
      </c>
      <c r="J74" s="995">
        <v>121</v>
      </c>
    </row>
    <row r="75" spans="1:12" customFormat="1" ht="12.75" x14ac:dyDescent="0.2">
      <c r="A75" s="983" t="s">
        <v>388</v>
      </c>
      <c r="B75" s="994">
        <v>10</v>
      </c>
      <c r="C75" s="994">
        <v>3</v>
      </c>
      <c r="D75" s="994">
        <v>1</v>
      </c>
      <c r="E75" s="994">
        <v>0</v>
      </c>
      <c r="F75" s="994">
        <v>32</v>
      </c>
      <c r="G75" s="994">
        <v>6</v>
      </c>
      <c r="H75" s="994">
        <v>5</v>
      </c>
      <c r="I75" s="994">
        <v>0</v>
      </c>
      <c r="J75" s="995">
        <v>57</v>
      </c>
    </row>
    <row r="76" spans="1:12" customFormat="1" ht="12.75" x14ac:dyDescent="0.2">
      <c r="A76" s="983" t="s">
        <v>389</v>
      </c>
      <c r="B76" s="994">
        <v>2</v>
      </c>
      <c r="C76" s="994">
        <v>0</v>
      </c>
      <c r="D76" s="994">
        <v>2</v>
      </c>
      <c r="E76" s="994">
        <v>0</v>
      </c>
      <c r="F76" s="994">
        <v>56</v>
      </c>
      <c r="G76" s="994">
        <v>0</v>
      </c>
      <c r="H76" s="994">
        <v>16</v>
      </c>
      <c r="I76" s="994">
        <v>0</v>
      </c>
      <c r="J76" s="995">
        <v>76</v>
      </c>
    </row>
    <row r="77" spans="1:12" customFormat="1" ht="12.75" x14ac:dyDescent="0.2">
      <c r="A77" s="983" t="s">
        <v>390</v>
      </c>
      <c r="B77" s="994">
        <v>0</v>
      </c>
      <c r="C77" s="994">
        <v>0</v>
      </c>
      <c r="D77" s="994">
        <v>11</v>
      </c>
      <c r="E77" s="994">
        <v>3</v>
      </c>
      <c r="F77" s="994">
        <v>0</v>
      </c>
      <c r="G77" s="994">
        <v>0</v>
      </c>
      <c r="H77" s="994">
        <v>14</v>
      </c>
      <c r="I77" s="994">
        <v>1</v>
      </c>
      <c r="J77" s="995">
        <v>29</v>
      </c>
    </row>
    <row r="78" spans="1:12" customFormat="1" ht="12.75" x14ac:dyDescent="0.2">
      <c r="A78" s="983" t="s">
        <v>391</v>
      </c>
      <c r="B78" s="994">
        <v>22</v>
      </c>
      <c r="C78" s="994">
        <v>10</v>
      </c>
      <c r="D78" s="994">
        <v>3</v>
      </c>
      <c r="E78" s="994">
        <v>2</v>
      </c>
      <c r="F78" s="994">
        <v>35</v>
      </c>
      <c r="G78" s="994">
        <v>11</v>
      </c>
      <c r="H78" s="994">
        <v>4</v>
      </c>
      <c r="I78" s="994">
        <v>3</v>
      </c>
      <c r="J78" s="995">
        <v>90</v>
      </c>
    </row>
    <row r="79" spans="1:12" customFormat="1" ht="12.75" x14ac:dyDescent="0.2">
      <c r="A79" s="983" t="s">
        <v>392</v>
      </c>
      <c r="B79" s="994">
        <v>34</v>
      </c>
      <c r="C79" s="994">
        <v>22</v>
      </c>
      <c r="D79" s="994">
        <v>0</v>
      </c>
      <c r="E79" s="994">
        <v>0</v>
      </c>
      <c r="F79" s="994">
        <v>39</v>
      </c>
      <c r="G79" s="994">
        <v>5</v>
      </c>
      <c r="H79" s="994">
        <v>0</v>
      </c>
      <c r="I79" s="994">
        <v>0</v>
      </c>
      <c r="J79" s="995">
        <v>100</v>
      </c>
    </row>
    <row r="80" spans="1:12" customFormat="1" ht="12.75" x14ac:dyDescent="0.2">
      <c r="A80" s="983" t="s">
        <v>226</v>
      </c>
      <c r="B80" s="994">
        <v>9</v>
      </c>
      <c r="C80" s="994">
        <v>5</v>
      </c>
      <c r="D80" s="994">
        <v>2</v>
      </c>
      <c r="E80" s="994">
        <v>1</v>
      </c>
      <c r="F80" s="994">
        <v>21</v>
      </c>
      <c r="G80" s="994">
        <v>3</v>
      </c>
      <c r="H80" s="994">
        <v>3</v>
      </c>
      <c r="I80" s="994">
        <v>2</v>
      </c>
      <c r="J80" s="995">
        <v>46</v>
      </c>
    </row>
    <row r="81" spans="1:17" customFormat="1" ht="13.5" thickBot="1" x14ac:dyDescent="0.25">
      <c r="A81" s="987" t="s">
        <v>394</v>
      </c>
      <c r="B81" s="996">
        <v>23</v>
      </c>
      <c r="C81" s="996">
        <v>8</v>
      </c>
      <c r="D81" s="996">
        <v>4</v>
      </c>
      <c r="E81" s="996">
        <v>2</v>
      </c>
      <c r="F81" s="996">
        <v>16</v>
      </c>
      <c r="G81" s="996">
        <v>5</v>
      </c>
      <c r="H81" s="996">
        <v>4</v>
      </c>
      <c r="I81" s="996">
        <v>1</v>
      </c>
      <c r="J81" s="997">
        <v>63</v>
      </c>
    </row>
    <row r="82" spans="1:17" customFormat="1" ht="20.45" customHeight="1" thickBot="1" x14ac:dyDescent="0.3">
      <c r="A82" s="1005" t="s">
        <v>901</v>
      </c>
      <c r="B82" s="998">
        <v>139</v>
      </c>
      <c r="C82" s="1006">
        <v>66</v>
      </c>
      <c r="D82" s="998">
        <v>24</v>
      </c>
      <c r="E82" s="1006">
        <v>9</v>
      </c>
      <c r="F82" s="998">
        <v>247</v>
      </c>
      <c r="G82" s="998">
        <v>46</v>
      </c>
      <c r="H82" s="998">
        <v>50</v>
      </c>
      <c r="I82" s="1006">
        <v>8</v>
      </c>
      <c r="J82" s="999">
        <v>589</v>
      </c>
    </row>
    <row r="83" spans="1:17" customFormat="1" ht="12.75" x14ac:dyDescent="0.2">
      <c r="A83" s="980" t="s">
        <v>395</v>
      </c>
      <c r="B83" s="992">
        <v>22</v>
      </c>
      <c r="C83" s="992">
        <v>0</v>
      </c>
      <c r="D83" s="992">
        <v>14</v>
      </c>
      <c r="E83" s="992">
        <v>0</v>
      </c>
      <c r="F83" s="992">
        <v>144</v>
      </c>
      <c r="G83" s="992">
        <v>5</v>
      </c>
      <c r="H83" s="992">
        <v>47</v>
      </c>
      <c r="I83" s="992">
        <v>3</v>
      </c>
      <c r="J83" s="993">
        <v>235</v>
      </c>
    </row>
    <row r="84" spans="1:17" customFormat="1" ht="12.75" x14ac:dyDescent="0.2">
      <c r="A84" s="983" t="s">
        <v>617</v>
      </c>
      <c r="B84" s="994">
        <v>0</v>
      </c>
      <c r="C84" s="994">
        <v>0</v>
      </c>
      <c r="D84" s="994">
        <v>0</v>
      </c>
      <c r="E84" s="994">
        <v>0</v>
      </c>
      <c r="F84" s="994">
        <v>1</v>
      </c>
      <c r="G84" s="994">
        <v>0</v>
      </c>
      <c r="H84" s="994">
        <v>0</v>
      </c>
      <c r="I84" s="994">
        <v>0</v>
      </c>
      <c r="J84" s="995">
        <v>1</v>
      </c>
    </row>
    <row r="85" spans="1:17" customFormat="1" ht="12.75" x14ac:dyDescent="0.2">
      <c r="A85" s="983" t="s">
        <v>396</v>
      </c>
      <c r="B85" s="994">
        <v>12</v>
      </c>
      <c r="C85" s="994">
        <v>0</v>
      </c>
      <c r="D85" s="994">
        <v>3</v>
      </c>
      <c r="E85" s="994">
        <v>0</v>
      </c>
      <c r="F85" s="994">
        <v>31</v>
      </c>
      <c r="G85" s="994">
        <v>0</v>
      </c>
      <c r="H85" s="994">
        <v>8</v>
      </c>
      <c r="I85" s="994">
        <v>0</v>
      </c>
      <c r="J85" s="995">
        <v>54</v>
      </c>
    </row>
    <row r="86" spans="1:17" customFormat="1" ht="12.75" x14ac:dyDescent="0.2">
      <c r="A86" s="983" t="s">
        <v>397</v>
      </c>
      <c r="B86" s="994">
        <v>2</v>
      </c>
      <c r="C86" s="994">
        <v>0</v>
      </c>
      <c r="D86" s="994">
        <v>2</v>
      </c>
      <c r="E86" s="994">
        <v>0</v>
      </c>
      <c r="F86" s="994">
        <v>8</v>
      </c>
      <c r="G86" s="994">
        <v>0</v>
      </c>
      <c r="H86" s="994">
        <v>3</v>
      </c>
      <c r="I86" s="994">
        <v>0</v>
      </c>
      <c r="J86" s="995">
        <v>15</v>
      </c>
    </row>
    <row r="87" spans="1:17" customFormat="1" ht="12.75" x14ac:dyDescent="0.2">
      <c r="A87" s="983" t="s">
        <v>398</v>
      </c>
      <c r="B87" s="994">
        <v>2</v>
      </c>
      <c r="C87" s="994">
        <v>0</v>
      </c>
      <c r="D87" s="994">
        <v>0</v>
      </c>
      <c r="E87" s="994">
        <v>0</v>
      </c>
      <c r="F87" s="994">
        <v>3</v>
      </c>
      <c r="G87" s="994">
        <v>0</v>
      </c>
      <c r="H87" s="994">
        <v>2</v>
      </c>
      <c r="I87" s="994">
        <v>0</v>
      </c>
      <c r="J87" s="995">
        <v>7</v>
      </c>
    </row>
    <row r="88" spans="1:17" customFormat="1" ht="12.75" x14ac:dyDescent="0.2">
      <c r="A88" s="983" t="s">
        <v>399</v>
      </c>
      <c r="B88" s="994">
        <v>0</v>
      </c>
      <c r="C88" s="994">
        <v>0</v>
      </c>
      <c r="D88" s="994">
        <v>0</v>
      </c>
      <c r="E88" s="994">
        <v>0</v>
      </c>
      <c r="F88" s="994">
        <v>1</v>
      </c>
      <c r="G88" s="994">
        <v>0</v>
      </c>
      <c r="H88" s="994">
        <v>1</v>
      </c>
      <c r="I88" s="994">
        <v>0</v>
      </c>
      <c r="J88" s="995">
        <v>2</v>
      </c>
    </row>
    <row r="89" spans="1:17" customFormat="1" ht="12.75" x14ac:dyDescent="0.2">
      <c r="A89" s="983" t="s">
        <v>618</v>
      </c>
      <c r="B89" s="994">
        <v>0</v>
      </c>
      <c r="C89" s="994">
        <v>0</v>
      </c>
      <c r="D89" s="994">
        <v>0</v>
      </c>
      <c r="E89" s="994">
        <v>0</v>
      </c>
      <c r="F89" s="994">
        <v>1</v>
      </c>
      <c r="G89" s="994">
        <v>0</v>
      </c>
      <c r="H89" s="994">
        <v>0</v>
      </c>
      <c r="I89" s="994">
        <v>0</v>
      </c>
      <c r="J89" s="995">
        <v>1</v>
      </c>
    </row>
    <row r="90" spans="1:17" customFormat="1" ht="13.5" thickBot="1" x14ac:dyDescent="0.25">
      <c r="A90" s="987" t="s">
        <v>400</v>
      </c>
      <c r="B90" s="996">
        <v>10</v>
      </c>
      <c r="C90" s="996">
        <v>0</v>
      </c>
      <c r="D90" s="996">
        <v>2</v>
      </c>
      <c r="E90" s="996">
        <v>0</v>
      </c>
      <c r="F90" s="996">
        <v>39</v>
      </c>
      <c r="G90" s="996">
        <v>0</v>
      </c>
      <c r="H90" s="996">
        <v>13</v>
      </c>
      <c r="I90" s="996">
        <v>0</v>
      </c>
      <c r="J90" s="997">
        <v>64</v>
      </c>
    </row>
    <row r="91" spans="1:17" customFormat="1" ht="19.899999999999999" customHeight="1" thickBot="1" x14ac:dyDescent="0.3">
      <c r="A91" s="1005" t="s">
        <v>902</v>
      </c>
      <c r="B91" s="998">
        <v>48</v>
      </c>
      <c r="C91" s="1006">
        <v>0</v>
      </c>
      <c r="D91" s="998">
        <v>21</v>
      </c>
      <c r="E91" s="1006">
        <v>0</v>
      </c>
      <c r="F91" s="998">
        <v>228</v>
      </c>
      <c r="G91" s="998">
        <v>5</v>
      </c>
      <c r="H91" s="998">
        <v>74</v>
      </c>
      <c r="I91" s="1006">
        <v>3</v>
      </c>
      <c r="J91" s="999">
        <v>379</v>
      </c>
    </row>
    <row r="92" spans="1:17" customFormat="1" ht="12.75" x14ac:dyDescent="0.2"/>
    <row r="95" spans="1:17" ht="14.45" customHeight="1" x14ac:dyDescent="0.25">
      <c r="A95" s="1181" t="s">
        <v>595</v>
      </c>
      <c r="B95" s="1181"/>
      <c r="C95" s="1181"/>
      <c r="D95" s="1181"/>
      <c r="E95" s="1181"/>
      <c r="F95" s="1181"/>
      <c r="G95" s="1181"/>
      <c r="H95" s="1181"/>
      <c r="I95" s="1181"/>
      <c r="J95" s="1181"/>
      <c r="K95" s="1181"/>
      <c r="L95" s="1181"/>
      <c r="M95" s="1181"/>
      <c r="N95"/>
      <c r="O95"/>
      <c r="P95"/>
      <c r="Q95"/>
    </row>
    <row r="96" spans="1:17" s="588" customFormat="1" ht="22.5" customHeight="1" thickBot="1" x14ac:dyDescent="0.25">
      <c r="A96" s="597" t="s">
        <v>594</v>
      </c>
      <c r="B96"/>
      <c r="C96" s="116"/>
      <c r="D96" s="116"/>
      <c r="E96" s="116"/>
      <c r="F96" s="116"/>
      <c r="G96" s="116"/>
      <c r="H96" s="116"/>
      <c r="I96" s="116"/>
      <c r="J96" s="116"/>
      <c r="K96" s="116"/>
      <c r="L96" s="116"/>
      <c r="M96" s="116"/>
      <c r="N96"/>
      <c r="O96"/>
      <c r="P96"/>
      <c r="Q96"/>
    </row>
    <row r="97" spans="1:17" customFormat="1" ht="46.15" customHeight="1" x14ac:dyDescent="0.2">
      <c r="A97" s="672" t="s">
        <v>596</v>
      </c>
      <c r="B97" s="724" t="s">
        <v>597</v>
      </c>
      <c r="C97" s="725" t="s">
        <v>598</v>
      </c>
      <c r="D97" s="725" t="s">
        <v>599</v>
      </c>
      <c r="E97" s="725" t="s">
        <v>600</v>
      </c>
      <c r="F97" s="725" t="s">
        <v>601</v>
      </c>
      <c r="G97" s="725" t="s">
        <v>602</v>
      </c>
      <c r="H97" s="725" t="s">
        <v>603</v>
      </c>
      <c r="I97" s="725" t="s">
        <v>604</v>
      </c>
      <c r="J97" s="725" t="s">
        <v>605</v>
      </c>
      <c r="K97" s="725" t="s">
        <v>606</v>
      </c>
      <c r="L97" s="725" t="s">
        <v>607</v>
      </c>
      <c r="M97" s="726" t="s">
        <v>608</v>
      </c>
    </row>
    <row r="98" spans="1:17" s="174" customFormat="1" ht="15" customHeight="1" x14ac:dyDescent="0.2">
      <c r="A98" s="727" t="s">
        <v>609</v>
      </c>
      <c r="B98" s="728" t="s">
        <v>610</v>
      </c>
      <c r="C98" s="729">
        <v>3.1122999999999998</v>
      </c>
      <c r="D98" s="729">
        <v>89.200999999999993</v>
      </c>
      <c r="E98" s="729">
        <v>0.4496</v>
      </c>
      <c r="F98" s="729">
        <v>9.1769999999999996</v>
      </c>
      <c r="G98" s="729">
        <v>20.87</v>
      </c>
      <c r="H98" s="729">
        <v>304.44</v>
      </c>
      <c r="I98" s="729">
        <v>0.27500000000000002</v>
      </c>
      <c r="J98" s="729">
        <v>19.809999999999999</v>
      </c>
      <c r="K98" s="729">
        <v>101.94</v>
      </c>
      <c r="L98" s="729">
        <v>345.4</v>
      </c>
      <c r="M98" s="730">
        <v>447.34</v>
      </c>
      <c r="N98"/>
      <c r="O98"/>
      <c r="P98"/>
      <c r="Q98"/>
    </row>
    <row r="99" spans="1:17" customFormat="1" ht="15" customHeight="1" x14ac:dyDescent="0.2">
      <c r="A99" s="727" t="s">
        <v>611</v>
      </c>
      <c r="B99" s="728" t="s">
        <v>610</v>
      </c>
      <c r="C99" s="729">
        <v>0</v>
      </c>
      <c r="D99" s="729">
        <v>11.208</v>
      </c>
      <c r="E99" s="729">
        <v>0</v>
      </c>
      <c r="F99" s="729">
        <v>0</v>
      </c>
      <c r="G99" s="729">
        <v>40.1</v>
      </c>
      <c r="H99" s="729">
        <v>351.65</v>
      </c>
      <c r="I99" s="729">
        <v>0</v>
      </c>
      <c r="J99" s="729">
        <v>0</v>
      </c>
      <c r="K99" s="729">
        <v>11.208</v>
      </c>
      <c r="L99" s="729">
        <v>391.75</v>
      </c>
      <c r="M99" s="730">
        <v>402.95</v>
      </c>
    </row>
    <row r="100" spans="1:17" customFormat="1" ht="15" customHeight="1" x14ac:dyDescent="0.2">
      <c r="A100" s="727" t="s">
        <v>372</v>
      </c>
      <c r="B100" s="728" t="s">
        <v>610</v>
      </c>
      <c r="C100" s="729">
        <v>4.6638999999999999</v>
      </c>
      <c r="D100" s="729">
        <v>17.085000000000001</v>
      </c>
      <c r="E100" s="729">
        <v>0.61680000000000001</v>
      </c>
      <c r="F100" s="729">
        <v>3.1379999999999999</v>
      </c>
      <c r="G100" s="729">
        <v>3.04</v>
      </c>
      <c r="H100" s="729">
        <v>70.17</v>
      </c>
      <c r="I100" s="729">
        <v>0.19400000000000001</v>
      </c>
      <c r="J100" s="729">
        <v>13.279</v>
      </c>
      <c r="K100" s="729">
        <v>25.504000000000001</v>
      </c>
      <c r="L100" s="729">
        <v>86.69</v>
      </c>
      <c r="M100" s="730">
        <v>112.19</v>
      </c>
    </row>
    <row r="101" spans="1:17" customFormat="1" ht="15" customHeight="1" x14ac:dyDescent="0.2">
      <c r="A101" s="727" t="s">
        <v>374</v>
      </c>
      <c r="B101" s="728" t="s">
        <v>610</v>
      </c>
      <c r="C101" s="729">
        <v>2.2191000000000001</v>
      </c>
      <c r="D101" s="729">
        <v>79.126999999999995</v>
      </c>
      <c r="E101" s="729">
        <v>0.3468</v>
      </c>
      <c r="F101" s="729">
        <v>12.252000000000001</v>
      </c>
      <c r="G101" s="729">
        <v>10.39</v>
      </c>
      <c r="H101" s="729">
        <v>150.29</v>
      </c>
      <c r="I101" s="729">
        <v>2.0609999999999999</v>
      </c>
      <c r="J101" s="729">
        <v>12.651999999999999</v>
      </c>
      <c r="K101" s="729">
        <v>93.944999999999993</v>
      </c>
      <c r="L101" s="729">
        <v>175.39</v>
      </c>
      <c r="M101" s="730">
        <v>269.33999999999997</v>
      </c>
    </row>
    <row r="102" spans="1:17" customFormat="1" ht="15" customHeight="1" x14ac:dyDescent="0.2">
      <c r="A102" s="727" t="s">
        <v>503</v>
      </c>
      <c r="B102" s="728" t="s">
        <v>610</v>
      </c>
      <c r="C102" s="729">
        <v>19.491700000000002</v>
      </c>
      <c r="D102" s="729">
        <v>68.557000000000002</v>
      </c>
      <c r="E102" s="729">
        <v>0</v>
      </c>
      <c r="F102" s="729">
        <v>1.9E-2</v>
      </c>
      <c r="G102" s="729">
        <v>810.48</v>
      </c>
      <c r="H102" s="729">
        <v>503.13</v>
      </c>
      <c r="I102" s="729">
        <v>0</v>
      </c>
      <c r="J102" s="729">
        <v>0</v>
      </c>
      <c r="K102" s="729">
        <v>88.067999999999998</v>
      </c>
      <c r="L102" s="729">
        <v>1313.61</v>
      </c>
      <c r="M102" s="730">
        <v>1401.67</v>
      </c>
    </row>
    <row r="103" spans="1:17" customFormat="1" ht="15" customHeight="1" x14ac:dyDescent="0.2">
      <c r="A103" s="727" t="s">
        <v>375</v>
      </c>
      <c r="B103" s="728" t="s">
        <v>610</v>
      </c>
      <c r="C103" s="729">
        <v>0</v>
      </c>
      <c r="D103" s="729">
        <v>0.32300000000000001</v>
      </c>
      <c r="E103" s="729">
        <v>6.6474000000000002</v>
      </c>
      <c r="F103" s="729">
        <v>40.567</v>
      </c>
      <c r="G103" s="729">
        <v>0</v>
      </c>
      <c r="H103" s="729">
        <v>1.1399999999999999</v>
      </c>
      <c r="I103" s="729">
        <v>161.161</v>
      </c>
      <c r="J103" s="729">
        <v>213.81899999999999</v>
      </c>
      <c r="K103" s="729">
        <v>47.537999999999997</v>
      </c>
      <c r="L103" s="729">
        <v>376.12</v>
      </c>
      <c r="M103" s="730">
        <v>423.66</v>
      </c>
    </row>
    <row r="104" spans="1:17" customFormat="1" ht="15" customHeight="1" x14ac:dyDescent="0.2">
      <c r="A104" s="727" t="s">
        <v>376</v>
      </c>
      <c r="B104" s="728" t="s">
        <v>610</v>
      </c>
      <c r="C104" s="729">
        <v>1.6698</v>
      </c>
      <c r="D104" s="729">
        <v>3.3079999999999998</v>
      </c>
      <c r="E104" s="729">
        <v>0.27910000000000001</v>
      </c>
      <c r="F104" s="729">
        <v>1.9930000000000001</v>
      </c>
      <c r="G104" s="729">
        <v>1.68</v>
      </c>
      <c r="H104" s="729">
        <v>44.4</v>
      </c>
      <c r="I104" s="729">
        <v>0.20100000000000001</v>
      </c>
      <c r="J104" s="729">
        <v>9.4359999999999999</v>
      </c>
      <c r="K104" s="729">
        <v>7.25</v>
      </c>
      <c r="L104" s="729">
        <v>55.72</v>
      </c>
      <c r="M104" s="730">
        <v>62.97</v>
      </c>
    </row>
    <row r="105" spans="1:17" customFormat="1" ht="15" customHeight="1" x14ac:dyDescent="0.2">
      <c r="A105" s="727" t="s">
        <v>377</v>
      </c>
      <c r="B105" s="728" t="s">
        <v>610</v>
      </c>
      <c r="C105" s="729">
        <v>7.4816000000000003</v>
      </c>
      <c r="D105" s="729">
        <v>26.417000000000002</v>
      </c>
      <c r="E105" s="729">
        <v>0.30430000000000001</v>
      </c>
      <c r="F105" s="729">
        <v>6.87</v>
      </c>
      <c r="G105" s="729">
        <v>64.63</v>
      </c>
      <c r="H105" s="729">
        <v>106.81</v>
      </c>
      <c r="I105" s="729">
        <v>3.3090000000000002</v>
      </c>
      <c r="J105" s="729">
        <v>20.864999999999998</v>
      </c>
      <c r="K105" s="729">
        <v>41.073</v>
      </c>
      <c r="L105" s="729">
        <v>195.61</v>
      </c>
      <c r="M105" s="730">
        <v>236.69</v>
      </c>
    </row>
    <row r="106" spans="1:17" customFormat="1" ht="15" customHeight="1" x14ac:dyDescent="0.2">
      <c r="A106" s="727" t="s">
        <v>378</v>
      </c>
      <c r="B106" s="728" t="s">
        <v>610</v>
      </c>
      <c r="C106" s="729">
        <v>0.51739999999999997</v>
      </c>
      <c r="D106" s="729">
        <v>24.119</v>
      </c>
      <c r="E106" s="729">
        <v>3.73E-2</v>
      </c>
      <c r="F106" s="729">
        <v>4.7869999999999999</v>
      </c>
      <c r="G106" s="729">
        <v>5.77</v>
      </c>
      <c r="H106" s="729">
        <v>62.68</v>
      </c>
      <c r="I106" s="729">
        <v>6.7000000000000004E-2</v>
      </c>
      <c r="J106" s="729">
        <v>9.43</v>
      </c>
      <c r="K106" s="729">
        <v>29.46</v>
      </c>
      <c r="L106" s="729">
        <v>77.95</v>
      </c>
      <c r="M106" s="730">
        <v>107.41</v>
      </c>
    </row>
    <row r="107" spans="1:17" customFormat="1" ht="15" customHeight="1" x14ac:dyDescent="0.2">
      <c r="A107" s="727" t="s">
        <v>379</v>
      </c>
      <c r="B107" s="728" t="s">
        <v>610</v>
      </c>
      <c r="C107" s="729">
        <v>6.1943999999999999</v>
      </c>
      <c r="D107" s="729">
        <v>0.63300000000000001</v>
      </c>
      <c r="E107" s="729">
        <v>0</v>
      </c>
      <c r="F107" s="729">
        <v>0</v>
      </c>
      <c r="G107" s="729">
        <v>303.32</v>
      </c>
      <c r="H107" s="729">
        <v>16.89</v>
      </c>
      <c r="I107" s="729">
        <v>0</v>
      </c>
      <c r="J107" s="729">
        <v>0</v>
      </c>
      <c r="K107" s="729">
        <v>6.827</v>
      </c>
      <c r="L107" s="729">
        <v>320.20999999999998</v>
      </c>
      <c r="M107" s="730">
        <v>327.04000000000002</v>
      </c>
    </row>
    <row r="108" spans="1:17" customFormat="1" ht="15" customHeight="1" x14ac:dyDescent="0.2">
      <c r="A108" s="727" t="s">
        <v>380</v>
      </c>
      <c r="B108" s="728" t="s">
        <v>610</v>
      </c>
      <c r="C108" s="729">
        <v>3.2082000000000002</v>
      </c>
      <c r="D108" s="729">
        <v>0</v>
      </c>
      <c r="E108" s="729">
        <v>0</v>
      </c>
      <c r="F108" s="729">
        <v>0</v>
      </c>
      <c r="G108" s="729">
        <v>172.63</v>
      </c>
      <c r="H108" s="729">
        <v>0</v>
      </c>
      <c r="I108" s="729">
        <v>0</v>
      </c>
      <c r="J108" s="729">
        <v>0</v>
      </c>
      <c r="K108" s="729">
        <v>3.2080000000000002</v>
      </c>
      <c r="L108" s="729">
        <v>172.63</v>
      </c>
      <c r="M108" s="730">
        <v>175.84</v>
      </c>
    </row>
    <row r="109" spans="1:17" customFormat="1" ht="15" customHeight="1" x14ac:dyDescent="0.2">
      <c r="A109" s="727" t="s">
        <v>334</v>
      </c>
      <c r="B109" s="728" t="s">
        <v>610</v>
      </c>
      <c r="C109" s="729" t="s">
        <v>251</v>
      </c>
      <c r="D109" s="729" t="s">
        <v>251</v>
      </c>
      <c r="E109" s="729" t="s">
        <v>251</v>
      </c>
      <c r="F109" s="729" t="s">
        <v>251</v>
      </c>
      <c r="G109" s="729" t="s">
        <v>251</v>
      </c>
      <c r="H109" s="729" t="s">
        <v>251</v>
      </c>
      <c r="I109" s="729" t="s">
        <v>251</v>
      </c>
      <c r="J109" s="729" t="s">
        <v>251</v>
      </c>
      <c r="K109" s="729" t="s">
        <v>251</v>
      </c>
      <c r="L109" s="729" t="s">
        <v>251</v>
      </c>
      <c r="M109" s="730" t="s">
        <v>251</v>
      </c>
    </row>
    <row r="110" spans="1:17" customFormat="1" ht="15" customHeight="1" x14ac:dyDescent="0.2">
      <c r="A110" s="727" t="s">
        <v>381</v>
      </c>
      <c r="B110" s="728" t="s">
        <v>610</v>
      </c>
      <c r="C110" s="729">
        <v>13.36</v>
      </c>
      <c r="D110" s="729">
        <v>0</v>
      </c>
      <c r="E110" s="729">
        <v>0</v>
      </c>
      <c r="F110" s="729">
        <v>0</v>
      </c>
      <c r="G110" s="729">
        <v>509.45</v>
      </c>
      <c r="H110" s="729">
        <v>4.93</v>
      </c>
      <c r="I110" s="729">
        <v>0</v>
      </c>
      <c r="J110" s="729">
        <v>0</v>
      </c>
      <c r="K110" s="729">
        <v>13.36</v>
      </c>
      <c r="L110" s="729">
        <v>514.38</v>
      </c>
      <c r="M110" s="730">
        <v>527.74</v>
      </c>
    </row>
    <row r="111" spans="1:17" customFormat="1" ht="15" customHeight="1" x14ac:dyDescent="0.2">
      <c r="A111" s="727" t="s">
        <v>382</v>
      </c>
      <c r="B111" s="728" t="s">
        <v>610</v>
      </c>
      <c r="C111" s="729">
        <v>2.9034</v>
      </c>
      <c r="D111" s="729">
        <v>9.6349999999999998</v>
      </c>
      <c r="E111" s="729">
        <v>0</v>
      </c>
      <c r="F111" s="729">
        <v>0</v>
      </c>
      <c r="G111" s="729">
        <v>180.12</v>
      </c>
      <c r="H111" s="729">
        <v>62.36</v>
      </c>
      <c r="I111" s="729">
        <v>0</v>
      </c>
      <c r="J111" s="729">
        <v>0</v>
      </c>
      <c r="K111" s="729">
        <v>12.538</v>
      </c>
      <c r="L111" s="729">
        <v>242.48</v>
      </c>
      <c r="M111" s="730">
        <v>255.02</v>
      </c>
    </row>
    <row r="112" spans="1:17" customFormat="1" ht="15" customHeight="1" x14ac:dyDescent="0.25">
      <c r="A112" s="727" t="s">
        <v>383</v>
      </c>
      <c r="B112" s="728" t="s">
        <v>610</v>
      </c>
      <c r="C112" s="729">
        <v>0.12379999999999999</v>
      </c>
      <c r="D112" s="729">
        <v>6.6369999999999996</v>
      </c>
      <c r="E112" s="729">
        <v>0.86150000000000004</v>
      </c>
      <c r="F112" s="729">
        <v>6.7220000000000004</v>
      </c>
      <c r="G112" s="729">
        <v>2.0299999999999998</v>
      </c>
      <c r="H112" s="729">
        <v>65.760000000000005</v>
      </c>
      <c r="I112" s="729">
        <v>0.56799999999999995</v>
      </c>
      <c r="J112" s="729">
        <v>31.302</v>
      </c>
      <c r="K112" s="729">
        <v>14.343999999999999</v>
      </c>
      <c r="L112" s="729">
        <v>99.66</v>
      </c>
      <c r="M112" s="730">
        <v>114</v>
      </c>
      <c r="O112" s="731" t="s">
        <v>612</v>
      </c>
      <c r="P112" s="731"/>
    </row>
    <row r="113" spans="1:17" customFormat="1" ht="15" customHeight="1" x14ac:dyDescent="0.25">
      <c r="A113" s="727" t="s">
        <v>574</v>
      </c>
      <c r="B113" s="728" t="s">
        <v>610</v>
      </c>
      <c r="C113" s="729">
        <v>2.5579999999999998</v>
      </c>
      <c r="D113" s="729">
        <v>1.85</v>
      </c>
      <c r="E113" s="729">
        <v>0</v>
      </c>
      <c r="F113" s="729">
        <v>0</v>
      </c>
      <c r="G113" s="729">
        <v>51.01</v>
      </c>
      <c r="H113" s="729">
        <v>6.44</v>
      </c>
      <c r="I113" s="729">
        <v>0</v>
      </c>
      <c r="J113" s="729">
        <v>0</v>
      </c>
      <c r="K113" s="729">
        <v>4.4080000000000004</v>
      </c>
      <c r="L113" s="729">
        <v>57.45</v>
      </c>
      <c r="M113" s="730">
        <v>61.86</v>
      </c>
      <c r="O113" s="731" t="s">
        <v>575</v>
      </c>
      <c r="P113" s="731"/>
    </row>
    <row r="114" spans="1:17" customFormat="1" ht="15" customHeight="1" x14ac:dyDescent="0.25">
      <c r="A114" s="727" t="s">
        <v>384</v>
      </c>
      <c r="B114" s="728" t="s">
        <v>610</v>
      </c>
      <c r="C114" s="729">
        <v>3.4678</v>
      </c>
      <c r="D114" s="729">
        <v>35.847999999999999</v>
      </c>
      <c r="E114" s="729">
        <v>0.37769999999999998</v>
      </c>
      <c r="F114" s="729">
        <v>3.8420000000000001</v>
      </c>
      <c r="G114" s="729">
        <v>2.82</v>
      </c>
      <c r="H114" s="729">
        <v>139.61000000000001</v>
      </c>
      <c r="I114" s="729">
        <v>0.45</v>
      </c>
      <c r="J114" s="729">
        <v>6.8620000000000001</v>
      </c>
      <c r="K114" s="729">
        <v>43.534999999999997</v>
      </c>
      <c r="L114" s="729">
        <v>149.74</v>
      </c>
      <c r="M114" s="730">
        <v>193.28</v>
      </c>
      <c r="O114" s="731" t="s">
        <v>613</v>
      </c>
    </row>
    <row r="115" spans="1:17" customFormat="1" ht="15" customHeight="1" x14ac:dyDescent="0.25">
      <c r="A115" s="732" t="s">
        <v>614</v>
      </c>
      <c r="B115" s="733" t="s">
        <v>610</v>
      </c>
      <c r="C115" s="734">
        <v>69.5214</v>
      </c>
      <c r="D115" s="734">
        <v>437.43700000000001</v>
      </c>
      <c r="E115" s="734">
        <v>10.8001</v>
      </c>
      <c r="F115" s="734">
        <v>100.767</v>
      </c>
      <c r="G115" s="734">
        <v>1834.97</v>
      </c>
      <c r="H115" s="734">
        <v>2143.4299999999998</v>
      </c>
      <c r="I115" s="734">
        <v>162.351</v>
      </c>
      <c r="J115" s="734">
        <v>364.38499999999999</v>
      </c>
      <c r="K115" s="734">
        <v>618.52599999999995</v>
      </c>
      <c r="L115" s="734">
        <v>4505.1400000000003</v>
      </c>
      <c r="M115" s="735">
        <v>5123.66</v>
      </c>
      <c r="O115" s="736">
        <f>E115+F115+I115+J115</f>
        <v>638.30309999999997</v>
      </c>
    </row>
    <row r="116" spans="1:17" s="678" customFormat="1" ht="15" customHeight="1" x14ac:dyDescent="0.25">
      <c r="A116" s="680" t="s">
        <v>385</v>
      </c>
      <c r="B116" s="737" t="s">
        <v>615</v>
      </c>
      <c r="C116" s="738" t="s">
        <v>251</v>
      </c>
      <c r="D116" s="738" t="s">
        <v>251</v>
      </c>
      <c r="E116" s="738" t="s">
        <v>251</v>
      </c>
      <c r="F116" s="738" t="s">
        <v>251</v>
      </c>
      <c r="G116" s="738" t="s">
        <v>251</v>
      </c>
      <c r="H116" s="738" t="s">
        <v>251</v>
      </c>
      <c r="I116" s="738" t="s">
        <v>251</v>
      </c>
      <c r="J116" s="738" t="s">
        <v>251</v>
      </c>
      <c r="K116" s="738" t="s">
        <v>251</v>
      </c>
      <c r="L116" s="738" t="s">
        <v>251</v>
      </c>
      <c r="M116" s="739" t="s">
        <v>251</v>
      </c>
      <c r="N116"/>
      <c r="O116"/>
      <c r="P116"/>
      <c r="Q116"/>
    </row>
    <row r="117" spans="1:17" customFormat="1" ht="15" customHeight="1" x14ac:dyDescent="0.2">
      <c r="A117" s="680" t="s">
        <v>353</v>
      </c>
      <c r="B117" s="737" t="s">
        <v>615</v>
      </c>
      <c r="C117" s="738">
        <v>0</v>
      </c>
      <c r="D117" s="738">
        <v>0</v>
      </c>
      <c r="E117" s="738">
        <v>0</v>
      </c>
      <c r="F117" s="738">
        <v>0.70099999999999996</v>
      </c>
      <c r="G117" s="738">
        <v>0</v>
      </c>
      <c r="H117" s="738">
        <v>0</v>
      </c>
      <c r="I117" s="738">
        <v>0</v>
      </c>
      <c r="J117" s="738">
        <v>0</v>
      </c>
      <c r="K117" s="738">
        <v>0.70099999999999996</v>
      </c>
      <c r="L117" s="738">
        <v>0</v>
      </c>
      <c r="M117" s="739">
        <v>0.7</v>
      </c>
    </row>
    <row r="118" spans="1:17" customFormat="1" ht="15" customHeight="1" x14ac:dyDescent="0.2">
      <c r="A118" s="680" t="s">
        <v>386</v>
      </c>
      <c r="B118" s="737" t="s">
        <v>615</v>
      </c>
      <c r="C118" s="738">
        <v>0</v>
      </c>
      <c r="D118" s="738">
        <v>0</v>
      </c>
      <c r="E118" s="738">
        <v>0</v>
      </c>
      <c r="F118" s="738">
        <v>0</v>
      </c>
      <c r="G118" s="738">
        <v>0</v>
      </c>
      <c r="H118" s="738">
        <v>0</v>
      </c>
      <c r="I118" s="738">
        <v>5.0149999999999997</v>
      </c>
      <c r="J118" s="738">
        <v>1.2</v>
      </c>
      <c r="K118" s="738">
        <v>0</v>
      </c>
      <c r="L118" s="738">
        <v>6.21</v>
      </c>
      <c r="M118" s="739">
        <v>6.21</v>
      </c>
    </row>
    <row r="119" spans="1:17" customFormat="1" ht="15" customHeight="1" x14ac:dyDescent="0.2">
      <c r="A119" s="680" t="s">
        <v>387</v>
      </c>
      <c r="B119" s="737" t="s">
        <v>615</v>
      </c>
      <c r="C119" s="738">
        <v>17.746600000000001</v>
      </c>
      <c r="D119" s="738">
        <v>29.486000000000001</v>
      </c>
      <c r="E119" s="738">
        <v>0.31969999999999998</v>
      </c>
      <c r="F119" s="738">
        <v>0.47299999999999998</v>
      </c>
      <c r="G119" s="738">
        <v>11.18</v>
      </c>
      <c r="H119" s="738">
        <v>96.28</v>
      </c>
      <c r="I119" s="738">
        <v>0</v>
      </c>
      <c r="J119" s="738">
        <v>0.248</v>
      </c>
      <c r="K119" s="738">
        <v>48.024999999999999</v>
      </c>
      <c r="L119" s="738">
        <v>107.71</v>
      </c>
      <c r="M119" s="739">
        <v>155.74</v>
      </c>
    </row>
    <row r="120" spans="1:17" customFormat="1" ht="15" customHeight="1" x14ac:dyDescent="0.2">
      <c r="A120" s="680" t="s">
        <v>388</v>
      </c>
      <c r="B120" s="737" t="s">
        <v>615</v>
      </c>
      <c r="C120" s="738">
        <v>1.9086000000000001</v>
      </c>
      <c r="D120" s="738">
        <v>13.368</v>
      </c>
      <c r="E120" s="738">
        <v>2.4299999999999999E-2</v>
      </c>
      <c r="F120" s="738">
        <v>7.2999999999999995E-2</v>
      </c>
      <c r="G120" s="738">
        <v>27.21</v>
      </c>
      <c r="H120" s="738">
        <v>14.81</v>
      </c>
      <c r="I120" s="738">
        <v>3.2829999999999999</v>
      </c>
      <c r="J120" s="738">
        <v>0</v>
      </c>
      <c r="K120" s="738">
        <v>15.374000000000001</v>
      </c>
      <c r="L120" s="738">
        <v>45.3</v>
      </c>
      <c r="M120" s="739">
        <v>60.68</v>
      </c>
    </row>
    <row r="121" spans="1:17" customFormat="1" ht="15" customHeight="1" x14ac:dyDescent="0.2">
      <c r="A121" s="680" t="s">
        <v>389</v>
      </c>
      <c r="B121" s="737" t="s">
        <v>615</v>
      </c>
      <c r="C121" s="738">
        <v>0.39279999999999998</v>
      </c>
      <c r="D121" s="738">
        <v>0.82499999999999996</v>
      </c>
      <c r="E121" s="738">
        <v>2.6615000000000002</v>
      </c>
      <c r="F121" s="738">
        <v>1.62</v>
      </c>
      <c r="G121" s="738">
        <v>49.23</v>
      </c>
      <c r="H121" s="738">
        <v>6.96</v>
      </c>
      <c r="I121" s="738">
        <v>6.5110000000000001</v>
      </c>
      <c r="J121" s="738">
        <v>5.9320000000000004</v>
      </c>
      <c r="K121" s="738">
        <v>5.5</v>
      </c>
      <c r="L121" s="738">
        <v>68.64</v>
      </c>
      <c r="M121" s="739">
        <v>74.14</v>
      </c>
    </row>
    <row r="122" spans="1:17" customFormat="1" ht="15" customHeight="1" x14ac:dyDescent="0.2">
      <c r="A122" s="680" t="s">
        <v>390</v>
      </c>
      <c r="B122" s="737" t="s">
        <v>615</v>
      </c>
      <c r="C122" s="738">
        <v>1.4500000000000001E-2</v>
      </c>
      <c r="D122" s="738">
        <v>0</v>
      </c>
      <c r="E122" s="738">
        <v>6.0568999999999997</v>
      </c>
      <c r="F122" s="738">
        <v>7.6529999999999996</v>
      </c>
      <c r="G122" s="738">
        <v>0</v>
      </c>
      <c r="H122" s="738">
        <v>0</v>
      </c>
      <c r="I122" s="738">
        <v>3.1930000000000001</v>
      </c>
      <c r="J122" s="738">
        <v>11.983000000000001</v>
      </c>
      <c r="K122" s="738">
        <v>13.725</v>
      </c>
      <c r="L122" s="738">
        <v>15.18</v>
      </c>
      <c r="M122" s="739">
        <v>28.9</v>
      </c>
    </row>
    <row r="123" spans="1:17" customFormat="1" ht="15" customHeight="1" x14ac:dyDescent="0.2">
      <c r="A123" s="680" t="s">
        <v>391</v>
      </c>
      <c r="B123" s="737" t="s">
        <v>615</v>
      </c>
      <c r="C123" s="738">
        <v>2.9260000000000002</v>
      </c>
      <c r="D123" s="738">
        <v>36.944000000000003</v>
      </c>
      <c r="E123" s="738">
        <v>1.2479</v>
      </c>
      <c r="F123" s="738">
        <v>7.407</v>
      </c>
      <c r="G123" s="738">
        <v>4.58</v>
      </c>
      <c r="H123" s="738">
        <v>30.02</v>
      </c>
      <c r="I123" s="738">
        <v>2.3239999999999998</v>
      </c>
      <c r="J123" s="738">
        <v>4.5060000000000002</v>
      </c>
      <c r="K123" s="738">
        <v>48.524999999999999</v>
      </c>
      <c r="L123" s="738">
        <v>41.43</v>
      </c>
      <c r="M123" s="739">
        <v>89.95</v>
      </c>
    </row>
    <row r="124" spans="1:17" customFormat="1" ht="15" customHeight="1" x14ac:dyDescent="0.2">
      <c r="A124" s="680" t="s">
        <v>392</v>
      </c>
      <c r="B124" s="737" t="s">
        <v>615</v>
      </c>
      <c r="C124" s="738">
        <v>5.3851000000000004</v>
      </c>
      <c r="D124" s="738">
        <v>63.098999999999997</v>
      </c>
      <c r="E124" s="738">
        <v>0</v>
      </c>
      <c r="F124" s="738">
        <v>0.02</v>
      </c>
      <c r="G124" s="738">
        <v>19.04</v>
      </c>
      <c r="H124" s="738">
        <v>22.39</v>
      </c>
      <c r="I124" s="738">
        <v>0</v>
      </c>
      <c r="J124" s="738">
        <v>0</v>
      </c>
      <c r="K124" s="738">
        <v>68.504999999999995</v>
      </c>
      <c r="L124" s="738">
        <v>41.43</v>
      </c>
      <c r="M124" s="739">
        <v>109.93</v>
      </c>
    </row>
    <row r="125" spans="1:17" customFormat="1" ht="15" customHeight="1" x14ac:dyDescent="0.2">
      <c r="A125" s="687" t="s">
        <v>577</v>
      </c>
      <c r="B125" s="737" t="s">
        <v>615</v>
      </c>
      <c r="C125" s="738">
        <v>0.1754</v>
      </c>
      <c r="D125" s="738">
        <v>0</v>
      </c>
      <c r="E125" s="738">
        <v>0</v>
      </c>
      <c r="F125" s="738">
        <v>0</v>
      </c>
      <c r="G125" s="738">
        <v>0</v>
      </c>
      <c r="H125" s="738">
        <v>0.18</v>
      </c>
      <c r="I125" s="738">
        <v>0</v>
      </c>
      <c r="J125" s="738">
        <v>0</v>
      </c>
      <c r="K125" s="738">
        <v>0.17499999999999999</v>
      </c>
      <c r="L125" s="738">
        <v>0.18</v>
      </c>
      <c r="M125" s="739">
        <v>0.36</v>
      </c>
    </row>
    <row r="126" spans="1:17" customFormat="1" ht="15" customHeight="1" x14ac:dyDescent="0.2">
      <c r="A126" s="680" t="s">
        <v>226</v>
      </c>
      <c r="B126" s="737" t="s">
        <v>615</v>
      </c>
      <c r="C126" s="738">
        <v>6.2933000000000003</v>
      </c>
      <c r="D126" s="738">
        <v>12.255000000000001</v>
      </c>
      <c r="E126" s="738">
        <v>0.78169999999999995</v>
      </c>
      <c r="F126" s="738">
        <v>4.1219999999999999</v>
      </c>
      <c r="G126" s="738">
        <v>5.68</v>
      </c>
      <c r="H126" s="738">
        <v>12.94</v>
      </c>
      <c r="I126" s="738">
        <v>9.5000000000000001E-2</v>
      </c>
      <c r="J126" s="738">
        <v>3.3479999999999999</v>
      </c>
      <c r="K126" s="738">
        <v>23.452000000000002</v>
      </c>
      <c r="L126" s="738">
        <v>22.06</v>
      </c>
      <c r="M126" s="739">
        <v>45.51</v>
      </c>
    </row>
    <row r="127" spans="1:17" customFormat="1" ht="15" customHeight="1" x14ac:dyDescent="0.2">
      <c r="A127" s="680" t="s">
        <v>394</v>
      </c>
      <c r="B127" s="737" t="s">
        <v>615</v>
      </c>
      <c r="C127" s="738">
        <v>4.0815999999999999</v>
      </c>
      <c r="D127" s="738">
        <v>37.316000000000003</v>
      </c>
      <c r="E127" s="738">
        <v>1.5718000000000001</v>
      </c>
      <c r="F127" s="738">
        <v>7.4189999999999996</v>
      </c>
      <c r="G127" s="738">
        <v>5.88</v>
      </c>
      <c r="H127" s="738">
        <v>8.56</v>
      </c>
      <c r="I127" s="738">
        <v>0.47199999999999998</v>
      </c>
      <c r="J127" s="738">
        <v>5.1100000000000003</v>
      </c>
      <c r="K127" s="738">
        <v>50.389000000000003</v>
      </c>
      <c r="L127" s="738">
        <v>20.03</v>
      </c>
      <c r="M127" s="739">
        <v>70.41</v>
      </c>
    </row>
    <row r="128" spans="1:17" customFormat="1" ht="15" customHeight="1" x14ac:dyDescent="0.2">
      <c r="A128" s="680" t="s">
        <v>614</v>
      </c>
      <c r="B128" s="737" t="s">
        <v>615</v>
      </c>
      <c r="C128" s="738">
        <v>43.052100000000003</v>
      </c>
      <c r="D128" s="738">
        <v>191.41800000000001</v>
      </c>
      <c r="E128" s="738">
        <v>13.2859</v>
      </c>
      <c r="F128" s="738">
        <v>30.969000000000001</v>
      </c>
      <c r="G128" s="738">
        <v>99.39</v>
      </c>
      <c r="H128" s="738">
        <v>217.57</v>
      </c>
      <c r="I128" s="738">
        <v>15.178000000000001</v>
      </c>
      <c r="J128" s="738">
        <v>31.905999999999999</v>
      </c>
      <c r="K128" s="738">
        <v>278.72500000000002</v>
      </c>
      <c r="L128" s="738">
        <v>364.04</v>
      </c>
      <c r="M128" s="739">
        <v>642.77</v>
      </c>
    </row>
    <row r="129" spans="1:17" customFormat="1" ht="15" customHeight="1" x14ac:dyDescent="0.2">
      <c r="A129" s="680" t="s">
        <v>395</v>
      </c>
      <c r="B129" s="737" t="s">
        <v>616</v>
      </c>
      <c r="C129" s="738">
        <v>22.0642</v>
      </c>
      <c r="D129" s="738">
        <v>3.5449999999999999</v>
      </c>
      <c r="E129" s="738">
        <v>14.389900000000001</v>
      </c>
      <c r="F129" s="738">
        <v>0.753</v>
      </c>
      <c r="G129" s="738">
        <v>141.61000000000001</v>
      </c>
      <c r="H129" s="738">
        <v>19.829999999999998</v>
      </c>
      <c r="I129" s="738">
        <v>49.098999999999997</v>
      </c>
      <c r="J129" s="738">
        <v>11.555999999999999</v>
      </c>
      <c r="K129" s="738">
        <v>40.752000000000002</v>
      </c>
      <c r="L129" s="738">
        <v>222.1</v>
      </c>
      <c r="M129" s="739">
        <v>262.85000000000002</v>
      </c>
    </row>
    <row r="130" spans="1:17" customFormat="1" ht="15" customHeight="1" x14ac:dyDescent="0.2">
      <c r="A130" s="680" t="s">
        <v>617</v>
      </c>
      <c r="B130" s="737" t="s">
        <v>616</v>
      </c>
      <c r="C130" s="738" t="s">
        <v>251</v>
      </c>
      <c r="D130" s="738" t="s">
        <v>251</v>
      </c>
      <c r="E130" s="738" t="s">
        <v>251</v>
      </c>
      <c r="F130" s="738" t="s">
        <v>251</v>
      </c>
      <c r="G130" s="738" t="s">
        <v>251</v>
      </c>
      <c r="H130" s="738" t="s">
        <v>251</v>
      </c>
      <c r="I130" s="738" t="s">
        <v>251</v>
      </c>
      <c r="J130" s="738" t="s">
        <v>251</v>
      </c>
      <c r="K130" s="738" t="s">
        <v>251</v>
      </c>
      <c r="L130" s="738" t="s">
        <v>251</v>
      </c>
      <c r="M130" s="739" t="s">
        <v>251</v>
      </c>
    </row>
    <row r="131" spans="1:17" customFormat="1" ht="15" customHeight="1" x14ac:dyDescent="0.2">
      <c r="A131" s="680" t="s">
        <v>396</v>
      </c>
      <c r="B131" s="737" t="s">
        <v>616</v>
      </c>
      <c r="C131" s="738">
        <v>9.6900999999999993</v>
      </c>
      <c r="D131" s="738">
        <v>0.59899999999999998</v>
      </c>
      <c r="E131" s="738">
        <v>2.7107000000000001</v>
      </c>
      <c r="F131" s="738">
        <v>1.2999999999999999E-2</v>
      </c>
      <c r="G131" s="738">
        <v>29.58</v>
      </c>
      <c r="H131" s="738">
        <v>0</v>
      </c>
      <c r="I131" s="738">
        <v>4.8289999999999997</v>
      </c>
      <c r="J131" s="738">
        <v>0</v>
      </c>
      <c r="K131" s="738">
        <v>13.012</v>
      </c>
      <c r="L131" s="738">
        <v>34.409999999999997</v>
      </c>
      <c r="M131" s="739">
        <v>47.42</v>
      </c>
    </row>
    <row r="132" spans="1:17" customFormat="1" ht="15" customHeight="1" x14ac:dyDescent="0.2">
      <c r="A132" s="680" t="s">
        <v>397</v>
      </c>
      <c r="B132" s="737" t="s">
        <v>616</v>
      </c>
      <c r="C132" s="738">
        <v>0.74819999999999998</v>
      </c>
      <c r="D132" s="738">
        <v>0</v>
      </c>
      <c r="E132" s="738">
        <v>0.58509999999999995</v>
      </c>
      <c r="F132" s="738">
        <v>3.4000000000000002E-2</v>
      </c>
      <c r="G132" s="738">
        <v>9.73</v>
      </c>
      <c r="H132" s="738">
        <v>1.58</v>
      </c>
      <c r="I132" s="738">
        <v>6.5540000000000003</v>
      </c>
      <c r="J132" s="738">
        <v>5.6000000000000001E-2</v>
      </c>
      <c r="K132" s="738">
        <v>1.367</v>
      </c>
      <c r="L132" s="738">
        <v>17.920000000000002</v>
      </c>
      <c r="M132" s="739">
        <v>19.29</v>
      </c>
    </row>
    <row r="133" spans="1:17" customFormat="1" ht="15" customHeight="1" x14ac:dyDescent="0.2">
      <c r="A133" s="680" t="s">
        <v>398</v>
      </c>
      <c r="B133" s="737" t="s">
        <v>616</v>
      </c>
      <c r="C133" s="738">
        <v>0.55820000000000003</v>
      </c>
      <c r="D133" s="738">
        <v>0</v>
      </c>
      <c r="E133" s="738">
        <v>0.12720000000000001</v>
      </c>
      <c r="F133" s="738">
        <v>0</v>
      </c>
      <c r="G133" s="738">
        <v>6.3</v>
      </c>
      <c r="H133" s="738">
        <v>0.54</v>
      </c>
      <c r="I133" s="738">
        <v>2.5720000000000001</v>
      </c>
      <c r="J133" s="738">
        <v>0</v>
      </c>
      <c r="K133" s="738">
        <v>0.68500000000000005</v>
      </c>
      <c r="L133" s="738">
        <v>9.41</v>
      </c>
      <c r="M133" s="739">
        <v>10.09</v>
      </c>
    </row>
    <row r="134" spans="1:17" customFormat="1" ht="15" customHeight="1" x14ac:dyDescent="0.2">
      <c r="A134" s="680" t="s">
        <v>399</v>
      </c>
      <c r="B134" s="737" t="s">
        <v>616</v>
      </c>
      <c r="C134" s="738">
        <v>0.29520000000000002</v>
      </c>
      <c r="D134" s="738">
        <v>0</v>
      </c>
      <c r="E134" s="738">
        <v>0.3977</v>
      </c>
      <c r="F134" s="738">
        <v>0</v>
      </c>
      <c r="G134" s="738">
        <v>1.64</v>
      </c>
      <c r="H134" s="738">
        <v>0</v>
      </c>
      <c r="I134" s="738">
        <v>1.46</v>
      </c>
      <c r="J134" s="738">
        <v>0</v>
      </c>
      <c r="K134" s="738">
        <v>0.69299999999999995</v>
      </c>
      <c r="L134" s="738">
        <v>3.1</v>
      </c>
      <c r="M134" s="739">
        <v>3.79</v>
      </c>
    </row>
    <row r="135" spans="1:17" customFormat="1" ht="15" customHeight="1" x14ac:dyDescent="0.2">
      <c r="A135" s="680" t="s">
        <v>618</v>
      </c>
      <c r="B135" s="737" t="s">
        <v>616</v>
      </c>
      <c r="C135" s="738">
        <v>0.20050000000000001</v>
      </c>
      <c r="D135" s="738">
        <v>0</v>
      </c>
      <c r="E135" s="738">
        <v>0</v>
      </c>
      <c r="F135" s="738">
        <v>0</v>
      </c>
      <c r="G135" s="738">
        <v>0.13</v>
      </c>
      <c r="H135" s="738">
        <v>0</v>
      </c>
      <c r="I135" s="738">
        <v>0</v>
      </c>
      <c r="J135" s="738">
        <v>0</v>
      </c>
      <c r="K135" s="738">
        <v>0.20100000000000001</v>
      </c>
      <c r="L135" s="738">
        <v>0.13</v>
      </c>
      <c r="M135" s="739">
        <v>0.34</v>
      </c>
    </row>
    <row r="136" spans="1:17" customFormat="1" ht="15" customHeight="1" x14ac:dyDescent="0.2">
      <c r="A136" s="680" t="s">
        <v>400</v>
      </c>
      <c r="B136" s="737" t="s">
        <v>616</v>
      </c>
      <c r="C136" s="738">
        <v>10.0359</v>
      </c>
      <c r="D136" s="738">
        <v>0.57299999999999995</v>
      </c>
      <c r="E136" s="738">
        <v>3.1467999999999998</v>
      </c>
      <c r="F136" s="738">
        <v>0</v>
      </c>
      <c r="G136" s="738">
        <v>30.39</v>
      </c>
      <c r="H136" s="738">
        <v>0.36</v>
      </c>
      <c r="I136" s="738">
        <v>15.336</v>
      </c>
      <c r="J136" s="738">
        <v>0.25700000000000001</v>
      </c>
      <c r="K136" s="738">
        <v>13.755000000000001</v>
      </c>
      <c r="L136" s="738">
        <v>46.34</v>
      </c>
      <c r="M136" s="739">
        <v>60.1</v>
      </c>
    </row>
    <row r="137" spans="1:17" customFormat="1" ht="15" customHeight="1" x14ac:dyDescent="0.2">
      <c r="A137" s="740" t="s">
        <v>614</v>
      </c>
      <c r="B137" s="741" t="s">
        <v>616</v>
      </c>
      <c r="C137" s="742">
        <v>41.951300000000003</v>
      </c>
      <c r="D137" s="742">
        <v>4.7460000000000004</v>
      </c>
      <c r="E137" s="742">
        <v>21.322299999999998</v>
      </c>
      <c r="F137" s="742">
        <v>0.83599999999999997</v>
      </c>
      <c r="G137" s="742">
        <v>218.57</v>
      </c>
      <c r="H137" s="742">
        <v>23.38</v>
      </c>
      <c r="I137" s="742">
        <v>80.614999999999995</v>
      </c>
      <c r="J137" s="742">
        <v>12.587</v>
      </c>
      <c r="K137" s="742">
        <v>68.855999999999995</v>
      </c>
      <c r="L137" s="742">
        <v>335.15</v>
      </c>
      <c r="M137" s="743">
        <v>404.01</v>
      </c>
    </row>
    <row r="138" spans="1:17" customFormat="1" ht="15" customHeight="1" x14ac:dyDescent="0.2">
      <c r="A138" s="680" t="s">
        <v>619</v>
      </c>
      <c r="B138" s="737" t="s">
        <v>620</v>
      </c>
      <c r="C138" s="738">
        <v>0</v>
      </c>
      <c r="D138" s="738">
        <v>0</v>
      </c>
      <c r="E138" s="738">
        <v>0</v>
      </c>
      <c r="F138" s="738">
        <v>0</v>
      </c>
      <c r="G138" s="738">
        <v>2.4700000000000002</v>
      </c>
      <c r="H138" s="738">
        <v>0</v>
      </c>
      <c r="I138" s="738">
        <v>1</v>
      </c>
      <c r="J138" s="738">
        <v>0</v>
      </c>
      <c r="K138" s="738">
        <v>0</v>
      </c>
      <c r="L138" s="738">
        <v>3.47</v>
      </c>
      <c r="M138" s="739">
        <v>3.47</v>
      </c>
    </row>
    <row r="139" spans="1:17" customFormat="1" ht="15" customHeight="1" x14ac:dyDescent="0.2">
      <c r="A139" s="680" t="s">
        <v>621</v>
      </c>
      <c r="B139" s="737" t="s">
        <v>620</v>
      </c>
      <c r="C139" s="738">
        <v>0</v>
      </c>
      <c r="D139" s="738">
        <v>0</v>
      </c>
      <c r="E139" s="738">
        <v>0</v>
      </c>
      <c r="F139" s="738">
        <v>0</v>
      </c>
      <c r="G139" s="738">
        <v>9</v>
      </c>
      <c r="H139" s="738">
        <v>0</v>
      </c>
      <c r="I139" s="738">
        <v>1</v>
      </c>
      <c r="J139" s="738">
        <v>0</v>
      </c>
      <c r="K139" s="738">
        <v>0</v>
      </c>
      <c r="L139" s="738">
        <v>10</v>
      </c>
      <c r="M139" s="739">
        <v>10</v>
      </c>
    </row>
    <row r="140" spans="1:17" customFormat="1" ht="15" customHeight="1" x14ac:dyDescent="0.2">
      <c r="A140" s="680" t="s">
        <v>404</v>
      </c>
      <c r="B140" s="737" t="s">
        <v>620</v>
      </c>
      <c r="C140" s="738" t="s">
        <v>251</v>
      </c>
      <c r="D140" s="738" t="s">
        <v>251</v>
      </c>
      <c r="E140" s="738" t="s">
        <v>251</v>
      </c>
      <c r="F140" s="738" t="s">
        <v>251</v>
      </c>
      <c r="G140" s="738" t="s">
        <v>251</v>
      </c>
      <c r="H140" s="738" t="s">
        <v>251</v>
      </c>
      <c r="I140" s="738" t="s">
        <v>251</v>
      </c>
      <c r="J140" s="738" t="s">
        <v>251</v>
      </c>
      <c r="K140" s="738" t="s">
        <v>251</v>
      </c>
      <c r="L140" s="738" t="s">
        <v>251</v>
      </c>
      <c r="M140" s="739" t="s">
        <v>251</v>
      </c>
    </row>
    <row r="141" spans="1:17" customFormat="1" ht="15" customHeight="1" thickBot="1" x14ac:dyDescent="0.25">
      <c r="A141" s="744" t="s">
        <v>614</v>
      </c>
      <c r="B141" s="745" t="s">
        <v>622</v>
      </c>
      <c r="C141" s="746">
        <v>0</v>
      </c>
      <c r="D141" s="746">
        <v>0</v>
      </c>
      <c r="E141" s="746">
        <v>0</v>
      </c>
      <c r="F141" s="746">
        <v>0</v>
      </c>
      <c r="G141" s="746">
        <v>13.18</v>
      </c>
      <c r="H141" s="746">
        <v>0</v>
      </c>
      <c r="I141" s="746">
        <v>2.2970000000000002</v>
      </c>
      <c r="J141" s="746">
        <v>0</v>
      </c>
      <c r="K141" s="746">
        <v>0</v>
      </c>
      <c r="L141" s="746">
        <v>15.47</v>
      </c>
      <c r="M141" s="747">
        <v>15.47</v>
      </c>
    </row>
    <row r="142" spans="1:17" customFormat="1" ht="15" customHeight="1" x14ac:dyDescent="0.2">
      <c r="C142" s="116"/>
      <c r="D142" s="116"/>
      <c r="E142" s="116"/>
      <c r="F142" s="116"/>
      <c r="G142" s="116"/>
      <c r="H142" s="116"/>
      <c r="I142" s="116"/>
      <c r="J142" s="116"/>
      <c r="K142" s="116"/>
      <c r="L142" s="116"/>
      <c r="M142" s="116"/>
    </row>
    <row r="143" spans="1:17" customFormat="1" x14ac:dyDescent="0.25">
      <c r="A143" s="206"/>
      <c r="B143" s="206"/>
      <c r="C143" s="206"/>
      <c r="D143" s="206"/>
      <c r="E143" s="206"/>
      <c r="F143" s="206"/>
      <c r="G143" s="206"/>
      <c r="H143" s="206"/>
      <c r="I143" s="206"/>
      <c r="J143" s="206"/>
      <c r="K143" s="206"/>
      <c r="L143" s="206"/>
      <c r="M143" s="206"/>
      <c r="N143" s="206"/>
      <c r="O143" s="206"/>
      <c r="P143" s="206"/>
      <c r="Q143" s="206"/>
    </row>
    <row r="144" spans="1:17" s="588" customFormat="1" ht="22.5" customHeight="1" x14ac:dyDescent="0.2">
      <c r="A144" s="589"/>
      <c r="B144" s="589"/>
      <c r="C144" s="589"/>
      <c r="D144" s="590" t="s">
        <v>586</v>
      </c>
      <c r="E144" s="589"/>
      <c r="F144" s="589"/>
      <c r="G144" s="589"/>
      <c r="H144" s="589"/>
      <c r="I144" s="589"/>
      <c r="J144" s="589"/>
      <c r="K144" s="589"/>
      <c r="L144" s="589"/>
      <c r="M144" s="589"/>
      <c r="N144" s="589"/>
    </row>
    <row r="145" spans="1:19" customFormat="1" ht="13.5" thickBot="1" x14ac:dyDescent="0.25">
      <c r="A145" s="597"/>
      <c r="B145" s="173"/>
      <c r="C145" s="173"/>
      <c r="D145" s="173"/>
      <c r="E145" s="173"/>
      <c r="F145" s="173"/>
      <c r="G145" s="173"/>
      <c r="H145" s="173"/>
      <c r="I145" s="173"/>
      <c r="J145" s="173"/>
      <c r="K145" s="173"/>
      <c r="L145" s="173"/>
    </row>
    <row r="146" spans="1:19" customFormat="1" ht="48.6" customHeight="1" x14ac:dyDescent="0.2">
      <c r="A146" s="672" t="s">
        <v>333</v>
      </c>
      <c r="B146" s="673" t="s">
        <v>562</v>
      </c>
      <c r="C146" s="673" t="s">
        <v>563</v>
      </c>
      <c r="D146" s="673" t="s">
        <v>564</v>
      </c>
      <c r="E146" s="673" t="s">
        <v>565</v>
      </c>
      <c r="F146" s="673" t="s">
        <v>566</v>
      </c>
      <c r="G146" s="673" t="s">
        <v>567</v>
      </c>
      <c r="H146" s="673" t="s">
        <v>568</v>
      </c>
      <c r="I146" s="673" t="s">
        <v>569</v>
      </c>
      <c r="J146" s="673" t="s">
        <v>570</v>
      </c>
      <c r="K146" s="673" t="s">
        <v>571</v>
      </c>
      <c r="L146" s="674" t="s">
        <v>572</v>
      </c>
      <c r="M146" s="174"/>
      <c r="N146" s="174"/>
      <c r="O146" s="174"/>
      <c r="P146" s="174"/>
      <c r="Q146" s="174"/>
    </row>
    <row r="147" spans="1:19" customFormat="1" ht="12.75" x14ac:dyDescent="0.2">
      <c r="A147" s="675" t="s">
        <v>252</v>
      </c>
      <c r="B147" s="676">
        <v>84.605000000000004</v>
      </c>
      <c r="C147" s="676">
        <v>50.706800000000001</v>
      </c>
      <c r="D147" s="676">
        <v>3.726</v>
      </c>
      <c r="E147" s="676">
        <v>6.5862999999999996</v>
      </c>
      <c r="F147" s="676">
        <v>145.625</v>
      </c>
      <c r="G147" s="676">
        <v>129.274</v>
      </c>
      <c r="H147" s="676">
        <v>184.93700000000001</v>
      </c>
      <c r="I147" s="676">
        <v>1.1479999999999999</v>
      </c>
      <c r="J147" s="676">
        <v>4.9260000000000002</v>
      </c>
      <c r="K147" s="676">
        <v>320.27999999999997</v>
      </c>
      <c r="L147" s="677">
        <f>F147+K147</f>
        <v>465.90499999999997</v>
      </c>
    </row>
    <row r="148" spans="1:19" customFormat="1" ht="12.75" x14ac:dyDescent="0.2">
      <c r="A148" s="675" t="s">
        <v>372</v>
      </c>
      <c r="B148" s="676">
        <v>27.574999999999999</v>
      </c>
      <c r="C148" s="676">
        <v>10.306800000000001</v>
      </c>
      <c r="D148" s="676">
        <v>2.7972999999999999</v>
      </c>
      <c r="E148" s="676">
        <v>3.7671000000000001</v>
      </c>
      <c r="F148" s="676">
        <v>44.447000000000003</v>
      </c>
      <c r="G148" s="676">
        <v>42.832999999999998</v>
      </c>
      <c r="H148" s="676">
        <v>31.449000000000002</v>
      </c>
      <c r="I148" s="676">
        <v>4.5229999999999997</v>
      </c>
      <c r="J148" s="676">
        <v>5.0679999999999996</v>
      </c>
      <c r="K148" s="676">
        <v>83.87</v>
      </c>
      <c r="L148" s="677">
        <f t="shared" ref="L148:L188" si="0">F148+K148</f>
        <v>128.31700000000001</v>
      </c>
    </row>
    <row r="149" spans="1:19" customFormat="1" ht="12.75" x14ac:dyDescent="0.2">
      <c r="A149" s="675" t="s">
        <v>373</v>
      </c>
      <c r="B149" s="676">
        <v>46.712000000000003</v>
      </c>
      <c r="C149" s="676">
        <v>14.178100000000001</v>
      </c>
      <c r="D149" s="676">
        <v>0</v>
      </c>
      <c r="E149" s="676">
        <v>0</v>
      </c>
      <c r="F149" s="676">
        <v>60.89</v>
      </c>
      <c r="G149" s="676">
        <v>142.22999999999999</v>
      </c>
      <c r="H149" s="676">
        <v>210.31800000000001</v>
      </c>
      <c r="I149" s="676">
        <v>0</v>
      </c>
      <c r="J149" s="676">
        <v>0</v>
      </c>
      <c r="K149" s="676">
        <v>352.55</v>
      </c>
      <c r="L149" s="677">
        <f t="shared" si="0"/>
        <v>413.44</v>
      </c>
      <c r="S149" s="116"/>
    </row>
    <row r="150" spans="1:19" customFormat="1" ht="12.75" x14ac:dyDescent="0.2">
      <c r="A150" s="675" t="s">
        <v>374</v>
      </c>
      <c r="B150" s="676">
        <v>69.058000000000007</v>
      </c>
      <c r="C150" s="676">
        <v>43.947899999999997</v>
      </c>
      <c r="D150" s="676">
        <v>10.052099999999999</v>
      </c>
      <c r="E150" s="676">
        <v>8.9205000000000005</v>
      </c>
      <c r="F150" s="676">
        <v>131.97800000000001</v>
      </c>
      <c r="G150" s="676">
        <v>48.518000000000001</v>
      </c>
      <c r="H150" s="676">
        <v>80.103999999999999</v>
      </c>
      <c r="I150" s="676">
        <v>6.899</v>
      </c>
      <c r="J150" s="676">
        <v>9.5449999999999999</v>
      </c>
      <c r="K150" s="676">
        <v>145.07</v>
      </c>
      <c r="L150" s="677">
        <f t="shared" si="0"/>
        <v>277.048</v>
      </c>
    </row>
    <row r="151" spans="1:19" customFormat="1" ht="12.75" x14ac:dyDescent="0.2">
      <c r="A151" s="675" t="s">
        <v>503</v>
      </c>
      <c r="B151" s="676">
        <v>114.893</v>
      </c>
      <c r="C151" s="676">
        <v>39.915100000000002</v>
      </c>
      <c r="D151" s="676">
        <v>0</v>
      </c>
      <c r="E151" s="676">
        <v>0</v>
      </c>
      <c r="F151" s="676">
        <v>154.80799999999999</v>
      </c>
      <c r="G151" s="676">
        <v>727.59699999999998</v>
      </c>
      <c r="H151" s="676">
        <v>360.87900000000002</v>
      </c>
      <c r="I151" s="676">
        <v>0</v>
      </c>
      <c r="J151" s="676">
        <v>0</v>
      </c>
      <c r="K151" s="676">
        <v>1088.48</v>
      </c>
      <c r="L151" s="677">
        <f t="shared" si="0"/>
        <v>1243.288</v>
      </c>
    </row>
    <row r="152" spans="1:19" customFormat="1" ht="12.75" x14ac:dyDescent="0.2">
      <c r="A152" s="675" t="s">
        <v>375</v>
      </c>
      <c r="B152" s="676">
        <v>0</v>
      </c>
      <c r="C152" s="676">
        <v>5.4999999999999997E-3</v>
      </c>
      <c r="D152" s="676">
        <v>64.257499999999993</v>
      </c>
      <c r="E152" s="676">
        <v>22.978100000000001</v>
      </c>
      <c r="F152" s="676">
        <v>87.241</v>
      </c>
      <c r="G152" s="676">
        <v>0</v>
      </c>
      <c r="H152" s="676">
        <v>0</v>
      </c>
      <c r="I152" s="676">
        <v>177.244</v>
      </c>
      <c r="J152" s="676">
        <v>124.26600000000001</v>
      </c>
      <c r="K152" s="676">
        <v>301.51</v>
      </c>
      <c r="L152" s="677">
        <f t="shared" si="0"/>
        <v>388.75099999999998</v>
      </c>
    </row>
    <row r="153" spans="1:19" customFormat="1" ht="12.75" x14ac:dyDescent="0.2">
      <c r="A153" s="675" t="s">
        <v>376</v>
      </c>
      <c r="B153" s="676">
        <v>11.827</v>
      </c>
      <c r="C153" s="676">
        <v>6.2877000000000001</v>
      </c>
      <c r="D153" s="676">
        <v>2.1589</v>
      </c>
      <c r="E153" s="676">
        <v>0.53969999999999996</v>
      </c>
      <c r="F153" s="676">
        <v>20.814</v>
      </c>
      <c r="G153" s="676">
        <v>16.164000000000001</v>
      </c>
      <c r="H153" s="676">
        <v>23.984000000000002</v>
      </c>
      <c r="I153" s="676">
        <v>2.9319999999999999</v>
      </c>
      <c r="J153" s="676">
        <v>5.2270000000000003</v>
      </c>
      <c r="K153" s="676">
        <v>48.31</v>
      </c>
      <c r="L153" s="677">
        <f t="shared" si="0"/>
        <v>69.123999999999995</v>
      </c>
    </row>
    <row r="154" spans="1:19" customFormat="1" ht="12.75" x14ac:dyDescent="0.2">
      <c r="A154" s="675" t="s">
        <v>377</v>
      </c>
      <c r="B154" s="676">
        <v>46.344999999999999</v>
      </c>
      <c r="C154" s="676">
        <v>13.071199999999999</v>
      </c>
      <c r="D154" s="676">
        <v>7.6493000000000002</v>
      </c>
      <c r="E154" s="676">
        <v>4.3753000000000002</v>
      </c>
      <c r="F154" s="676">
        <v>71.441000000000003</v>
      </c>
      <c r="G154" s="676">
        <v>91.137</v>
      </c>
      <c r="H154" s="676">
        <v>62.082000000000001</v>
      </c>
      <c r="I154" s="676">
        <v>6.2789999999999999</v>
      </c>
      <c r="J154" s="676">
        <v>7.8140000000000001</v>
      </c>
      <c r="K154" s="676">
        <v>167.31</v>
      </c>
      <c r="L154" s="677">
        <f t="shared" si="0"/>
        <v>238.751</v>
      </c>
    </row>
    <row r="155" spans="1:19" customFormat="1" ht="12.75" x14ac:dyDescent="0.2">
      <c r="A155" s="675" t="s">
        <v>378</v>
      </c>
      <c r="B155" s="676">
        <v>14.558999999999999</v>
      </c>
      <c r="C155" s="676">
        <v>14.9041</v>
      </c>
      <c r="D155" s="676">
        <v>3.3397000000000001</v>
      </c>
      <c r="E155" s="676">
        <v>3.6766999999999999</v>
      </c>
      <c r="F155" s="676">
        <v>36.478999999999999</v>
      </c>
      <c r="G155" s="676">
        <v>25.137</v>
      </c>
      <c r="H155" s="676">
        <v>41.31</v>
      </c>
      <c r="I155" s="676">
        <v>3.742</v>
      </c>
      <c r="J155" s="676">
        <v>7</v>
      </c>
      <c r="K155" s="676">
        <v>77.19</v>
      </c>
      <c r="L155" s="677">
        <f t="shared" si="0"/>
        <v>113.669</v>
      </c>
    </row>
    <row r="156" spans="1:19" customFormat="1" ht="12.75" x14ac:dyDescent="0.2">
      <c r="A156" s="675" t="s">
        <v>379</v>
      </c>
      <c r="B156" s="676">
        <v>36.942</v>
      </c>
      <c r="C156" s="676">
        <v>5.9150999999999998</v>
      </c>
      <c r="D156" s="676">
        <v>0</v>
      </c>
      <c r="E156" s="676">
        <v>0</v>
      </c>
      <c r="F156" s="676">
        <v>42.857999999999997</v>
      </c>
      <c r="G156" s="676">
        <v>229.35900000000001</v>
      </c>
      <c r="H156" s="676">
        <v>53.279000000000003</v>
      </c>
      <c r="I156" s="676">
        <v>0</v>
      </c>
      <c r="J156" s="676">
        <v>0</v>
      </c>
      <c r="K156" s="676">
        <v>282.64</v>
      </c>
      <c r="L156" s="677">
        <f t="shared" si="0"/>
        <v>325.49799999999999</v>
      </c>
    </row>
    <row r="157" spans="1:19" customFormat="1" ht="12.75" x14ac:dyDescent="0.2">
      <c r="A157" s="675" t="s">
        <v>380</v>
      </c>
      <c r="B157" s="676">
        <v>13.345000000000001</v>
      </c>
      <c r="C157" s="676">
        <v>6.1534000000000004</v>
      </c>
      <c r="D157" s="676">
        <v>0</v>
      </c>
      <c r="E157" s="676">
        <v>0</v>
      </c>
      <c r="F157" s="676">
        <v>19.498999999999999</v>
      </c>
      <c r="G157" s="676">
        <v>114.78100000000001</v>
      </c>
      <c r="H157" s="676">
        <v>39.625</v>
      </c>
      <c r="I157" s="676">
        <v>0</v>
      </c>
      <c r="J157" s="676">
        <v>0</v>
      </c>
      <c r="K157" s="676">
        <v>154.41</v>
      </c>
      <c r="L157" s="677">
        <f t="shared" si="0"/>
        <v>173.90899999999999</v>
      </c>
    </row>
    <row r="158" spans="1:19" customFormat="1" ht="12.75" x14ac:dyDescent="0.2">
      <c r="A158" s="675" t="s">
        <v>334</v>
      </c>
      <c r="B158" s="676">
        <v>5.2160000000000002</v>
      </c>
      <c r="C158" s="676">
        <v>2.3068</v>
      </c>
      <c r="D158" s="676">
        <v>0</v>
      </c>
      <c r="E158" s="676">
        <v>0</v>
      </c>
      <c r="F158" s="676">
        <v>7.5229999999999997</v>
      </c>
      <c r="G158" s="676">
        <v>57.317999999999998</v>
      </c>
      <c r="H158" s="676">
        <v>22.786000000000001</v>
      </c>
      <c r="I158" s="676">
        <v>0</v>
      </c>
      <c r="J158" s="676">
        <v>0</v>
      </c>
      <c r="K158" s="676">
        <v>80.099999999999994</v>
      </c>
      <c r="L158" s="677">
        <f t="shared" si="0"/>
        <v>87.62299999999999</v>
      </c>
    </row>
    <row r="159" spans="1:19" customFormat="1" ht="12.75" x14ac:dyDescent="0.2">
      <c r="A159" s="675" t="s">
        <v>381</v>
      </c>
      <c r="B159" s="676">
        <v>37.677</v>
      </c>
      <c r="C159" s="676">
        <v>12.698600000000001</v>
      </c>
      <c r="D159" s="676">
        <v>0</v>
      </c>
      <c r="E159" s="676">
        <v>0</v>
      </c>
      <c r="F159" s="676">
        <v>50.375</v>
      </c>
      <c r="G159" s="676">
        <v>334.214</v>
      </c>
      <c r="H159" s="676">
        <v>73.488</v>
      </c>
      <c r="I159" s="676">
        <v>0</v>
      </c>
      <c r="J159" s="676">
        <v>0</v>
      </c>
      <c r="K159" s="676">
        <v>407.7</v>
      </c>
      <c r="L159" s="677">
        <f t="shared" si="0"/>
        <v>458.07499999999999</v>
      </c>
    </row>
    <row r="160" spans="1:19" customFormat="1" ht="12.75" x14ac:dyDescent="0.2">
      <c r="A160" s="675" t="s">
        <v>382</v>
      </c>
      <c r="B160" s="676">
        <v>24.667999999999999</v>
      </c>
      <c r="C160" s="676">
        <v>10.191800000000001</v>
      </c>
      <c r="D160" s="676">
        <v>0</v>
      </c>
      <c r="E160" s="676">
        <v>0</v>
      </c>
      <c r="F160" s="676">
        <v>34.86</v>
      </c>
      <c r="G160" s="676">
        <v>155.578</v>
      </c>
      <c r="H160" s="676">
        <v>59.625</v>
      </c>
      <c r="I160" s="676">
        <v>0</v>
      </c>
      <c r="J160" s="676">
        <v>0</v>
      </c>
      <c r="K160" s="676">
        <v>215.2</v>
      </c>
      <c r="L160" s="677">
        <f t="shared" si="0"/>
        <v>250.06</v>
      </c>
    </row>
    <row r="161" spans="1:17" customFormat="1" ht="12.75" x14ac:dyDescent="0.2">
      <c r="A161" s="675" t="s">
        <v>383</v>
      </c>
      <c r="B161" s="676">
        <v>13.888</v>
      </c>
      <c r="C161" s="676">
        <v>10.961600000000001</v>
      </c>
      <c r="D161" s="676">
        <v>7.0411000000000001</v>
      </c>
      <c r="E161" s="676">
        <v>3.7014</v>
      </c>
      <c r="F161" s="676">
        <v>35.591999999999999</v>
      </c>
      <c r="G161" s="676">
        <v>18.573</v>
      </c>
      <c r="H161" s="676">
        <v>41.988999999999997</v>
      </c>
      <c r="I161" s="676">
        <v>10.183999999999999</v>
      </c>
      <c r="J161" s="676">
        <v>19.396999999999998</v>
      </c>
      <c r="K161" s="676">
        <v>90.14</v>
      </c>
      <c r="L161" s="677">
        <f t="shared" si="0"/>
        <v>125.732</v>
      </c>
      <c r="N161" s="685" t="s">
        <v>573</v>
      </c>
    </row>
    <row r="162" spans="1:17" customFormat="1" ht="12.75" x14ac:dyDescent="0.2">
      <c r="A162" s="675" t="s">
        <v>574</v>
      </c>
      <c r="B162" s="676">
        <v>8.6579999999999995</v>
      </c>
      <c r="C162" s="676">
        <v>2.8027000000000002</v>
      </c>
      <c r="D162" s="676">
        <v>0</v>
      </c>
      <c r="E162" s="676">
        <v>0</v>
      </c>
      <c r="F162" s="676">
        <v>11.46</v>
      </c>
      <c r="G162" s="676">
        <v>37.819000000000003</v>
      </c>
      <c r="H162" s="676">
        <v>12.013999999999999</v>
      </c>
      <c r="I162" s="676">
        <v>0</v>
      </c>
      <c r="J162" s="676">
        <v>0</v>
      </c>
      <c r="K162" s="676">
        <v>49.83</v>
      </c>
      <c r="L162" s="677">
        <f t="shared" si="0"/>
        <v>61.29</v>
      </c>
      <c r="N162" s="686" t="s">
        <v>575</v>
      </c>
    </row>
    <row r="163" spans="1:17" customFormat="1" ht="12.75" x14ac:dyDescent="0.2">
      <c r="A163" s="675" t="s">
        <v>384</v>
      </c>
      <c r="B163" s="676">
        <v>36.584000000000003</v>
      </c>
      <c r="C163" s="676">
        <v>29.794499999999999</v>
      </c>
      <c r="D163" s="676">
        <v>3.2465999999999999</v>
      </c>
      <c r="E163" s="676">
        <v>3.5205000000000002</v>
      </c>
      <c r="F163" s="676">
        <v>73.144999999999996</v>
      </c>
      <c r="G163" s="676">
        <v>42.082000000000001</v>
      </c>
      <c r="H163" s="676">
        <v>77.679000000000002</v>
      </c>
      <c r="I163" s="676">
        <v>1.17</v>
      </c>
      <c r="J163" s="676">
        <v>7.4189999999999996</v>
      </c>
      <c r="K163" s="676">
        <v>128.35</v>
      </c>
      <c r="L163" s="677">
        <f t="shared" si="0"/>
        <v>201.495</v>
      </c>
      <c r="N163" s="685" t="s">
        <v>576</v>
      </c>
    </row>
    <row r="164" spans="1:17" customFormat="1" x14ac:dyDescent="0.25">
      <c r="A164" s="693" t="s">
        <v>48</v>
      </c>
      <c r="B164" s="694">
        <f>SUM(B147:B163)</f>
        <v>592.55200000000013</v>
      </c>
      <c r="C164" s="694">
        <f t="shared" ref="C164:K164" si="1">SUM(C147:C163)</f>
        <v>274.14769999999999</v>
      </c>
      <c r="D164" s="694">
        <f t="shared" si="1"/>
        <v>104.26849999999999</v>
      </c>
      <c r="E164" s="694">
        <f t="shared" si="1"/>
        <v>58.065600000000003</v>
      </c>
      <c r="F164" s="695">
        <f>SUM(F147:F163)</f>
        <v>1029.0350000000001</v>
      </c>
      <c r="G164" s="695">
        <f t="shared" si="1"/>
        <v>2212.6139999999996</v>
      </c>
      <c r="H164" s="695">
        <f t="shared" si="1"/>
        <v>1375.5480000000002</v>
      </c>
      <c r="I164" s="694">
        <f t="shared" si="1"/>
        <v>214.12099999999995</v>
      </c>
      <c r="J164" s="694">
        <f t="shared" si="1"/>
        <v>190.66200000000001</v>
      </c>
      <c r="K164" s="695">
        <f t="shared" si="1"/>
        <v>3992.9399999999991</v>
      </c>
      <c r="L164" s="696">
        <f>SUM(L147:L163)</f>
        <v>5021.9750000000004</v>
      </c>
      <c r="M164" s="678"/>
      <c r="N164" s="692">
        <f>D164+E164+I164+J164</f>
        <v>567.11709999999994</v>
      </c>
      <c r="O164" s="678"/>
      <c r="P164" s="679"/>
      <c r="Q164" s="678"/>
    </row>
    <row r="165" spans="1:17" customFormat="1" ht="12.75" x14ac:dyDescent="0.2">
      <c r="A165" s="680" t="s">
        <v>385</v>
      </c>
      <c r="B165" s="681">
        <v>0</v>
      </c>
      <c r="C165" s="681">
        <v>0</v>
      </c>
      <c r="D165" s="681">
        <v>0</v>
      </c>
      <c r="E165" s="681">
        <v>0</v>
      </c>
      <c r="F165" s="681">
        <v>0</v>
      </c>
      <c r="G165" s="681">
        <v>0.93400000000000005</v>
      </c>
      <c r="H165" s="681">
        <v>0.247</v>
      </c>
      <c r="I165" s="681">
        <v>0.63800000000000001</v>
      </c>
      <c r="J165" s="681">
        <v>0.52300000000000002</v>
      </c>
      <c r="K165" s="681">
        <v>2.34</v>
      </c>
      <c r="L165" s="682">
        <f t="shared" si="0"/>
        <v>2.34</v>
      </c>
    </row>
    <row r="166" spans="1:17" s="591" customFormat="1" x14ac:dyDescent="0.25">
      <c r="A166" s="680" t="s">
        <v>386</v>
      </c>
      <c r="B166" s="681">
        <v>0</v>
      </c>
      <c r="C166" s="681">
        <v>0.29039999999999999</v>
      </c>
      <c r="D166" s="681">
        <v>0.1699</v>
      </c>
      <c r="E166" s="681">
        <v>0.13700000000000001</v>
      </c>
      <c r="F166" s="681">
        <v>0.59699999999999998</v>
      </c>
      <c r="G166" s="681">
        <v>0.51200000000000001</v>
      </c>
      <c r="H166" s="681">
        <v>0.83799999999999997</v>
      </c>
      <c r="I166" s="681">
        <v>1.3620000000000001</v>
      </c>
      <c r="J166" s="681">
        <v>0.92100000000000004</v>
      </c>
      <c r="K166" s="681">
        <v>3.63</v>
      </c>
      <c r="L166" s="682">
        <f t="shared" si="0"/>
        <v>4.2270000000000003</v>
      </c>
      <c r="M166"/>
      <c r="N166" s="173"/>
      <c r="O166"/>
      <c r="P166"/>
      <c r="Q166"/>
    </row>
    <row r="167" spans="1:17" customFormat="1" ht="12.75" x14ac:dyDescent="0.2">
      <c r="A167" s="680" t="s">
        <v>387</v>
      </c>
      <c r="B167" s="681">
        <v>72.481999999999999</v>
      </c>
      <c r="C167" s="681">
        <v>29.597300000000001</v>
      </c>
      <c r="D167" s="681">
        <v>1.5096000000000001</v>
      </c>
      <c r="E167" s="681">
        <v>0.2384</v>
      </c>
      <c r="F167" s="681">
        <v>103.827</v>
      </c>
      <c r="G167" s="681">
        <v>44.777999999999999</v>
      </c>
      <c r="H167" s="681">
        <v>48.63</v>
      </c>
      <c r="I167" s="681">
        <v>0.184</v>
      </c>
      <c r="J167" s="681">
        <v>0.42499999999999999</v>
      </c>
      <c r="K167" s="681">
        <v>94.02</v>
      </c>
      <c r="L167" s="682">
        <f t="shared" si="0"/>
        <v>197.84699999999998</v>
      </c>
    </row>
    <row r="168" spans="1:17" customFormat="1" ht="12.75" x14ac:dyDescent="0.2">
      <c r="A168" s="680" t="s">
        <v>388</v>
      </c>
      <c r="B168" s="681">
        <v>10.97</v>
      </c>
      <c r="C168" s="681">
        <v>3.4466000000000001</v>
      </c>
      <c r="D168" s="681">
        <v>1.7178</v>
      </c>
      <c r="E168" s="681">
        <v>0.53149999999999997</v>
      </c>
      <c r="F168" s="681">
        <v>16.666</v>
      </c>
      <c r="G168" s="681">
        <v>20.402999999999999</v>
      </c>
      <c r="H168" s="681">
        <v>15.388999999999999</v>
      </c>
      <c r="I168" s="681">
        <v>1.603</v>
      </c>
      <c r="J168" s="681">
        <v>0.83799999999999997</v>
      </c>
      <c r="K168" s="681">
        <v>38.229999999999997</v>
      </c>
      <c r="L168" s="682">
        <f t="shared" si="0"/>
        <v>54.896000000000001</v>
      </c>
    </row>
    <row r="169" spans="1:17" customFormat="1" ht="12.75" x14ac:dyDescent="0.2">
      <c r="A169" s="680" t="s">
        <v>389</v>
      </c>
      <c r="B169" s="681">
        <v>6.8550000000000004</v>
      </c>
      <c r="C169" s="681">
        <v>4.2657999999999996</v>
      </c>
      <c r="D169" s="681">
        <v>2.5013999999999998</v>
      </c>
      <c r="E169" s="681">
        <v>2.2383999999999999</v>
      </c>
      <c r="F169" s="681">
        <v>15.86</v>
      </c>
      <c r="G169" s="681">
        <v>22.625</v>
      </c>
      <c r="H169" s="681">
        <v>21.323</v>
      </c>
      <c r="I169" s="681">
        <v>7.5620000000000003</v>
      </c>
      <c r="J169" s="681">
        <v>7.4580000000000002</v>
      </c>
      <c r="K169" s="681">
        <v>58.97</v>
      </c>
      <c r="L169" s="682">
        <f t="shared" si="0"/>
        <v>74.83</v>
      </c>
    </row>
    <row r="170" spans="1:17" customFormat="1" ht="12.75" x14ac:dyDescent="0.2">
      <c r="A170" s="680" t="s">
        <v>390</v>
      </c>
      <c r="B170" s="681">
        <v>1.0999999999999999E-2</v>
      </c>
      <c r="C170" s="681">
        <v>0</v>
      </c>
      <c r="D170" s="681">
        <v>6.8986000000000001</v>
      </c>
      <c r="E170" s="681">
        <v>1.7918000000000001</v>
      </c>
      <c r="F170" s="681">
        <v>8.7010000000000005</v>
      </c>
      <c r="G170" s="681">
        <v>0</v>
      </c>
      <c r="H170" s="681">
        <v>0</v>
      </c>
      <c r="I170" s="681">
        <v>4.3860000000000001</v>
      </c>
      <c r="J170" s="681">
        <v>8.9480000000000004</v>
      </c>
      <c r="K170" s="681">
        <v>13.33</v>
      </c>
      <c r="L170" s="682">
        <f t="shared" si="0"/>
        <v>22.030999999999999</v>
      </c>
    </row>
    <row r="171" spans="1:17" customFormat="1" ht="12.75" x14ac:dyDescent="0.2">
      <c r="A171" s="680" t="s">
        <v>391</v>
      </c>
      <c r="B171" s="681">
        <v>30.879000000000001</v>
      </c>
      <c r="C171" s="681">
        <v>19.832899999999999</v>
      </c>
      <c r="D171" s="681">
        <v>3.7178</v>
      </c>
      <c r="E171" s="681">
        <v>3.4384000000000001</v>
      </c>
      <c r="F171" s="681">
        <v>57.868000000000002</v>
      </c>
      <c r="G171" s="681">
        <v>24.14</v>
      </c>
      <c r="H171" s="681">
        <v>23.279</v>
      </c>
      <c r="I171" s="681">
        <v>4.4269999999999996</v>
      </c>
      <c r="J171" s="681">
        <v>2.907</v>
      </c>
      <c r="K171" s="681">
        <v>54.75</v>
      </c>
      <c r="L171" s="682">
        <f t="shared" si="0"/>
        <v>112.61799999999999</v>
      </c>
    </row>
    <row r="172" spans="1:17" customFormat="1" ht="12.75" x14ac:dyDescent="0.2">
      <c r="A172" s="680" t="s">
        <v>392</v>
      </c>
      <c r="B172" s="681">
        <v>28.821999999999999</v>
      </c>
      <c r="C172" s="681">
        <v>10.052099999999999</v>
      </c>
      <c r="D172" s="681">
        <v>0</v>
      </c>
      <c r="E172" s="681">
        <v>0</v>
      </c>
      <c r="F172" s="681">
        <v>38.874000000000002</v>
      </c>
      <c r="G172" s="681">
        <v>30.414000000000001</v>
      </c>
      <c r="H172" s="681">
        <v>36.219000000000001</v>
      </c>
      <c r="I172" s="681">
        <v>0</v>
      </c>
      <c r="J172" s="681">
        <v>0</v>
      </c>
      <c r="K172" s="681">
        <v>66.63</v>
      </c>
      <c r="L172" s="682">
        <f t="shared" si="0"/>
        <v>105.50399999999999</v>
      </c>
    </row>
    <row r="173" spans="1:17" customFormat="1" ht="12.75" x14ac:dyDescent="0.2">
      <c r="A173" s="687" t="s">
        <v>577</v>
      </c>
      <c r="B173" s="681">
        <v>0.41899999999999998</v>
      </c>
      <c r="C173" s="681">
        <v>0.22739999999999999</v>
      </c>
      <c r="D173" s="681">
        <v>0</v>
      </c>
      <c r="E173" s="681">
        <v>0</v>
      </c>
      <c r="F173" s="681">
        <v>0.64700000000000002</v>
      </c>
      <c r="G173" s="681">
        <v>0.121</v>
      </c>
      <c r="H173" s="681">
        <v>0.36399999999999999</v>
      </c>
      <c r="I173" s="681">
        <v>0</v>
      </c>
      <c r="J173" s="681">
        <v>0</v>
      </c>
      <c r="K173" s="681">
        <v>0.48</v>
      </c>
      <c r="L173" s="682">
        <f t="shared" si="0"/>
        <v>1.127</v>
      </c>
    </row>
    <row r="174" spans="1:17" customFormat="1" ht="12.75" x14ac:dyDescent="0.2">
      <c r="A174" s="680" t="s">
        <v>469</v>
      </c>
      <c r="B174" s="681">
        <v>0.107</v>
      </c>
      <c r="C174" s="681">
        <v>0</v>
      </c>
      <c r="D174" s="681">
        <v>0</v>
      </c>
      <c r="E174" s="681">
        <v>0</v>
      </c>
      <c r="F174" s="681">
        <v>0.107</v>
      </c>
      <c r="G174" s="681">
        <v>6.6000000000000003E-2</v>
      </c>
      <c r="H174" s="681">
        <v>5.0000000000000001E-3</v>
      </c>
      <c r="I174" s="681">
        <v>0</v>
      </c>
      <c r="J174" s="681">
        <v>0</v>
      </c>
      <c r="K174" s="681">
        <v>7.0000000000000007E-2</v>
      </c>
      <c r="L174" s="682">
        <f t="shared" si="0"/>
        <v>0.17699999999999999</v>
      </c>
    </row>
    <row r="175" spans="1:17" customFormat="1" ht="12.75" x14ac:dyDescent="0.2">
      <c r="A175" s="680" t="s">
        <v>226</v>
      </c>
      <c r="B175" s="681">
        <v>14.766999999999999</v>
      </c>
      <c r="C175" s="681">
        <v>4.7862999999999998</v>
      </c>
      <c r="D175" s="681">
        <v>2.6274000000000002</v>
      </c>
      <c r="E175" s="681">
        <v>1.6</v>
      </c>
      <c r="F175" s="681">
        <v>23.780999999999999</v>
      </c>
      <c r="G175" s="681">
        <v>12.992000000000001</v>
      </c>
      <c r="H175" s="681">
        <v>5.3339999999999996</v>
      </c>
      <c r="I175" s="681">
        <v>3.5339999999999998</v>
      </c>
      <c r="J175" s="681">
        <v>1.085</v>
      </c>
      <c r="K175" s="681">
        <v>22.95</v>
      </c>
      <c r="L175" s="682">
        <f t="shared" si="0"/>
        <v>46.730999999999995</v>
      </c>
    </row>
    <row r="176" spans="1:17" customFormat="1" ht="12.75" x14ac:dyDescent="0.2">
      <c r="A176" s="680" t="s">
        <v>394</v>
      </c>
      <c r="B176" s="681">
        <v>25.805</v>
      </c>
      <c r="C176" s="681">
        <v>12.5589</v>
      </c>
      <c r="D176" s="681">
        <v>4.2492999999999999</v>
      </c>
      <c r="E176" s="681">
        <v>2.7917999999999998</v>
      </c>
      <c r="F176" s="681">
        <v>45.405000000000001</v>
      </c>
      <c r="G176" s="681">
        <v>13.367000000000001</v>
      </c>
      <c r="H176" s="681">
        <v>9.5920000000000005</v>
      </c>
      <c r="I176" s="681">
        <v>1.1259999999999999</v>
      </c>
      <c r="J176" s="681">
        <v>2.5510000000000002</v>
      </c>
      <c r="K176" s="681">
        <v>26.64</v>
      </c>
      <c r="L176" s="682">
        <f t="shared" si="0"/>
        <v>72.045000000000002</v>
      </c>
    </row>
    <row r="177" spans="1:17" customFormat="1" ht="12.75" x14ac:dyDescent="0.2">
      <c r="A177" s="687" t="s">
        <v>578</v>
      </c>
      <c r="B177" s="681">
        <v>7.9000000000000001E-2</v>
      </c>
      <c r="C177" s="681">
        <v>0.34250000000000003</v>
      </c>
      <c r="D177" s="681">
        <v>0</v>
      </c>
      <c r="E177" s="681">
        <v>0</v>
      </c>
      <c r="F177" s="681">
        <v>0.42199999999999999</v>
      </c>
      <c r="G177" s="681">
        <v>0</v>
      </c>
      <c r="H177" s="681">
        <v>0.56699999999999995</v>
      </c>
      <c r="I177" s="681">
        <v>0</v>
      </c>
      <c r="J177" s="681">
        <v>0.10100000000000001</v>
      </c>
      <c r="K177" s="681">
        <v>0.67</v>
      </c>
      <c r="L177" s="682">
        <f t="shared" si="0"/>
        <v>1.0920000000000001</v>
      </c>
    </row>
    <row r="178" spans="1:17" customFormat="1" ht="12.75" x14ac:dyDescent="0.2">
      <c r="A178" s="680" t="s">
        <v>395</v>
      </c>
      <c r="B178" s="681">
        <v>28.341999999999999</v>
      </c>
      <c r="C178" s="681">
        <v>7.7534000000000001</v>
      </c>
      <c r="D178" s="681">
        <v>11.164400000000001</v>
      </c>
      <c r="E178" s="681">
        <v>2.4712000000000001</v>
      </c>
      <c r="F178" s="681">
        <v>49.731999999999999</v>
      </c>
      <c r="G178" s="681">
        <v>72.698999999999998</v>
      </c>
      <c r="H178" s="681">
        <v>62.307000000000002</v>
      </c>
      <c r="I178" s="681">
        <v>20.83</v>
      </c>
      <c r="J178" s="681">
        <v>23.734000000000002</v>
      </c>
      <c r="K178" s="681">
        <v>179.57</v>
      </c>
      <c r="L178" s="682">
        <f t="shared" si="0"/>
        <v>229.30199999999999</v>
      </c>
    </row>
    <row r="179" spans="1:17" customFormat="1" ht="12.75" x14ac:dyDescent="0.2">
      <c r="A179" s="680" t="s">
        <v>396</v>
      </c>
      <c r="B179" s="681">
        <v>9.6329999999999991</v>
      </c>
      <c r="C179" s="681">
        <v>3.5232999999999999</v>
      </c>
      <c r="D179" s="681">
        <v>2.6739999999999999</v>
      </c>
      <c r="E179" s="681">
        <v>1.1698999999999999</v>
      </c>
      <c r="F179" s="681">
        <v>17</v>
      </c>
      <c r="G179" s="681">
        <v>16.952999999999999</v>
      </c>
      <c r="H179" s="681">
        <v>5.9340000000000002</v>
      </c>
      <c r="I179" s="681">
        <v>1.929</v>
      </c>
      <c r="J179" s="681">
        <v>0.76400000000000001</v>
      </c>
      <c r="K179" s="681">
        <v>25.58</v>
      </c>
      <c r="L179" s="682">
        <f t="shared" si="0"/>
        <v>42.58</v>
      </c>
    </row>
    <row r="180" spans="1:17" s="591" customFormat="1" x14ac:dyDescent="0.25">
      <c r="A180" s="680" t="s">
        <v>397</v>
      </c>
      <c r="B180" s="681">
        <v>1.173</v>
      </c>
      <c r="C180" s="681">
        <v>1.7588999999999999</v>
      </c>
      <c r="D180" s="681">
        <v>0.1479</v>
      </c>
      <c r="E180" s="681">
        <v>0.22189999999999999</v>
      </c>
      <c r="F180" s="681">
        <v>3.3010000000000002</v>
      </c>
      <c r="G180" s="681">
        <v>4.2249999999999996</v>
      </c>
      <c r="H180" s="681">
        <v>3.4630000000000001</v>
      </c>
      <c r="I180" s="681">
        <v>3.726</v>
      </c>
      <c r="J180" s="681">
        <v>1.1779999999999999</v>
      </c>
      <c r="K180" s="681">
        <v>12.59</v>
      </c>
      <c r="L180" s="682">
        <f t="shared" si="0"/>
        <v>15.891</v>
      </c>
      <c r="M180"/>
      <c r="N180"/>
      <c r="O180"/>
      <c r="P180"/>
      <c r="Q180"/>
    </row>
    <row r="181" spans="1:17" customFormat="1" ht="12.75" x14ac:dyDescent="0.2">
      <c r="A181" s="680" t="s">
        <v>398</v>
      </c>
      <c r="B181" s="681">
        <v>1.2</v>
      </c>
      <c r="C181" s="681">
        <v>0.2712</v>
      </c>
      <c r="D181" s="681">
        <v>0.41920000000000002</v>
      </c>
      <c r="E181" s="681">
        <v>0</v>
      </c>
      <c r="F181" s="681">
        <v>1.89</v>
      </c>
      <c r="G181" s="681">
        <v>2.258</v>
      </c>
      <c r="H181" s="681">
        <v>1.1639999999999999</v>
      </c>
      <c r="I181" s="681">
        <v>0.61099999999999999</v>
      </c>
      <c r="J181" s="681">
        <v>0.97</v>
      </c>
      <c r="K181" s="681">
        <v>5</v>
      </c>
      <c r="L181" s="682">
        <f t="shared" si="0"/>
        <v>6.89</v>
      </c>
    </row>
    <row r="182" spans="1:17" customFormat="1" ht="12.75" x14ac:dyDescent="0.2">
      <c r="A182" s="680" t="s">
        <v>399</v>
      </c>
      <c r="B182" s="681">
        <v>0.20799999999999999</v>
      </c>
      <c r="C182" s="681">
        <v>6.3E-2</v>
      </c>
      <c r="D182" s="681">
        <v>7.6700000000000004E-2</v>
      </c>
      <c r="E182" s="681">
        <v>0</v>
      </c>
      <c r="F182" s="681">
        <v>0.34799999999999998</v>
      </c>
      <c r="G182" s="681">
        <v>0.441</v>
      </c>
      <c r="H182" s="681">
        <v>0</v>
      </c>
      <c r="I182" s="681">
        <v>1.038</v>
      </c>
      <c r="J182" s="681">
        <v>0.79500000000000004</v>
      </c>
      <c r="K182" s="681">
        <v>2.27</v>
      </c>
      <c r="L182" s="682">
        <f t="shared" si="0"/>
        <v>2.6179999999999999</v>
      </c>
    </row>
    <row r="183" spans="1:17" customFormat="1" ht="12.75" x14ac:dyDescent="0.2">
      <c r="A183" s="680" t="s">
        <v>400</v>
      </c>
      <c r="B183" s="681">
        <v>5.8029999999999999</v>
      </c>
      <c r="C183" s="681">
        <v>1.9973000000000001</v>
      </c>
      <c r="D183" s="681">
        <v>2.6903999999999999</v>
      </c>
      <c r="E183" s="681">
        <v>0.3644</v>
      </c>
      <c r="F183" s="681">
        <v>10.855</v>
      </c>
      <c r="G183" s="681">
        <v>16.489999999999998</v>
      </c>
      <c r="H183" s="681">
        <v>10.26</v>
      </c>
      <c r="I183" s="681">
        <v>2.4710000000000001</v>
      </c>
      <c r="J183" s="681">
        <v>4.5780000000000003</v>
      </c>
      <c r="K183" s="681">
        <v>33.799999999999997</v>
      </c>
      <c r="L183" s="682">
        <f t="shared" si="0"/>
        <v>44.655000000000001</v>
      </c>
    </row>
    <row r="184" spans="1:17" customFormat="1" ht="25.5" x14ac:dyDescent="0.2">
      <c r="A184" s="687" t="s">
        <v>403</v>
      </c>
      <c r="B184" s="681">
        <v>0</v>
      </c>
      <c r="C184" s="681">
        <v>0</v>
      </c>
      <c r="D184" s="681">
        <v>0</v>
      </c>
      <c r="E184" s="681">
        <v>0</v>
      </c>
      <c r="F184" s="681">
        <v>0</v>
      </c>
      <c r="G184" s="681">
        <v>3.9889999999999999</v>
      </c>
      <c r="H184" s="681">
        <v>1.258</v>
      </c>
      <c r="I184" s="681">
        <v>1</v>
      </c>
      <c r="J184" s="681">
        <v>0</v>
      </c>
      <c r="K184" s="681">
        <v>6.25</v>
      </c>
      <c r="L184" s="682">
        <f t="shared" si="0"/>
        <v>6.25</v>
      </c>
    </row>
    <row r="185" spans="1:17" customFormat="1" ht="12.75" x14ac:dyDescent="0.2">
      <c r="A185" s="687" t="s">
        <v>579</v>
      </c>
      <c r="B185" s="681">
        <v>1</v>
      </c>
      <c r="C185" s="681">
        <v>0.82740000000000002</v>
      </c>
      <c r="D185" s="681">
        <v>1</v>
      </c>
      <c r="E185" s="681">
        <v>0</v>
      </c>
      <c r="F185" s="681">
        <v>2.827</v>
      </c>
      <c r="G185" s="681">
        <v>15.458</v>
      </c>
      <c r="H185" s="681">
        <v>5.8739999999999997</v>
      </c>
      <c r="I185" s="681">
        <v>1</v>
      </c>
      <c r="J185" s="681">
        <v>0</v>
      </c>
      <c r="K185" s="681">
        <v>22.33</v>
      </c>
      <c r="L185" s="682">
        <f t="shared" si="0"/>
        <v>25.156999999999996</v>
      </c>
    </row>
    <row r="186" spans="1:17" customFormat="1" ht="12.75" x14ac:dyDescent="0.2">
      <c r="A186" s="680" t="s">
        <v>401</v>
      </c>
      <c r="B186" s="681">
        <v>0.69899999999999995</v>
      </c>
      <c r="C186" s="681">
        <v>1.863</v>
      </c>
      <c r="D186" s="681">
        <v>0</v>
      </c>
      <c r="E186" s="681">
        <v>0</v>
      </c>
      <c r="F186" s="681">
        <v>2.5619999999999998</v>
      </c>
      <c r="G186" s="681">
        <v>64.671000000000006</v>
      </c>
      <c r="H186" s="681">
        <v>8.5370000000000008</v>
      </c>
      <c r="I186" s="681">
        <v>0</v>
      </c>
      <c r="J186" s="681">
        <v>0</v>
      </c>
      <c r="K186" s="681">
        <v>73.209999999999994</v>
      </c>
      <c r="L186" s="682">
        <f t="shared" si="0"/>
        <v>75.771999999999991</v>
      </c>
    </row>
    <row r="187" spans="1:17" customFormat="1" ht="12.75" x14ac:dyDescent="0.2">
      <c r="A187" s="680" t="s">
        <v>404</v>
      </c>
      <c r="B187" s="681">
        <v>0</v>
      </c>
      <c r="C187" s="681">
        <v>0</v>
      </c>
      <c r="D187" s="681">
        <v>0</v>
      </c>
      <c r="E187" s="681">
        <v>0</v>
      </c>
      <c r="F187" s="681">
        <v>0</v>
      </c>
      <c r="G187" s="681">
        <v>0</v>
      </c>
      <c r="H187" s="681">
        <v>4.9000000000000002E-2</v>
      </c>
      <c r="I187" s="681">
        <v>0</v>
      </c>
      <c r="J187" s="681">
        <v>1</v>
      </c>
      <c r="K187" s="681">
        <v>1.05</v>
      </c>
      <c r="L187" s="682">
        <f t="shared" si="0"/>
        <v>1.05</v>
      </c>
    </row>
    <row r="188" spans="1:17" customFormat="1" ht="13.5" thickBot="1" x14ac:dyDescent="0.25">
      <c r="A188" s="683" t="s">
        <v>393</v>
      </c>
      <c r="B188" s="684">
        <v>5.0000000000000001E-3</v>
      </c>
      <c r="C188" s="684">
        <v>0</v>
      </c>
      <c r="D188" s="684">
        <v>0</v>
      </c>
      <c r="E188" s="684">
        <v>0</v>
      </c>
      <c r="F188" s="684">
        <v>5.0000000000000001E-3</v>
      </c>
      <c r="G188" s="684">
        <v>0</v>
      </c>
      <c r="H188" s="684">
        <v>0</v>
      </c>
      <c r="I188" s="684">
        <v>0</v>
      </c>
      <c r="J188" s="684">
        <v>0</v>
      </c>
      <c r="K188" s="684">
        <v>0</v>
      </c>
      <c r="L188" s="682">
        <f t="shared" si="0"/>
        <v>5.0000000000000001E-3</v>
      </c>
    </row>
    <row r="189" spans="1:17" s="591" customFormat="1" x14ac:dyDescent="0.25">
      <c r="A189"/>
      <c r="B189" s="173"/>
      <c r="C189" s="173"/>
      <c r="D189" s="173"/>
      <c r="E189" s="173"/>
      <c r="F189" s="173"/>
      <c r="G189" s="173"/>
      <c r="H189" s="173"/>
      <c r="I189" s="173"/>
      <c r="J189" s="173"/>
      <c r="K189" s="173"/>
      <c r="L189" s="173"/>
      <c r="M189"/>
      <c r="N189"/>
      <c r="O189"/>
      <c r="P189"/>
      <c r="Q189"/>
    </row>
    <row r="190" spans="1:17" customFormat="1" ht="12.75" x14ac:dyDescent="0.2">
      <c r="B190" s="173"/>
      <c r="C190" s="173"/>
      <c r="D190" s="173"/>
      <c r="E190" s="173"/>
      <c r="F190" s="173"/>
      <c r="G190" s="173"/>
      <c r="H190" s="173"/>
      <c r="I190" s="173"/>
      <c r="J190" s="173"/>
      <c r="K190" s="173"/>
      <c r="L190" s="173"/>
    </row>
  </sheetData>
  <mergeCells count="3">
    <mergeCell ref="A95:M95"/>
    <mergeCell ref="A51:J51"/>
    <mergeCell ref="A2:H2"/>
  </mergeCells>
  <phoneticPr fontId="21" type="noConversion"/>
  <printOptions horizontalCentered="1"/>
  <pageMargins left="0" right="0" top="1.47" bottom="0.75" header="0.33" footer="0.5"/>
  <pageSetup orientation="portrait" r:id="rId1"/>
  <headerFooter alignWithMargins="0">
    <oddHeader>&amp;C&amp;"Arial,Bold"&amp;12DEPARTMENT OF CORRECTIONS
 COST OF CARE Year 2018
(Based on Fiscal Year 2017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39997558519241921"/>
    <pageSetUpPr fitToPage="1"/>
  </sheetPr>
  <dimension ref="A1:R1595"/>
  <sheetViews>
    <sheetView topLeftCell="A274" workbookViewId="0">
      <selection activeCell="O297" sqref="O297"/>
    </sheetView>
  </sheetViews>
  <sheetFormatPr defaultRowHeight="12.75" x14ac:dyDescent="0.2"/>
  <cols>
    <col min="1" max="1" width="17.28515625" customWidth="1"/>
    <col min="2" max="2" width="6.7109375" customWidth="1"/>
    <col min="3" max="3" width="7.28515625" customWidth="1"/>
    <col min="4" max="5" width="9.42578125" bestFit="1" customWidth="1"/>
    <col min="6" max="6" width="8" customWidth="1"/>
    <col min="7" max="7" width="7.7109375" customWidth="1"/>
    <col min="8" max="8" width="7.85546875" customWidth="1"/>
    <col min="9" max="10" width="9.42578125" bestFit="1" customWidth="1"/>
    <col min="11" max="11" width="8.28515625" customWidth="1"/>
    <col min="12" max="12" width="9.42578125" bestFit="1" customWidth="1"/>
    <col min="13" max="13" width="6.7109375" customWidth="1"/>
    <col min="14" max="14" width="7.140625" customWidth="1"/>
    <col min="15" max="15" width="10.42578125" bestFit="1" customWidth="1"/>
    <col min="16" max="16" width="9.5703125" customWidth="1"/>
    <col min="17" max="17" width="9.7109375" customWidth="1"/>
    <col min="18" max="18" width="11.28515625" customWidth="1"/>
  </cols>
  <sheetData>
    <row r="1" spans="1:17" x14ac:dyDescent="0.2">
      <c r="A1" s="531"/>
      <c r="B1" s="531"/>
      <c r="C1" s="531"/>
      <c r="D1" s="531"/>
      <c r="E1" s="531"/>
      <c r="F1" s="531"/>
      <c r="G1" s="531"/>
      <c r="H1" s="531"/>
      <c r="I1" s="531"/>
      <c r="J1" s="531"/>
      <c r="K1" s="531"/>
      <c r="L1" s="531"/>
      <c r="M1" s="531"/>
      <c r="N1" s="531"/>
      <c r="O1" s="531"/>
      <c r="P1" s="531"/>
      <c r="Q1" s="531"/>
    </row>
    <row r="2" spans="1:17" ht="38.25" x14ac:dyDescent="0.2">
      <c r="A2" s="175" t="s">
        <v>417</v>
      </c>
      <c r="B2" s="176" t="s">
        <v>418</v>
      </c>
      <c r="C2" s="179" t="s">
        <v>419</v>
      </c>
      <c r="D2" s="179" t="s">
        <v>420</v>
      </c>
      <c r="E2" s="179" t="s">
        <v>421</v>
      </c>
      <c r="F2" s="179" t="s">
        <v>422</v>
      </c>
      <c r="G2" s="179" t="s">
        <v>423</v>
      </c>
      <c r="H2" s="179" t="s">
        <v>424</v>
      </c>
      <c r="I2" s="179" t="s">
        <v>425</v>
      </c>
      <c r="J2" s="179" t="s">
        <v>426</v>
      </c>
      <c r="K2" s="179" t="s">
        <v>427</v>
      </c>
      <c r="L2" s="179" t="s">
        <v>428</v>
      </c>
      <c r="M2" s="179" t="s">
        <v>429</v>
      </c>
      <c r="N2" s="179" t="s">
        <v>430</v>
      </c>
      <c r="O2" s="174" t="s">
        <v>431</v>
      </c>
      <c r="P2" s="532" t="s">
        <v>432</v>
      </c>
      <c r="Q2" s="532" t="s">
        <v>433</v>
      </c>
    </row>
    <row r="3" spans="1:17" x14ac:dyDescent="0.2">
      <c r="B3" t="s">
        <v>434</v>
      </c>
      <c r="C3">
        <v>1998</v>
      </c>
      <c r="D3">
        <v>2016</v>
      </c>
      <c r="E3">
        <v>1984</v>
      </c>
      <c r="F3">
        <v>2010</v>
      </c>
      <c r="G3">
        <v>2067</v>
      </c>
      <c r="H3">
        <v>2078</v>
      </c>
      <c r="I3">
        <v>2078</v>
      </c>
      <c r="J3">
        <v>2085</v>
      </c>
      <c r="K3">
        <v>2134</v>
      </c>
      <c r="L3">
        <v>2136</v>
      </c>
      <c r="M3">
        <v>2135</v>
      </c>
      <c r="N3">
        <v>2143</v>
      </c>
      <c r="O3">
        <f>SUM(C3:N3)/12</f>
        <v>2072</v>
      </c>
    </row>
    <row r="4" spans="1:17" x14ac:dyDescent="0.2">
      <c r="B4" t="s">
        <v>435</v>
      </c>
      <c r="C4">
        <v>2155</v>
      </c>
      <c r="D4">
        <v>2157</v>
      </c>
      <c r="E4">
        <v>2172</v>
      </c>
      <c r="F4">
        <v>2180</v>
      </c>
      <c r="G4">
        <v>2183</v>
      </c>
      <c r="H4">
        <v>2205</v>
      </c>
      <c r="I4">
        <v>2192</v>
      </c>
      <c r="J4">
        <v>2191</v>
      </c>
      <c r="K4">
        <v>2183</v>
      </c>
      <c r="L4">
        <v>2183</v>
      </c>
      <c r="M4">
        <v>2191</v>
      </c>
      <c r="N4">
        <v>2189</v>
      </c>
      <c r="O4" s="173">
        <f t="shared" ref="O4:O11" si="0">SUM(C4:N4)/12</f>
        <v>2181.75</v>
      </c>
      <c r="P4" s="173">
        <f t="shared" ref="P4:P18" si="1">SUM(O4-O3)</f>
        <v>109.75</v>
      </c>
      <c r="Q4" s="177">
        <f>SUM(P4/O3)</f>
        <v>5.2968146718146716E-2</v>
      </c>
    </row>
    <row r="5" spans="1:17" x14ac:dyDescent="0.2">
      <c r="B5" t="s">
        <v>436</v>
      </c>
      <c r="C5">
        <v>2201</v>
      </c>
      <c r="D5">
        <v>2233</v>
      </c>
      <c r="E5">
        <v>2235</v>
      </c>
      <c r="F5">
        <v>2252</v>
      </c>
      <c r="G5">
        <v>2259</v>
      </c>
      <c r="H5">
        <v>2271</v>
      </c>
      <c r="I5">
        <v>2271</v>
      </c>
      <c r="J5">
        <v>2307</v>
      </c>
      <c r="K5">
        <v>2319</v>
      </c>
      <c r="L5">
        <v>2331</v>
      </c>
      <c r="M5">
        <v>2343</v>
      </c>
      <c r="N5">
        <v>2355</v>
      </c>
      <c r="O5" s="173">
        <f t="shared" si="0"/>
        <v>2281.4166666666665</v>
      </c>
      <c r="P5" s="173">
        <f t="shared" si="1"/>
        <v>99.666666666666515</v>
      </c>
      <c r="Q5" s="177">
        <f t="shared" ref="Q5:Q16" si="2">SUM(P5/O4)</f>
        <v>4.5681983117527906E-2</v>
      </c>
    </row>
    <row r="6" spans="1:17" x14ac:dyDescent="0.2">
      <c r="B6" t="s">
        <v>260</v>
      </c>
      <c r="C6">
        <v>2324</v>
      </c>
      <c r="D6">
        <v>2433</v>
      </c>
      <c r="E6">
        <v>2266</v>
      </c>
      <c r="F6">
        <v>2266</v>
      </c>
      <c r="G6">
        <v>2306</v>
      </c>
      <c r="H6">
        <v>2306</v>
      </c>
      <c r="I6">
        <v>2306</v>
      </c>
      <c r="J6">
        <v>2334</v>
      </c>
      <c r="K6">
        <v>2230</v>
      </c>
      <c r="L6">
        <v>2230</v>
      </c>
      <c r="M6">
        <v>2230</v>
      </c>
      <c r="N6">
        <v>2230</v>
      </c>
      <c r="O6" s="173">
        <f t="shared" si="0"/>
        <v>2288.4166666666665</v>
      </c>
      <c r="P6" s="173">
        <f t="shared" si="1"/>
        <v>7</v>
      </c>
      <c r="Q6" s="177">
        <f t="shared" si="2"/>
        <v>3.0682689849143444E-3</v>
      </c>
    </row>
    <row r="7" spans="1:17" x14ac:dyDescent="0.2">
      <c r="B7" t="s">
        <v>259</v>
      </c>
      <c r="C7">
        <v>2408</v>
      </c>
      <c r="D7">
        <v>2335</v>
      </c>
      <c r="E7">
        <v>2353</v>
      </c>
      <c r="F7">
        <v>2353</v>
      </c>
      <c r="G7">
        <v>2311</v>
      </c>
      <c r="H7">
        <v>2367</v>
      </c>
      <c r="I7">
        <v>2367</v>
      </c>
      <c r="J7">
        <v>2352</v>
      </c>
      <c r="K7">
        <v>2336</v>
      </c>
      <c r="L7">
        <v>2336</v>
      </c>
      <c r="M7">
        <v>2292</v>
      </c>
      <c r="N7">
        <v>2318</v>
      </c>
      <c r="O7" s="173">
        <f t="shared" si="0"/>
        <v>2344</v>
      </c>
      <c r="P7" s="173">
        <f t="shared" si="1"/>
        <v>55.583333333333485</v>
      </c>
      <c r="Q7" s="177">
        <f t="shared" si="2"/>
        <v>2.4288991660900983E-2</v>
      </c>
    </row>
    <row r="8" spans="1:17" x14ac:dyDescent="0.2">
      <c r="B8" t="s">
        <v>280</v>
      </c>
      <c r="C8">
        <v>2312</v>
      </c>
      <c r="D8">
        <v>2305</v>
      </c>
      <c r="E8">
        <v>2318</v>
      </c>
      <c r="F8">
        <v>2318</v>
      </c>
      <c r="G8">
        <v>2350</v>
      </c>
      <c r="H8">
        <v>2314</v>
      </c>
      <c r="I8">
        <v>2314</v>
      </c>
      <c r="J8">
        <v>2426</v>
      </c>
      <c r="K8">
        <v>2400</v>
      </c>
      <c r="L8">
        <v>2454</v>
      </c>
      <c r="M8">
        <v>2536</v>
      </c>
      <c r="N8">
        <v>2334</v>
      </c>
      <c r="O8" s="173">
        <f t="shared" si="0"/>
        <v>2365.0833333333335</v>
      </c>
      <c r="P8" s="173">
        <f t="shared" si="1"/>
        <v>21.083333333333485</v>
      </c>
      <c r="Q8" s="177">
        <f t="shared" si="2"/>
        <v>8.9945961319682095E-3</v>
      </c>
    </row>
    <row r="9" spans="1:17" x14ac:dyDescent="0.2">
      <c r="B9" t="s">
        <v>290</v>
      </c>
      <c r="C9">
        <v>2357</v>
      </c>
      <c r="D9">
        <v>2384</v>
      </c>
      <c r="E9">
        <v>2387</v>
      </c>
      <c r="F9">
        <v>2410</v>
      </c>
      <c r="G9">
        <v>2414</v>
      </c>
      <c r="H9">
        <v>2444</v>
      </c>
      <c r="I9">
        <v>2444</v>
      </c>
      <c r="J9">
        <v>2433</v>
      </c>
      <c r="K9">
        <v>2417</v>
      </c>
      <c r="L9">
        <v>2424</v>
      </c>
      <c r="M9">
        <v>2443</v>
      </c>
      <c r="N9">
        <v>2445</v>
      </c>
      <c r="O9" s="173">
        <f t="shared" si="0"/>
        <v>2416.8333333333335</v>
      </c>
      <c r="P9" s="173">
        <f t="shared" si="1"/>
        <v>51.75</v>
      </c>
      <c r="Q9" s="177">
        <f t="shared" si="2"/>
        <v>2.1880835770409779E-2</v>
      </c>
    </row>
    <row r="10" spans="1:17" x14ac:dyDescent="0.2">
      <c r="B10" t="s">
        <v>293</v>
      </c>
      <c r="C10">
        <v>2453</v>
      </c>
      <c r="D10">
        <v>2437</v>
      </c>
      <c r="E10">
        <v>2420</v>
      </c>
      <c r="F10">
        <v>2487</v>
      </c>
      <c r="G10">
        <v>2437</v>
      </c>
      <c r="H10">
        <v>2479</v>
      </c>
      <c r="I10">
        <v>2466</v>
      </c>
      <c r="J10">
        <v>2488</v>
      </c>
      <c r="K10">
        <v>2477</v>
      </c>
      <c r="L10">
        <v>2562</v>
      </c>
      <c r="M10">
        <v>2557</v>
      </c>
      <c r="N10">
        <v>2455</v>
      </c>
      <c r="O10" s="173">
        <f t="shared" si="0"/>
        <v>2476.5</v>
      </c>
      <c r="P10" s="173">
        <f t="shared" si="1"/>
        <v>59.666666666666515</v>
      </c>
      <c r="Q10" s="177">
        <f t="shared" si="2"/>
        <v>2.4687952554996142E-2</v>
      </c>
    </row>
    <row r="11" spans="1:17" x14ac:dyDescent="0.2">
      <c r="B11" t="s">
        <v>294</v>
      </c>
      <c r="C11">
        <v>2495</v>
      </c>
      <c r="D11">
        <v>2542</v>
      </c>
      <c r="E11">
        <v>2644</v>
      </c>
      <c r="F11">
        <v>2580</v>
      </c>
      <c r="G11">
        <v>2273</v>
      </c>
      <c r="H11">
        <v>2302</v>
      </c>
      <c r="I11">
        <v>2395</v>
      </c>
      <c r="J11">
        <v>2404</v>
      </c>
      <c r="K11">
        <v>2394</v>
      </c>
      <c r="L11">
        <v>2426</v>
      </c>
      <c r="M11">
        <v>2689</v>
      </c>
      <c r="N11">
        <v>2739</v>
      </c>
      <c r="O11" s="173">
        <f t="shared" si="0"/>
        <v>2490.25</v>
      </c>
      <c r="P11" s="173">
        <f t="shared" si="1"/>
        <v>13.75</v>
      </c>
      <c r="Q11" s="177">
        <f t="shared" si="2"/>
        <v>5.5521905915606705E-3</v>
      </c>
    </row>
    <row r="12" spans="1:17" x14ac:dyDescent="0.2">
      <c r="B12" t="s">
        <v>295</v>
      </c>
      <c r="C12">
        <v>2704</v>
      </c>
      <c r="D12">
        <v>2698</v>
      </c>
      <c r="E12">
        <v>2694</v>
      </c>
      <c r="F12">
        <v>2677</v>
      </c>
      <c r="G12">
        <v>2732</v>
      </c>
      <c r="H12">
        <v>2755</v>
      </c>
      <c r="I12">
        <v>2778</v>
      </c>
      <c r="J12">
        <v>2778</v>
      </c>
      <c r="K12">
        <v>2775</v>
      </c>
      <c r="L12">
        <v>2782</v>
      </c>
      <c r="M12">
        <v>2819</v>
      </c>
      <c r="N12">
        <v>2864</v>
      </c>
      <c r="O12" s="173">
        <f t="shared" ref="O12:O20" si="3">SUM(C12:N12)/12</f>
        <v>2754.6666666666665</v>
      </c>
      <c r="P12" s="173">
        <f t="shared" si="1"/>
        <v>264.41666666666652</v>
      </c>
      <c r="Q12" s="177">
        <f t="shared" si="2"/>
        <v>0.10618077167620379</v>
      </c>
    </row>
    <row r="13" spans="1:17" x14ac:dyDescent="0.2">
      <c r="B13" t="s">
        <v>335</v>
      </c>
      <c r="C13">
        <v>2871</v>
      </c>
      <c r="D13">
        <v>2904</v>
      </c>
      <c r="E13">
        <v>2884</v>
      </c>
      <c r="F13">
        <v>2895</v>
      </c>
      <c r="G13">
        <v>2826</v>
      </c>
      <c r="H13">
        <v>2865</v>
      </c>
      <c r="I13">
        <v>2853</v>
      </c>
      <c r="J13">
        <v>2903</v>
      </c>
      <c r="K13">
        <v>2885</v>
      </c>
      <c r="L13">
        <v>2910</v>
      </c>
      <c r="M13">
        <v>2930</v>
      </c>
      <c r="N13">
        <v>2884</v>
      </c>
      <c r="O13" s="173">
        <f t="shared" si="3"/>
        <v>2884.1666666666665</v>
      </c>
      <c r="P13" s="173">
        <f t="shared" si="1"/>
        <v>129.5</v>
      </c>
      <c r="Q13" s="177">
        <f t="shared" si="2"/>
        <v>4.7011132623426911E-2</v>
      </c>
    </row>
    <row r="14" spans="1:17" x14ac:dyDescent="0.2">
      <c r="B14" t="s">
        <v>358</v>
      </c>
      <c r="C14">
        <v>2896</v>
      </c>
      <c r="D14">
        <v>2980</v>
      </c>
      <c r="E14">
        <v>2969</v>
      </c>
      <c r="F14">
        <v>2961</v>
      </c>
      <c r="G14">
        <v>3022</v>
      </c>
      <c r="H14">
        <v>3037</v>
      </c>
      <c r="I14">
        <v>3049</v>
      </c>
      <c r="J14">
        <v>3076</v>
      </c>
      <c r="K14">
        <v>3088</v>
      </c>
      <c r="L14">
        <v>3074</v>
      </c>
      <c r="M14">
        <v>3058</v>
      </c>
      <c r="N14">
        <v>2954</v>
      </c>
      <c r="O14" s="173">
        <f t="shared" si="3"/>
        <v>3013.6666666666665</v>
      </c>
      <c r="P14" s="173">
        <f t="shared" si="1"/>
        <v>129.5</v>
      </c>
      <c r="Q14" s="177">
        <f t="shared" si="2"/>
        <v>4.4900317827217567E-2</v>
      </c>
    </row>
    <row r="15" spans="1:17" x14ac:dyDescent="0.2">
      <c r="B15" t="s">
        <v>437</v>
      </c>
      <c r="C15">
        <v>3027</v>
      </c>
      <c r="D15">
        <v>3039</v>
      </c>
      <c r="E15">
        <v>3034</v>
      </c>
      <c r="F15">
        <v>3040</v>
      </c>
      <c r="G15">
        <v>3022</v>
      </c>
      <c r="H15">
        <v>3057</v>
      </c>
      <c r="I15">
        <v>3074</v>
      </c>
      <c r="J15">
        <v>3088</v>
      </c>
      <c r="K15">
        <v>3056</v>
      </c>
      <c r="L15">
        <v>3094</v>
      </c>
      <c r="M15">
        <v>3138</v>
      </c>
      <c r="N15">
        <v>3130</v>
      </c>
      <c r="O15" s="173">
        <f t="shared" si="3"/>
        <v>3066.5833333333335</v>
      </c>
      <c r="P15" s="173">
        <f t="shared" si="1"/>
        <v>52.91666666666697</v>
      </c>
      <c r="Q15" s="177">
        <f t="shared" si="2"/>
        <v>1.7558898351952318E-2</v>
      </c>
    </row>
    <row r="16" spans="1:17" x14ac:dyDescent="0.2">
      <c r="B16" t="s">
        <v>471</v>
      </c>
      <c r="C16">
        <v>3123</v>
      </c>
      <c r="D16">
        <v>3065</v>
      </c>
      <c r="E16">
        <v>3115</v>
      </c>
      <c r="F16">
        <v>3134</v>
      </c>
      <c r="G16">
        <v>3160</v>
      </c>
      <c r="H16">
        <v>3165</v>
      </c>
      <c r="I16">
        <v>3166</v>
      </c>
      <c r="J16">
        <v>3187</v>
      </c>
      <c r="K16">
        <v>3069</v>
      </c>
      <c r="L16">
        <v>3020</v>
      </c>
      <c r="M16">
        <v>3040</v>
      </c>
      <c r="N16">
        <v>3070</v>
      </c>
      <c r="O16" s="173">
        <f t="shared" si="3"/>
        <v>3109.5</v>
      </c>
      <c r="P16" s="173">
        <f t="shared" si="1"/>
        <v>42.916666666666515</v>
      </c>
      <c r="Q16" s="177">
        <f t="shared" si="2"/>
        <v>1.3994945514823722E-2</v>
      </c>
    </row>
    <row r="17" spans="1:17" x14ac:dyDescent="0.2">
      <c r="B17" t="s">
        <v>537</v>
      </c>
      <c r="C17">
        <v>3068</v>
      </c>
      <c r="D17">
        <v>3065</v>
      </c>
      <c r="E17">
        <v>3103</v>
      </c>
      <c r="F17">
        <v>3034</v>
      </c>
      <c r="G17">
        <v>3036</v>
      </c>
      <c r="H17">
        <v>3045</v>
      </c>
      <c r="I17">
        <v>3049</v>
      </c>
      <c r="J17">
        <v>3041</v>
      </c>
      <c r="K17">
        <v>2986</v>
      </c>
      <c r="L17">
        <v>2936</v>
      </c>
      <c r="M17">
        <v>2897</v>
      </c>
      <c r="N17">
        <v>2906</v>
      </c>
      <c r="O17" s="173">
        <f t="shared" si="3"/>
        <v>3013.8333333333335</v>
      </c>
      <c r="P17" s="173">
        <f t="shared" si="1"/>
        <v>-95.666666666666515</v>
      </c>
      <c r="Q17" s="177">
        <f>SUM(P17/O16)</f>
        <v>-3.0765932357828114E-2</v>
      </c>
    </row>
    <row r="18" spans="1:17" x14ac:dyDescent="0.2">
      <c r="B18" t="s">
        <v>628</v>
      </c>
      <c r="C18">
        <v>2911</v>
      </c>
      <c r="D18">
        <v>2880</v>
      </c>
      <c r="E18">
        <v>2853</v>
      </c>
      <c r="F18">
        <v>2835</v>
      </c>
      <c r="G18">
        <v>2828</v>
      </c>
      <c r="H18">
        <v>2758</v>
      </c>
      <c r="I18">
        <v>2810</v>
      </c>
      <c r="J18">
        <v>2815</v>
      </c>
      <c r="K18">
        <v>2770</v>
      </c>
      <c r="L18">
        <v>2722</v>
      </c>
      <c r="M18">
        <v>2761</v>
      </c>
      <c r="N18">
        <v>2747</v>
      </c>
      <c r="O18" s="173">
        <f t="shared" si="3"/>
        <v>2807.5</v>
      </c>
      <c r="P18" s="173">
        <f t="shared" si="1"/>
        <v>-206.33333333333348</v>
      </c>
      <c r="Q18" s="177">
        <f>SUM(P18/O17)</f>
        <v>-6.846209146712387E-2</v>
      </c>
    </row>
    <row r="19" spans="1:17" x14ac:dyDescent="0.2">
      <c r="B19" t="s">
        <v>629</v>
      </c>
      <c r="C19">
        <v>2607</v>
      </c>
      <c r="D19">
        <v>2654</v>
      </c>
      <c r="E19">
        <v>2602</v>
      </c>
      <c r="F19">
        <v>2660</v>
      </c>
      <c r="G19">
        <v>2612</v>
      </c>
      <c r="H19">
        <v>2542</v>
      </c>
      <c r="I19">
        <v>2515</v>
      </c>
      <c r="J19">
        <v>2539</v>
      </c>
      <c r="K19">
        <v>2614</v>
      </c>
      <c r="L19">
        <v>2633</v>
      </c>
      <c r="M19">
        <v>2586</v>
      </c>
      <c r="N19">
        <v>2590</v>
      </c>
      <c r="O19" s="173">
        <f t="shared" si="3"/>
        <v>2596.1666666666665</v>
      </c>
      <c r="P19" s="173">
        <f>SUM(O19-O18)</f>
        <v>-211.33333333333348</v>
      </c>
      <c r="Q19" s="177">
        <f>SUM(P19/O18)</f>
        <v>-7.5274562184624569E-2</v>
      </c>
    </row>
    <row r="20" spans="1:17" x14ac:dyDescent="0.2">
      <c r="B20" t="s">
        <v>983</v>
      </c>
      <c r="C20">
        <v>2481</v>
      </c>
      <c r="D20">
        <v>2502</v>
      </c>
      <c r="E20">
        <v>2560</v>
      </c>
      <c r="F20">
        <v>2577</v>
      </c>
      <c r="G20">
        <v>2485</v>
      </c>
      <c r="H20">
        <v>2505</v>
      </c>
      <c r="I20">
        <v>2521</v>
      </c>
      <c r="J20">
        <v>2517</v>
      </c>
      <c r="K20">
        <v>2505</v>
      </c>
      <c r="L20">
        <v>2411</v>
      </c>
      <c r="M20">
        <v>2387</v>
      </c>
      <c r="N20">
        <v>2391</v>
      </c>
      <c r="O20" s="173">
        <f t="shared" si="3"/>
        <v>2486.8333333333335</v>
      </c>
      <c r="P20" s="173">
        <f>SUM(O20-O19)</f>
        <v>-109.33333333333303</v>
      </c>
      <c r="Q20" s="177">
        <f>SUM(P20/O19)</f>
        <v>-4.2113372279642951E-2</v>
      </c>
    </row>
    <row r="21" spans="1:17" x14ac:dyDescent="0.2">
      <c r="B21" t="s">
        <v>984</v>
      </c>
      <c r="C21">
        <v>2371</v>
      </c>
      <c r="D21">
        <v>2284</v>
      </c>
      <c r="O21" s="173"/>
      <c r="P21" s="173"/>
      <c r="Q21" s="177"/>
    </row>
    <row r="22" spans="1:17" ht="25.5" x14ac:dyDescent="0.2">
      <c r="A22" s="175" t="s">
        <v>438</v>
      </c>
      <c r="B22" s="176" t="s">
        <v>418</v>
      </c>
      <c r="C22" s="179" t="s">
        <v>419</v>
      </c>
      <c r="D22" s="179" t="s">
        <v>420</v>
      </c>
      <c r="E22" s="179" t="s">
        <v>421</v>
      </c>
      <c r="F22" s="179" t="s">
        <v>422</v>
      </c>
      <c r="G22" s="179" t="s">
        <v>423</v>
      </c>
      <c r="H22" s="179" t="s">
        <v>424</v>
      </c>
      <c r="I22" s="179" t="s">
        <v>425</v>
      </c>
      <c r="J22" s="179" t="s">
        <v>426</v>
      </c>
      <c r="K22" s="179" t="s">
        <v>427</v>
      </c>
      <c r="L22" s="179" t="s">
        <v>428</v>
      </c>
      <c r="M22" s="179" t="s">
        <v>429</v>
      </c>
      <c r="N22" s="179" t="s">
        <v>430</v>
      </c>
    </row>
    <row r="23" spans="1:17" x14ac:dyDescent="0.2">
      <c r="B23" t="s">
        <v>434</v>
      </c>
      <c r="C23">
        <v>83</v>
      </c>
      <c r="D23">
        <v>80</v>
      </c>
      <c r="E23">
        <v>74</v>
      </c>
      <c r="F23">
        <v>78</v>
      </c>
      <c r="G23">
        <v>79</v>
      </c>
      <c r="H23">
        <v>81</v>
      </c>
      <c r="I23">
        <v>82</v>
      </c>
      <c r="J23">
        <v>83</v>
      </c>
      <c r="K23">
        <v>82</v>
      </c>
      <c r="L23">
        <v>83</v>
      </c>
      <c r="M23">
        <v>85</v>
      </c>
      <c r="N23">
        <v>87</v>
      </c>
      <c r="O23" s="173">
        <f t="shared" ref="O23:O31" si="4">SUM(C23:N23)/12</f>
        <v>81.416666666666671</v>
      </c>
      <c r="P23" s="173"/>
    </row>
    <row r="24" spans="1:17" x14ac:dyDescent="0.2">
      <c r="B24" t="s">
        <v>435</v>
      </c>
      <c r="C24">
        <v>92</v>
      </c>
      <c r="D24">
        <v>93</v>
      </c>
      <c r="E24">
        <v>94</v>
      </c>
      <c r="F24">
        <v>97</v>
      </c>
      <c r="G24">
        <v>98</v>
      </c>
      <c r="H24">
        <v>95</v>
      </c>
      <c r="I24">
        <v>89</v>
      </c>
      <c r="J24">
        <v>93</v>
      </c>
      <c r="K24">
        <v>90</v>
      </c>
      <c r="L24">
        <v>97</v>
      </c>
      <c r="M24">
        <v>99</v>
      </c>
      <c r="N24">
        <v>92</v>
      </c>
      <c r="O24" s="173">
        <f t="shared" si="4"/>
        <v>94.083333333333329</v>
      </c>
      <c r="P24" s="173">
        <f t="shared" ref="P24:P37" si="5">SUM(O24-O23)</f>
        <v>12.666666666666657</v>
      </c>
      <c r="Q24" s="177">
        <f t="shared" ref="Q24:Q37" si="6">SUM(P24/O23)</f>
        <v>0.15557830092118718</v>
      </c>
    </row>
    <row r="25" spans="1:17" x14ac:dyDescent="0.2">
      <c r="B25" t="s">
        <v>436</v>
      </c>
      <c r="C25">
        <v>90</v>
      </c>
      <c r="D25">
        <v>91</v>
      </c>
      <c r="E25">
        <v>92</v>
      </c>
      <c r="F25">
        <v>100</v>
      </c>
      <c r="G25">
        <v>99</v>
      </c>
      <c r="H25">
        <v>111</v>
      </c>
      <c r="I25">
        <v>102</v>
      </c>
      <c r="J25">
        <v>94</v>
      </c>
      <c r="K25">
        <v>96</v>
      </c>
      <c r="L25">
        <v>98</v>
      </c>
      <c r="M25">
        <v>93</v>
      </c>
      <c r="N25">
        <v>89</v>
      </c>
      <c r="O25" s="173">
        <f t="shared" si="4"/>
        <v>96.25</v>
      </c>
      <c r="P25" s="173">
        <f t="shared" si="5"/>
        <v>2.1666666666666714</v>
      </c>
      <c r="Q25" s="177">
        <f t="shared" si="6"/>
        <v>2.3029229406554524E-2</v>
      </c>
    </row>
    <row r="26" spans="1:17" x14ac:dyDescent="0.2">
      <c r="B26" t="s">
        <v>260</v>
      </c>
      <c r="C26">
        <v>72</v>
      </c>
      <c r="D26">
        <v>74</v>
      </c>
      <c r="E26">
        <v>73</v>
      </c>
      <c r="F26">
        <v>73</v>
      </c>
      <c r="G26">
        <v>73</v>
      </c>
      <c r="H26">
        <v>73</v>
      </c>
      <c r="I26">
        <v>73</v>
      </c>
      <c r="J26">
        <v>65</v>
      </c>
      <c r="K26">
        <v>65</v>
      </c>
      <c r="L26">
        <v>65</v>
      </c>
      <c r="M26">
        <v>65</v>
      </c>
      <c r="N26">
        <v>60</v>
      </c>
      <c r="O26" s="173">
        <f t="shared" si="4"/>
        <v>69.25</v>
      </c>
      <c r="P26" s="173">
        <f t="shared" si="5"/>
        <v>-27</v>
      </c>
      <c r="Q26" s="177">
        <f t="shared" si="6"/>
        <v>-0.2805194805194805</v>
      </c>
    </row>
    <row r="27" spans="1:17" x14ac:dyDescent="0.2">
      <c r="B27" t="s">
        <v>259</v>
      </c>
      <c r="C27">
        <v>59</v>
      </c>
      <c r="D27">
        <v>58</v>
      </c>
      <c r="E27">
        <v>59</v>
      </c>
      <c r="F27">
        <v>60</v>
      </c>
      <c r="G27">
        <v>56</v>
      </c>
      <c r="H27">
        <v>54</v>
      </c>
      <c r="I27">
        <v>54</v>
      </c>
      <c r="J27">
        <v>51</v>
      </c>
      <c r="K27">
        <v>53</v>
      </c>
      <c r="L27">
        <v>59</v>
      </c>
      <c r="M27">
        <v>64</v>
      </c>
      <c r="N27">
        <v>62</v>
      </c>
      <c r="O27" s="173">
        <f t="shared" si="4"/>
        <v>57.416666666666664</v>
      </c>
      <c r="P27" s="173">
        <f t="shared" si="5"/>
        <v>-11.833333333333336</v>
      </c>
      <c r="Q27" s="177">
        <f t="shared" si="6"/>
        <v>-0.17087845968712398</v>
      </c>
    </row>
    <row r="28" spans="1:17" x14ac:dyDescent="0.2">
      <c r="B28" t="s">
        <v>280</v>
      </c>
      <c r="C28">
        <v>66</v>
      </c>
      <c r="D28">
        <v>68</v>
      </c>
      <c r="E28">
        <v>66</v>
      </c>
      <c r="F28">
        <v>65</v>
      </c>
      <c r="G28">
        <v>63</v>
      </c>
      <c r="H28">
        <v>68</v>
      </c>
      <c r="I28">
        <v>63</v>
      </c>
      <c r="J28">
        <v>57</v>
      </c>
      <c r="K28">
        <v>45</v>
      </c>
      <c r="L28">
        <v>45</v>
      </c>
      <c r="M28">
        <v>47</v>
      </c>
      <c r="N28">
        <v>49</v>
      </c>
      <c r="O28" s="173">
        <f t="shared" si="4"/>
        <v>58.5</v>
      </c>
      <c r="P28" s="173">
        <f t="shared" si="5"/>
        <v>1.0833333333333357</v>
      </c>
      <c r="Q28" s="177">
        <f t="shared" si="6"/>
        <v>1.8867924528301928E-2</v>
      </c>
    </row>
    <row r="29" spans="1:17" x14ac:dyDescent="0.2">
      <c r="B29" t="s">
        <v>290</v>
      </c>
      <c r="C29">
        <v>47</v>
      </c>
      <c r="D29">
        <v>45</v>
      </c>
      <c r="E29">
        <v>45</v>
      </c>
      <c r="F29">
        <v>47</v>
      </c>
      <c r="G29">
        <v>47</v>
      </c>
      <c r="H29">
        <v>42</v>
      </c>
      <c r="I29">
        <v>40</v>
      </c>
      <c r="J29">
        <v>42</v>
      </c>
      <c r="K29">
        <v>47</v>
      </c>
      <c r="L29">
        <v>46</v>
      </c>
      <c r="M29">
        <v>41</v>
      </c>
      <c r="N29">
        <v>39</v>
      </c>
      <c r="O29" s="173">
        <f t="shared" si="4"/>
        <v>44</v>
      </c>
      <c r="P29" s="173">
        <f t="shared" si="5"/>
        <v>-14.5</v>
      </c>
      <c r="Q29" s="177">
        <f t="shared" si="6"/>
        <v>-0.24786324786324787</v>
      </c>
    </row>
    <row r="30" spans="1:17" x14ac:dyDescent="0.2">
      <c r="B30" t="s">
        <v>293</v>
      </c>
      <c r="C30">
        <v>40</v>
      </c>
      <c r="D30">
        <v>40</v>
      </c>
      <c r="E30">
        <v>40</v>
      </c>
      <c r="F30">
        <v>43</v>
      </c>
      <c r="G30">
        <v>37</v>
      </c>
      <c r="H30">
        <v>38</v>
      </c>
      <c r="I30">
        <v>37</v>
      </c>
      <c r="J30">
        <v>39</v>
      </c>
      <c r="K30">
        <v>41</v>
      </c>
      <c r="L30">
        <v>51</v>
      </c>
      <c r="M30">
        <v>50</v>
      </c>
      <c r="N30">
        <v>37</v>
      </c>
      <c r="O30" s="173">
        <f t="shared" si="4"/>
        <v>41.083333333333336</v>
      </c>
      <c r="P30" s="173">
        <f t="shared" si="5"/>
        <v>-2.9166666666666643</v>
      </c>
      <c r="Q30" s="177">
        <f t="shared" si="6"/>
        <v>-6.6287878787878729E-2</v>
      </c>
    </row>
    <row r="31" spans="1:17" x14ac:dyDescent="0.2">
      <c r="B31" t="s">
        <v>294</v>
      </c>
      <c r="C31">
        <v>39</v>
      </c>
      <c r="D31">
        <v>39</v>
      </c>
      <c r="E31">
        <v>44</v>
      </c>
      <c r="F31">
        <v>39</v>
      </c>
      <c r="G31">
        <v>42</v>
      </c>
      <c r="H31">
        <v>41</v>
      </c>
      <c r="I31">
        <v>40</v>
      </c>
      <c r="J31">
        <v>37</v>
      </c>
      <c r="K31">
        <v>36</v>
      </c>
      <c r="L31">
        <v>36</v>
      </c>
      <c r="M31">
        <v>40</v>
      </c>
      <c r="N31">
        <v>41</v>
      </c>
      <c r="O31" s="173">
        <f t="shared" si="4"/>
        <v>39.5</v>
      </c>
      <c r="P31" s="173">
        <f t="shared" si="5"/>
        <v>-1.5833333333333357</v>
      </c>
      <c r="Q31" s="177">
        <f t="shared" si="6"/>
        <v>-3.8539553752535552E-2</v>
      </c>
    </row>
    <row r="32" spans="1:17" x14ac:dyDescent="0.2">
      <c r="B32" t="s">
        <v>295</v>
      </c>
      <c r="C32">
        <v>32</v>
      </c>
      <c r="D32">
        <v>34</v>
      </c>
      <c r="E32">
        <v>31</v>
      </c>
      <c r="F32">
        <v>32</v>
      </c>
      <c r="G32">
        <v>33</v>
      </c>
      <c r="H32">
        <v>31</v>
      </c>
      <c r="I32">
        <v>31</v>
      </c>
      <c r="J32">
        <v>31</v>
      </c>
      <c r="K32">
        <v>34</v>
      </c>
      <c r="L32">
        <v>36</v>
      </c>
      <c r="M32">
        <v>40</v>
      </c>
      <c r="N32">
        <v>39</v>
      </c>
      <c r="O32" s="173">
        <f>SUM(C32:N32)/12</f>
        <v>33.666666666666664</v>
      </c>
      <c r="P32" s="173">
        <f t="shared" si="5"/>
        <v>-5.8333333333333357</v>
      </c>
      <c r="Q32" s="177">
        <f t="shared" si="6"/>
        <v>-0.14767932489451482</v>
      </c>
    </row>
    <row r="33" spans="1:18" x14ac:dyDescent="0.2">
      <c r="B33" t="s">
        <v>335</v>
      </c>
      <c r="C33">
        <v>43</v>
      </c>
      <c r="D33">
        <v>43</v>
      </c>
      <c r="E33">
        <v>41</v>
      </c>
      <c r="F33">
        <v>0</v>
      </c>
      <c r="G33">
        <v>0</v>
      </c>
      <c r="H33">
        <v>0</v>
      </c>
      <c r="I33">
        <v>35</v>
      </c>
      <c r="J33">
        <v>35</v>
      </c>
      <c r="K33">
        <v>38</v>
      </c>
      <c r="L33">
        <v>36</v>
      </c>
      <c r="M33">
        <v>35</v>
      </c>
      <c r="N33">
        <v>32</v>
      </c>
      <c r="O33" s="173">
        <f>SUM(C33:N33)/9</f>
        <v>37.555555555555557</v>
      </c>
      <c r="P33" s="173">
        <f t="shared" si="5"/>
        <v>3.8888888888888928</v>
      </c>
      <c r="Q33" s="177">
        <f t="shared" si="6"/>
        <v>0.11551155115511563</v>
      </c>
    </row>
    <row r="34" spans="1:18" x14ac:dyDescent="0.2">
      <c r="B34" t="s">
        <v>358</v>
      </c>
      <c r="C34">
        <v>32</v>
      </c>
      <c r="D34">
        <v>33</v>
      </c>
      <c r="E34">
        <v>46</v>
      </c>
      <c r="F34">
        <v>60</v>
      </c>
      <c r="G34">
        <v>63</v>
      </c>
      <c r="H34">
        <v>62</v>
      </c>
      <c r="I34">
        <v>63</v>
      </c>
      <c r="J34">
        <v>64</v>
      </c>
      <c r="K34">
        <v>61</v>
      </c>
      <c r="L34">
        <v>60</v>
      </c>
      <c r="M34">
        <v>67</v>
      </c>
      <c r="N34">
        <v>70</v>
      </c>
      <c r="O34" s="173">
        <f t="shared" ref="O34:O40" si="7">SUM(C34:N34)/12</f>
        <v>56.75</v>
      </c>
      <c r="P34" s="173">
        <f t="shared" si="5"/>
        <v>19.194444444444443</v>
      </c>
      <c r="Q34" s="177">
        <f t="shared" si="6"/>
        <v>0.51109467455621294</v>
      </c>
    </row>
    <row r="35" spans="1:18" x14ac:dyDescent="0.2">
      <c r="B35" t="s">
        <v>437</v>
      </c>
      <c r="C35">
        <v>68</v>
      </c>
      <c r="D35">
        <v>65</v>
      </c>
      <c r="E35">
        <v>62</v>
      </c>
      <c r="F35">
        <v>61</v>
      </c>
      <c r="G35">
        <v>65</v>
      </c>
      <c r="H35">
        <v>66</v>
      </c>
      <c r="I35">
        <v>68</v>
      </c>
      <c r="J35">
        <v>66</v>
      </c>
      <c r="K35">
        <v>70</v>
      </c>
      <c r="L35">
        <v>68</v>
      </c>
      <c r="M35">
        <v>65</v>
      </c>
      <c r="N35">
        <v>68</v>
      </c>
      <c r="O35" s="173">
        <f t="shared" si="7"/>
        <v>66</v>
      </c>
      <c r="P35" s="173">
        <f t="shared" si="5"/>
        <v>9.25</v>
      </c>
      <c r="Q35" s="177">
        <f t="shared" si="6"/>
        <v>0.16299559471365638</v>
      </c>
    </row>
    <row r="36" spans="1:18" x14ac:dyDescent="0.2">
      <c r="B36" t="s">
        <v>471</v>
      </c>
      <c r="C36">
        <v>70</v>
      </c>
      <c r="D36">
        <v>71</v>
      </c>
      <c r="E36">
        <v>74</v>
      </c>
      <c r="F36">
        <v>74</v>
      </c>
      <c r="G36">
        <v>74</v>
      </c>
      <c r="H36">
        <v>79</v>
      </c>
      <c r="I36">
        <v>77</v>
      </c>
      <c r="J36">
        <v>80</v>
      </c>
      <c r="K36">
        <v>70</v>
      </c>
      <c r="L36">
        <v>66</v>
      </c>
      <c r="M36">
        <v>65</v>
      </c>
      <c r="N36">
        <v>57</v>
      </c>
      <c r="O36" s="173">
        <f t="shared" si="7"/>
        <v>71.416666666666671</v>
      </c>
      <c r="P36" s="173">
        <f t="shared" si="5"/>
        <v>5.4166666666666714</v>
      </c>
      <c r="Q36" s="177">
        <f t="shared" si="6"/>
        <v>8.2070707070707141E-2</v>
      </c>
    </row>
    <row r="37" spans="1:18" x14ac:dyDescent="0.2">
      <c r="B37" t="s">
        <v>537</v>
      </c>
      <c r="C37">
        <v>55</v>
      </c>
      <c r="D37">
        <v>70</v>
      </c>
      <c r="E37">
        <v>75</v>
      </c>
      <c r="F37">
        <v>77</v>
      </c>
      <c r="G37">
        <v>78</v>
      </c>
      <c r="H37">
        <v>51</v>
      </c>
      <c r="I37">
        <v>46</v>
      </c>
      <c r="J37">
        <v>50</v>
      </c>
      <c r="K37">
        <v>52</v>
      </c>
      <c r="L37">
        <v>52</v>
      </c>
      <c r="M37">
        <v>53</v>
      </c>
      <c r="N37">
        <v>59</v>
      </c>
      <c r="O37" s="173">
        <f t="shared" si="7"/>
        <v>59.833333333333336</v>
      </c>
      <c r="P37" s="173">
        <f t="shared" si="5"/>
        <v>-11.583333333333336</v>
      </c>
      <c r="Q37" s="177">
        <f t="shared" si="6"/>
        <v>-0.16219369894982499</v>
      </c>
    </row>
    <row r="38" spans="1:18" x14ac:dyDescent="0.2">
      <c r="B38" t="s">
        <v>628</v>
      </c>
      <c r="C38">
        <v>56</v>
      </c>
      <c r="D38">
        <v>56</v>
      </c>
      <c r="E38">
        <v>56</v>
      </c>
      <c r="F38">
        <v>60</v>
      </c>
      <c r="G38">
        <v>51</v>
      </c>
      <c r="H38">
        <v>50</v>
      </c>
      <c r="I38">
        <v>54</v>
      </c>
      <c r="J38">
        <v>54</v>
      </c>
      <c r="K38">
        <v>7</v>
      </c>
      <c r="L38">
        <v>7</v>
      </c>
      <c r="M38">
        <v>8</v>
      </c>
      <c r="N38">
        <v>8</v>
      </c>
      <c r="O38" s="173">
        <f t="shared" si="7"/>
        <v>38.916666666666664</v>
      </c>
      <c r="P38" s="173">
        <f>SUM(O38-O37)</f>
        <v>-20.916666666666671</v>
      </c>
      <c r="Q38" s="177">
        <f>SUM(P38/O37)</f>
        <v>-0.34958217270194991</v>
      </c>
    </row>
    <row r="39" spans="1:18" x14ac:dyDescent="0.2">
      <c r="B39" t="s">
        <v>629</v>
      </c>
      <c r="C39">
        <v>8</v>
      </c>
      <c r="D39">
        <v>7</v>
      </c>
      <c r="E39">
        <v>7</v>
      </c>
      <c r="F39">
        <v>6</v>
      </c>
      <c r="G39">
        <v>4</v>
      </c>
      <c r="H39">
        <v>4</v>
      </c>
      <c r="I39">
        <v>5</v>
      </c>
      <c r="J39">
        <v>5</v>
      </c>
      <c r="K39">
        <v>5</v>
      </c>
      <c r="L39">
        <v>5</v>
      </c>
      <c r="M39">
        <v>32</v>
      </c>
      <c r="N39">
        <v>29</v>
      </c>
      <c r="O39" s="173">
        <f t="shared" si="7"/>
        <v>9.75</v>
      </c>
      <c r="P39" s="173">
        <f>SUM(O39-O38)</f>
        <v>-29.166666666666664</v>
      </c>
      <c r="Q39" s="177">
        <f>SUM(P39/O38)</f>
        <v>-0.74946466809421841</v>
      </c>
    </row>
    <row r="40" spans="1:18" x14ac:dyDescent="0.2">
      <c r="B40" t="s">
        <v>983</v>
      </c>
      <c r="C40">
        <v>30</v>
      </c>
      <c r="D40">
        <v>32</v>
      </c>
      <c r="E40">
        <v>34</v>
      </c>
      <c r="F40">
        <v>35</v>
      </c>
      <c r="G40">
        <v>33</v>
      </c>
      <c r="H40">
        <v>31</v>
      </c>
      <c r="I40">
        <v>31</v>
      </c>
      <c r="J40">
        <v>29</v>
      </c>
      <c r="K40">
        <v>29</v>
      </c>
      <c r="L40">
        <v>27</v>
      </c>
      <c r="M40">
        <v>26</v>
      </c>
      <c r="N40">
        <v>24</v>
      </c>
      <c r="O40" s="173">
        <f t="shared" si="7"/>
        <v>30.083333333333332</v>
      </c>
      <c r="P40" s="173">
        <f>SUM(O40-O39)</f>
        <v>20.333333333333332</v>
      </c>
      <c r="Q40" s="177">
        <f>SUM(P40/O39)</f>
        <v>2.0854700854700852</v>
      </c>
    </row>
    <row r="41" spans="1:18" x14ac:dyDescent="0.2">
      <c r="B41" t="s">
        <v>984</v>
      </c>
      <c r="C41">
        <v>47</v>
      </c>
      <c r="D41">
        <v>45</v>
      </c>
      <c r="O41" s="173"/>
      <c r="P41" s="173"/>
      <c r="Q41" s="177"/>
      <c r="R41" t="s">
        <v>985</v>
      </c>
    </row>
    <row r="42" spans="1:18" x14ac:dyDescent="0.2">
      <c r="A42" s="531"/>
      <c r="B42" s="531"/>
      <c r="C42" s="531"/>
      <c r="D42" s="531"/>
      <c r="E42" s="531"/>
      <c r="F42" s="531"/>
      <c r="G42" s="531"/>
      <c r="H42" s="531"/>
      <c r="I42" s="531"/>
      <c r="J42" s="531"/>
      <c r="K42" s="531"/>
      <c r="L42" s="531"/>
      <c r="M42" s="531"/>
      <c r="N42" s="531"/>
      <c r="O42" s="531"/>
      <c r="P42" s="531"/>
      <c r="Q42" s="531"/>
    </row>
    <row r="43" spans="1:18" ht="25.5" x14ac:dyDescent="0.2">
      <c r="A43" s="175" t="s">
        <v>439</v>
      </c>
      <c r="B43" s="176" t="s">
        <v>418</v>
      </c>
      <c r="C43" s="179" t="s">
        <v>419</v>
      </c>
      <c r="D43" s="179" t="s">
        <v>420</v>
      </c>
      <c r="E43" s="179" t="s">
        <v>421</v>
      </c>
      <c r="F43" s="179" t="s">
        <v>422</v>
      </c>
      <c r="G43" s="179" t="s">
        <v>423</v>
      </c>
      <c r="H43" s="179" t="s">
        <v>424</v>
      </c>
      <c r="I43" s="179" t="s">
        <v>425</v>
      </c>
      <c r="J43" s="179" t="s">
        <v>426</v>
      </c>
      <c r="K43" s="179" t="s">
        <v>427</v>
      </c>
      <c r="L43" s="179" t="s">
        <v>428</v>
      </c>
      <c r="M43" s="179" t="s">
        <v>429</v>
      </c>
      <c r="N43" s="179" t="s">
        <v>430</v>
      </c>
    </row>
    <row r="44" spans="1:18" x14ac:dyDescent="0.2">
      <c r="B44" t="s">
        <v>434</v>
      </c>
      <c r="C44">
        <v>305</v>
      </c>
      <c r="D44">
        <v>299</v>
      </c>
      <c r="E44">
        <v>289</v>
      </c>
      <c r="F44">
        <v>276</v>
      </c>
      <c r="G44">
        <v>277</v>
      </c>
      <c r="H44">
        <v>295</v>
      </c>
      <c r="I44">
        <v>283</v>
      </c>
      <c r="J44">
        <v>273</v>
      </c>
      <c r="K44">
        <v>259</v>
      </c>
      <c r="L44">
        <v>249</v>
      </c>
      <c r="M44">
        <v>241</v>
      </c>
      <c r="N44">
        <v>237</v>
      </c>
      <c r="O44" s="173">
        <f t="shared" ref="O44:O61" si="8">SUM(C44:N44)/12</f>
        <v>273.58333333333331</v>
      </c>
      <c r="P44" s="173"/>
    </row>
    <row r="45" spans="1:18" x14ac:dyDescent="0.2">
      <c r="B45" t="s">
        <v>435</v>
      </c>
      <c r="C45">
        <v>237</v>
      </c>
      <c r="D45">
        <v>230</v>
      </c>
      <c r="E45">
        <v>230</v>
      </c>
      <c r="F45">
        <v>230</v>
      </c>
      <c r="G45">
        <v>231</v>
      </c>
      <c r="H45">
        <v>215</v>
      </c>
      <c r="I45">
        <v>218</v>
      </c>
      <c r="J45">
        <v>212</v>
      </c>
      <c r="K45">
        <v>214</v>
      </c>
      <c r="L45">
        <v>217</v>
      </c>
      <c r="M45">
        <v>220</v>
      </c>
      <c r="N45">
        <v>218</v>
      </c>
      <c r="O45" s="173">
        <f t="shared" si="8"/>
        <v>222.66666666666666</v>
      </c>
      <c r="P45" s="173">
        <f t="shared" ref="P45:P58" si="9">SUM(O45-O44)</f>
        <v>-50.916666666666657</v>
      </c>
      <c r="Q45" s="177">
        <f t="shared" ref="Q45:Q58" si="10">SUM(P45/O44)</f>
        <v>-0.18611026500152297</v>
      </c>
    </row>
    <row r="46" spans="1:18" x14ac:dyDescent="0.2">
      <c r="B46" t="s">
        <v>436</v>
      </c>
      <c r="C46">
        <v>231</v>
      </c>
      <c r="D46">
        <v>230</v>
      </c>
      <c r="E46">
        <v>234</v>
      </c>
      <c r="F46">
        <v>229</v>
      </c>
      <c r="G46">
        <v>230</v>
      </c>
      <c r="H46">
        <v>240</v>
      </c>
      <c r="I46">
        <v>245</v>
      </c>
      <c r="J46">
        <v>250</v>
      </c>
      <c r="K46">
        <v>255</v>
      </c>
      <c r="L46">
        <v>260</v>
      </c>
      <c r="M46">
        <v>265</v>
      </c>
      <c r="N46">
        <v>270</v>
      </c>
      <c r="O46" s="173">
        <f t="shared" si="8"/>
        <v>244.91666666666666</v>
      </c>
      <c r="P46" s="173">
        <f t="shared" si="9"/>
        <v>22.25</v>
      </c>
      <c r="Q46" s="177">
        <f t="shared" si="10"/>
        <v>9.9925149700598806E-2</v>
      </c>
    </row>
    <row r="47" spans="1:18" x14ac:dyDescent="0.2">
      <c r="B47" t="s">
        <v>260</v>
      </c>
      <c r="C47">
        <v>280</v>
      </c>
      <c r="D47">
        <v>237</v>
      </c>
      <c r="E47">
        <v>253</v>
      </c>
      <c r="F47">
        <v>253</v>
      </c>
      <c r="G47">
        <v>253</v>
      </c>
      <c r="H47">
        <v>253</v>
      </c>
      <c r="I47">
        <v>253</v>
      </c>
      <c r="J47">
        <v>253</v>
      </c>
      <c r="K47">
        <v>253</v>
      </c>
      <c r="L47">
        <v>260</v>
      </c>
      <c r="M47">
        <v>265</v>
      </c>
      <c r="N47">
        <v>270</v>
      </c>
      <c r="O47" s="173">
        <f t="shared" si="8"/>
        <v>256.91666666666669</v>
      </c>
      <c r="P47" s="173">
        <f t="shared" si="9"/>
        <v>12.000000000000028</v>
      </c>
      <c r="Q47" s="177">
        <f t="shared" si="10"/>
        <v>4.899625723035058E-2</v>
      </c>
    </row>
    <row r="48" spans="1:18" x14ac:dyDescent="0.2">
      <c r="B48" t="s">
        <v>259</v>
      </c>
      <c r="C48">
        <v>288</v>
      </c>
      <c r="D48">
        <v>261</v>
      </c>
      <c r="E48">
        <v>258</v>
      </c>
      <c r="F48">
        <v>267</v>
      </c>
      <c r="G48">
        <v>259</v>
      </c>
      <c r="H48">
        <v>267</v>
      </c>
      <c r="I48">
        <v>272</v>
      </c>
      <c r="J48">
        <v>273</v>
      </c>
      <c r="K48">
        <v>300</v>
      </c>
      <c r="L48">
        <v>296</v>
      </c>
      <c r="M48">
        <v>319</v>
      </c>
      <c r="N48">
        <v>317</v>
      </c>
      <c r="O48" s="173">
        <f t="shared" si="8"/>
        <v>281.41666666666669</v>
      </c>
      <c r="P48" s="173">
        <f t="shared" si="9"/>
        <v>24.5</v>
      </c>
      <c r="Q48" s="177">
        <f t="shared" si="10"/>
        <v>9.5361660720077845E-2</v>
      </c>
    </row>
    <row r="49" spans="1:18" x14ac:dyDescent="0.2">
      <c r="B49" t="s">
        <v>280</v>
      </c>
      <c r="C49">
        <v>297</v>
      </c>
      <c r="D49">
        <v>306</v>
      </c>
      <c r="E49">
        <v>312</v>
      </c>
      <c r="F49">
        <v>311</v>
      </c>
      <c r="G49">
        <v>312</v>
      </c>
      <c r="H49">
        <v>252</v>
      </c>
      <c r="I49">
        <v>312</v>
      </c>
      <c r="J49">
        <v>314</v>
      </c>
      <c r="K49">
        <v>316</v>
      </c>
      <c r="L49">
        <v>235</v>
      </c>
      <c r="M49">
        <v>248</v>
      </c>
      <c r="N49">
        <v>323</v>
      </c>
      <c r="O49" s="173">
        <f t="shared" si="8"/>
        <v>294.83333333333331</v>
      </c>
      <c r="P49" s="173">
        <f t="shared" si="9"/>
        <v>13.416666666666629</v>
      </c>
      <c r="Q49" s="177">
        <f t="shared" si="10"/>
        <v>4.7675451584246235E-2</v>
      </c>
    </row>
    <row r="50" spans="1:18" x14ac:dyDescent="0.2">
      <c r="B50" t="s">
        <v>290</v>
      </c>
      <c r="C50">
        <v>322</v>
      </c>
      <c r="D50">
        <v>318</v>
      </c>
      <c r="E50">
        <v>302</v>
      </c>
      <c r="F50">
        <v>299</v>
      </c>
      <c r="G50">
        <v>301</v>
      </c>
      <c r="H50">
        <v>296</v>
      </c>
      <c r="I50">
        <v>286</v>
      </c>
      <c r="J50">
        <v>290</v>
      </c>
      <c r="K50">
        <v>283</v>
      </c>
      <c r="L50">
        <v>284</v>
      </c>
      <c r="M50">
        <v>289</v>
      </c>
      <c r="N50">
        <v>279</v>
      </c>
      <c r="O50" s="173">
        <f t="shared" si="8"/>
        <v>295.75</v>
      </c>
      <c r="P50" s="173">
        <f t="shared" si="9"/>
        <v>0.91666666666668561</v>
      </c>
      <c r="Q50" s="177">
        <f t="shared" si="10"/>
        <v>3.109101187111427E-3</v>
      </c>
    </row>
    <row r="51" spans="1:18" x14ac:dyDescent="0.2">
      <c r="B51" t="s">
        <v>293</v>
      </c>
      <c r="C51">
        <v>278</v>
      </c>
      <c r="D51">
        <v>270</v>
      </c>
      <c r="E51">
        <v>262</v>
      </c>
      <c r="F51">
        <v>253</v>
      </c>
      <c r="G51">
        <v>261</v>
      </c>
      <c r="H51">
        <v>259</v>
      </c>
      <c r="I51">
        <v>254</v>
      </c>
      <c r="J51">
        <v>255</v>
      </c>
      <c r="K51">
        <v>249</v>
      </c>
      <c r="L51">
        <v>267</v>
      </c>
      <c r="M51">
        <v>263</v>
      </c>
      <c r="N51">
        <v>250</v>
      </c>
      <c r="O51" s="173">
        <f t="shared" si="8"/>
        <v>260.08333333333331</v>
      </c>
      <c r="P51" s="173">
        <f t="shared" si="9"/>
        <v>-35.666666666666686</v>
      </c>
      <c r="Q51" s="177">
        <f t="shared" si="10"/>
        <v>-0.1205973513665822</v>
      </c>
    </row>
    <row r="52" spans="1:18" x14ac:dyDescent="0.2">
      <c r="B52" t="s">
        <v>294</v>
      </c>
      <c r="C52">
        <v>247</v>
      </c>
      <c r="D52">
        <v>250</v>
      </c>
      <c r="E52">
        <v>240</v>
      </c>
      <c r="F52">
        <v>238</v>
      </c>
      <c r="G52">
        <v>230</v>
      </c>
      <c r="H52">
        <v>228</v>
      </c>
      <c r="I52">
        <v>230</v>
      </c>
      <c r="J52">
        <v>228</v>
      </c>
      <c r="K52">
        <v>226</v>
      </c>
      <c r="L52">
        <v>224</v>
      </c>
      <c r="M52">
        <v>228</v>
      </c>
      <c r="N52">
        <v>233</v>
      </c>
      <c r="O52" s="173">
        <f t="shared" si="8"/>
        <v>233.5</v>
      </c>
      <c r="P52" s="173">
        <f t="shared" si="9"/>
        <v>-26.583333333333314</v>
      </c>
      <c r="Q52" s="177">
        <f t="shared" si="10"/>
        <v>-0.10221082986222359</v>
      </c>
    </row>
    <row r="53" spans="1:18" x14ac:dyDescent="0.2">
      <c r="B53" t="s">
        <v>295</v>
      </c>
      <c r="C53">
        <v>212</v>
      </c>
      <c r="D53">
        <v>216</v>
      </c>
      <c r="E53">
        <v>221</v>
      </c>
      <c r="F53">
        <v>228</v>
      </c>
      <c r="G53">
        <v>226</v>
      </c>
      <c r="H53">
        <v>230</v>
      </c>
      <c r="I53">
        <v>222</v>
      </c>
      <c r="J53">
        <v>225</v>
      </c>
      <c r="K53">
        <v>236</v>
      </c>
      <c r="L53">
        <v>242</v>
      </c>
      <c r="M53">
        <v>246</v>
      </c>
      <c r="N53">
        <v>252</v>
      </c>
      <c r="O53" s="173">
        <f t="shared" si="8"/>
        <v>229.66666666666666</v>
      </c>
      <c r="P53" s="173">
        <f t="shared" si="9"/>
        <v>-3.8333333333333428</v>
      </c>
      <c r="Q53" s="177">
        <f t="shared" si="10"/>
        <v>-1.6416845110635302E-2</v>
      </c>
    </row>
    <row r="54" spans="1:18" x14ac:dyDescent="0.2">
      <c r="B54" t="s">
        <v>335</v>
      </c>
      <c r="C54">
        <v>247</v>
      </c>
      <c r="D54">
        <v>248</v>
      </c>
      <c r="E54">
        <v>247</v>
      </c>
      <c r="F54">
        <v>247</v>
      </c>
      <c r="G54">
        <v>254</v>
      </c>
      <c r="H54">
        <v>258</v>
      </c>
      <c r="I54">
        <v>257</v>
      </c>
      <c r="J54">
        <v>255</v>
      </c>
      <c r="K54">
        <v>252</v>
      </c>
      <c r="L54">
        <v>251</v>
      </c>
      <c r="M54">
        <v>249</v>
      </c>
      <c r="N54">
        <v>259</v>
      </c>
      <c r="O54" s="173">
        <f t="shared" si="8"/>
        <v>252</v>
      </c>
      <c r="P54" s="173">
        <f t="shared" si="9"/>
        <v>22.333333333333343</v>
      </c>
      <c r="Q54" s="177">
        <f t="shared" si="10"/>
        <v>9.7242380261248235E-2</v>
      </c>
    </row>
    <row r="55" spans="1:18" x14ac:dyDescent="0.2">
      <c r="B55" t="s">
        <v>358</v>
      </c>
      <c r="C55">
        <v>264</v>
      </c>
      <c r="D55">
        <v>260</v>
      </c>
      <c r="E55">
        <v>262</v>
      </c>
      <c r="F55">
        <v>259</v>
      </c>
      <c r="G55">
        <v>247</v>
      </c>
      <c r="H55">
        <v>238</v>
      </c>
      <c r="I55">
        <v>224</v>
      </c>
      <c r="J55">
        <v>232</v>
      </c>
      <c r="K55">
        <v>239</v>
      </c>
      <c r="L55">
        <v>243</v>
      </c>
      <c r="M55">
        <v>246</v>
      </c>
      <c r="N55">
        <v>247</v>
      </c>
      <c r="O55" s="173">
        <f t="shared" si="8"/>
        <v>246.75</v>
      </c>
      <c r="P55" s="173">
        <f t="shared" si="9"/>
        <v>-5.25</v>
      </c>
      <c r="Q55" s="177">
        <f t="shared" si="10"/>
        <v>-2.0833333333333332E-2</v>
      </c>
      <c r="R55" t="s">
        <v>440</v>
      </c>
    </row>
    <row r="56" spans="1:18" x14ac:dyDescent="0.2">
      <c r="B56" t="s">
        <v>437</v>
      </c>
      <c r="C56">
        <v>257</v>
      </c>
      <c r="D56">
        <v>248</v>
      </c>
      <c r="E56">
        <v>250</v>
      </c>
      <c r="F56">
        <v>264</v>
      </c>
      <c r="G56">
        <v>265</v>
      </c>
      <c r="H56">
        <v>270</v>
      </c>
      <c r="I56">
        <v>279</v>
      </c>
      <c r="J56">
        <v>279</v>
      </c>
      <c r="K56">
        <v>266</v>
      </c>
      <c r="L56">
        <v>260</v>
      </c>
      <c r="M56">
        <v>260</v>
      </c>
      <c r="N56">
        <v>272</v>
      </c>
      <c r="O56" s="173">
        <f t="shared" si="8"/>
        <v>264.16666666666669</v>
      </c>
      <c r="P56" s="173">
        <f t="shared" si="9"/>
        <v>17.416666666666686</v>
      </c>
      <c r="Q56" s="177">
        <f t="shared" si="10"/>
        <v>7.0584262073623852E-2</v>
      </c>
    </row>
    <row r="57" spans="1:18" x14ac:dyDescent="0.2">
      <c r="B57" t="s">
        <v>471</v>
      </c>
      <c r="C57">
        <v>276</v>
      </c>
      <c r="D57">
        <v>277</v>
      </c>
      <c r="E57">
        <v>283</v>
      </c>
      <c r="F57">
        <v>298</v>
      </c>
      <c r="G57">
        <v>294</v>
      </c>
      <c r="H57">
        <v>295</v>
      </c>
      <c r="I57">
        <v>289</v>
      </c>
      <c r="J57">
        <v>284</v>
      </c>
      <c r="K57">
        <v>288</v>
      </c>
      <c r="L57">
        <v>290</v>
      </c>
      <c r="M57">
        <v>303</v>
      </c>
      <c r="N57">
        <v>300</v>
      </c>
      <c r="O57" s="173">
        <f t="shared" si="8"/>
        <v>289.75</v>
      </c>
      <c r="P57" s="173">
        <f t="shared" si="9"/>
        <v>25.583333333333314</v>
      </c>
      <c r="Q57" s="177">
        <f t="shared" si="10"/>
        <v>9.6845425867507814E-2</v>
      </c>
    </row>
    <row r="58" spans="1:18" x14ac:dyDescent="0.2">
      <c r="B58" t="s">
        <v>537</v>
      </c>
      <c r="C58">
        <v>305</v>
      </c>
      <c r="D58">
        <v>296</v>
      </c>
      <c r="E58">
        <v>293</v>
      </c>
      <c r="F58">
        <v>294</v>
      </c>
      <c r="G58">
        <v>286</v>
      </c>
      <c r="H58">
        <v>283</v>
      </c>
      <c r="I58">
        <v>274</v>
      </c>
      <c r="J58">
        <v>260</v>
      </c>
      <c r="K58">
        <v>259</v>
      </c>
      <c r="L58">
        <v>266</v>
      </c>
      <c r="M58">
        <v>259</v>
      </c>
      <c r="N58">
        <v>266</v>
      </c>
      <c r="O58" s="173">
        <f t="shared" si="8"/>
        <v>278.41666666666669</v>
      </c>
      <c r="P58" s="173">
        <f t="shared" si="9"/>
        <v>-11.333333333333314</v>
      </c>
      <c r="Q58" s="177">
        <f t="shared" si="10"/>
        <v>-3.9114178889847508E-2</v>
      </c>
    </row>
    <row r="59" spans="1:18" x14ac:dyDescent="0.2">
      <c r="B59" t="s">
        <v>628</v>
      </c>
      <c r="C59">
        <v>256</v>
      </c>
      <c r="D59">
        <v>252</v>
      </c>
      <c r="E59">
        <v>248</v>
      </c>
      <c r="F59">
        <v>249</v>
      </c>
      <c r="G59">
        <v>253</v>
      </c>
      <c r="H59">
        <v>244</v>
      </c>
      <c r="I59">
        <v>234</v>
      </c>
      <c r="J59">
        <v>221</v>
      </c>
      <c r="K59">
        <v>233</v>
      </c>
      <c r="L59">
        <v>230</v>
      </c>
      <c r="M59">
        <v>238</v>
      </c>
      <c r="N59">
        <v>251</v>
      </c>
      <c r="O59" s="173">
        <f t="shared" si="8"/>
        <v>242.41666666666666</v>
      </c>
      <c r="P59" s="173">
        <f>SUM(O59-O58)</f>
        <v>-36.000000000000028</v>
      </c>
      <c r="Q59" s="177">
        <f>SUM(P59/O58)</f>
        <v>-0.12930260401077531</v>
      </c>
    </row>
    <row r="60" spans="1:18" x14ac:dyDescent="0.2">
      <c r="B60" t="s">
        <v>629</v>
      </c>
      <c r="C60">
        <v>254</v>
      </c>
      <c r="D60">
        <v>242</v>
      </c>
      <c r="E60">
        <v>239</v>
      </c>
      <c r="F60">
        <v>236</v>
      </c>
      <c r="G60">
        <v>231</v>
      </c>
      <c r="H60">
        <v>238</v>
      </c>
      <c r="I60">
        <v>229</v>
      </c>
      <c r="J60">
        <v>248</v>
      </c>
      <c r="K60">
        <v>244</v>
      </c>
      <c r="L60">
        <v>254</v>
      </c>
      <c r="M60">
        <v>257</v>
      </c>
      <c r="N60">
        <v>258</v>
      </c>
      <c r="O60" s="173">
        <f t="shared" si="8"/>
        <v>244.16666666666666</v>
      </c>
      <c r="P60" s="173">
        <f>SUM(O60-O59)</f>
        <v>1.75</v>
      </c>
      <c r="Q60" s="177">
        <f>SUM(P60/O59)</f>
        <v>7.2189755929872815E-3</v>
      </c>
    </row>
    <row r="61" spans="1:18" x14ac:dyDescent="0.2">
      <c r="B61" t="s">
        <v>983</v>
      </c>
      <c r="C61">
        <v>255</v>
      </c>
      <c r="D61">
        <v>254</v>
      </c>
      <c r="E61">
        <v>247</v>
      </c>
      <c r="F61">
        <v>241</v>
      </c>
      <c r="G61">
        <v>243</v>
      </c>
      <c r="H61">
        <v>231</v>
      </c>
      <c r="I61">
        <v>230</v>
      </c>
      <c r="J61">
        <v>227</v>
      </c>
      <c r="K61">
        <v>234</v>
      </c>
      <c r="L61">
        <v>233</v>
      </c>
      <c r="M61">
        <v>238</v>
      </c>
      <c r="N61">
        <v>233</v>
      </c>
      <c r="O61" s="173">
        <f t="shared" si="8"/>
        <v>238.83333333333334</v>
      </c>
      <c r="P61" s="173">
        <f>SUM(O61-O60)</f>
        <v>-5.3333333333333144</v>
      </c>
      <c r="Q61" s="177">
        <f>SUM(P61/O60)</f>
        <v>-2.1843003412969207E-2</v>
      </c>
    </row>
    <row r="62" spans="1:18" x14ac:dyDescent="0.2">
      <c r="B62" t="s">
        <v>984</v>
      </c>
      <c r="C62">
        <v>209</v>
      </c>
      <c r="D62">
        <v>206</v>
      </c>
      <c r="O62" s="173"/>
      <c r="P62" s="173"/>
      <c r="Q62" s="177"/>
    </row>
    <row r="63" spans="1:18" ht="25.5" x14ac:dyDescent="0.2">
      <c r="A63" s="175" t="s">
        <v>441</v>
      </c>
      <c r="B63" s="176" t="s">
        <v>418</v>
      </c>
      <c r="C63" s="179" t="s">
        <v>419</v>
      </c>
      <c r="D63" s="179" t="s">
        <v>420</v>
      </c>
      <c r="E63" s="179" t="s">
        <v>421</v>
      </c>
      <c r="F63" s="179" t="s">
        <v>422</v>
      </c>
      <c r="G63" s="179" t="s">
        <v>423</v>
      </c>
      <c r="H63" s="179" t="s">
        <v>424</v>
      </c>
      <c r="I63" s="179" t="s">
        <v>425</v>
      </c>
      <c r="J63" s="179" t="s">
        <v>426</v>
      </c>
      <c r="K63" s="179" t="s">
        <v>427</v>
      </c>
      <c r="L63" s="179" t="s">
        <v>428</v>
      </c>
      <c r="M63" s="179" t="s">
        <v>429</v>
      </c>
      <c r="N63" s="179" t="s">
        <v>430</v>
      </c>
    </row>
    <row r="64" spans="1:18" x14ac:dyDescent="0.2">
      <c r="B64" t="s">
        <v>434</v>
      </c>
      <c r="C64">
        <v>65</v>
      </c>
      <c r="D64">
        <v>62</v>
      </c>
      <c r="E64">
        <v>57</v>
      </c>
      <c r="F64">
        <v>56</v>
      </c>
      <c r="G64">
        <v>52</v>
      </c>
      <c r="H64">
        <v>51</v>
      </c>
      <c r="I64">
        <v>49</v>
      </c>
      <c r="J64">
        <v>55</v>
      </c>
      <c r="K64">
        <v>59</v>
      </c>
      <c r="L64">
        <v>55</v>
      </c>
      <c r="M64">
        <v>54</v>
      </c>
      <c r="N64">
        <v>66</v>
      </c>
      <c r="O64" s="173">
        <f t="shared" ref="O64:O81" si="11">SUM(C64:N64)/12</f>
        <v>56.75</v>
      </c>
      <c r="P64" s="173"/>
    </row>
    <row r="65" spans="2:17" x14ac:dyDescent="0.2">
      <c r="B65" t="s">
        <v>435</v>
      </c>
      <c r="C65">
        <v>67</v>
      </c>
      <c r="D65">
        <v>72</v>
      </c>
      <c r="E65">
        <v>72</v>
      </c>
      <c r="F65">
        <v>73</v>
      </c>
      <c r="G65">
        <v>71</v>
      </c>
      <c r="H65">
        <v>74</v>
      </c>
      <c r="I65">
        <v>74</v>
      </c>
      <c r="J65">
        <v>74</v>
      </c>
      <c r="K65">
        <v>70</v>
      </c>
      <c r="L65">
        <v>66</v>
      </c>
      <c r="M65">
        <v>62</v>
      </c>
      <c r="N65">
        <v>63</v>
      </c>
      <c r="O65" s="173">
        <f t="shared" si="11"/>
        <v>69.833333333333329</v>
      </c>
      <c r="P65" s="173">
        <f t="shared" ref="P65:P78" si="12">SUM(O65-O64)</f>
        <v>13.083333333333329</v>
      </c>
      <c r="Q65" s="177">
        <f t="shared" ref="Q65:Q78" si="13">SUM(P65/O64)</f>
        <v>0.23054331864904543</v>
      </c>
    </row>
    <row r="66" spans="2:17" x14ac:dyDescent="0.2">
      <c r="B66" t="s">
        <v>436</v>
      </c>
      <c r="C66">
        <v>68</v>
      </c>
      <c r="D66">
        <v>75</v>
      </c>
      <c r="E66">
        <v>74</v>
      </c>
      <c r="F66">
        <v>79</v>
      </c>
      <c r="G66">
        <v>75</v>
      </c>
      <c r="H66">
        <v>74</v>
      </c>
      <c r="I66">
        <v>64</v>
      </c>
      <c r="J66">
        <v>75</v>
      </c>
      <c r="K66">
        <v>76</v>
      </c>
      <c r="L66">
        <v>78</v>
      </c>
      <c r="M66">
        <v>79</v>
      </c>
      <c r="N66">
        <v>81</v>
      </c>
      <c r="O66" s="173">
        <f t="shared" si="11"/>
        <v>74.833333333333329</v>
      </c>
      <c r="P66" s="173">
        <f t="shared" si="12"/>
        <v>5</v>
      </c>
      <c r="Q66" s="177">
        <f t="shared" si="13"/>
        <v>7.1599045346062054E-2</v>
      </c>
    </row>
    <row r="67" spans="2:17" x14ac:dyDescent="0.2">
      <c r="B67" t="s">
        <v>260</v>
      </c>
      <c r="C67">
        <v>76</v>
      </c>
      <c r="D67">
        <v>79</v>
      </c>
      <c r="E67">
        <v>76</v>
      </c>
      <c r="F67">
        <v>74</v>
      </c>
      <c r="G67">
        <v>72</v>
      </c>
      <c r="H67">
        <v>70</v>
      </c>
      <c r="I67">
        <v>68</v>
      </c>
      <c r="J67">
        <v>59</v>
      </c>
      <c r="K67">
        <v>67</v>
      </c>
      <c r="L67">
        <v>66</v>
      </c>
      <c r="M67">
        <v>67</v>
      </c>
      <c r="N67">
        <v>64</v>
      </c>
      <c r="O67" s="173">
        <f t="shared" si="11"/>
        <v>69.833333333333329</v>
      </c>
      <c r="P67" s="173">
        <f t="shared" si="12"/>
        <v>-5</v>
      </c>
      <c r="Q67" s="177">
        <f t="shared" si="13"/>
        <v>-6.6815144766147E-2</v>
      </c>
    </row>
    <row r="68" spans="2:17" x14ac:dyDescent="0.2">
      <c r="B68" t="s">
        <v>259</v>
      </c>
      <c r="C68">
        <v>67</v>
      </c>
      <c r="D68">
        <v>57</v>
      </c>
      <c r="E68">
        <v>57</v>
      </c>
      <c r="F68">
        <v>58</v>
      </c>
      <c r="G68">
        <v>57</v>
      </c>
      <c r="H68">
        <v>60</v>
      </c>
      <c r="I68">
        <v>55</v>
      </c>
      <c r="J68">
        <v>55</v>
      </c>
      <c r="K68">
        <v>64</v>
      </c>
      <c r="L68">
        <v>61</v>
      </c>
      <c r="M68">
        <v>68</v>
      </c>
      <c r="N68">
        <v>67</v>
      </c>
      <c r="O68" s="173">
        <f t="shared" si="11"/>
        <v>60.5</v>
      </c>
      <c r="P68" s="173">
        <f t="shared" si="12"/>
        <v>-9.3333333333333286</v>
      </c>
      <c r="Q68" s="177">
        <f t="shared" si="13"/>
        <v>-0.13365155131264911</v>
      </c>
    </row>
    <row r="69" spans="2:17" x14ac:dyDescent="0.2">
      <c r="B69" t="s">
        <v>280</v>
      </c>
      <c r="C69">
        <v>71</v>
      </c>
      <c r="D69">
        <v>62</v>
      </c>
      <c r="E69">
        <v>61</v>
      </c>
      <c r="F69">
        <v>59</v>
      </c>
      <c r="G69">
        <v>54</v>
      </c>
      <c r="H69">
        <v>56</v>
      </c>
      <c r="I69">
        <v>56</v>
      </c>
      <c r="J69">
        <v>58</v>
      </c>
      <c r="K69">
        <v>60</v>
      </c>
      <c r="L69">
        <v>65</v>
      </c>
      <c r="M69">
        <v>72</v>
      </c>
      <c r="N69">
        <v>75</v>
      </c>
      <c r="O69" s="173">
        <f t="shared" si="11"/>
        <v>62.416666666666664</v>
      </c>
      <c r="P69" s="173">
        <f t="shared" si="12"/>
        <v>1.9166666666666643</v>
      </c>
      <c r="Q69" s="177">
        <f t="shared" si="13"/>
        <v>3.1680440771349822E-2</v>
      </c>
    </row>
    <row r="70" spans="2:17" x14ac:dyDescent="0.2">
      <c r="B70" t="s">
        <v>290</v>
      </c>
      <c r="C70">
        <v>76</v>
      </c>
      <c r="D70">
        <v>73</v>
      </c>
      <c r="E70">
        <v>67</v>
      </c>
      <c r="F70">
        <v>66</v>
      </c>
      <c r="G70">
        <v>66</v>
      </c>
      <c r="H70">
        <v>68</v>
      </c>
      <c r="I70">
        <v>69</v>
      </c>
      <c r="J70">
        <v>72</v>
      </c>
      <c r="K70">
        <v>69</v>
      </c>
      <c r="L70">
        <v>75</v>
      </c>
      <c r="M70">
        <v>73</v>
      </c>
      <c r="N70">
        <v>74</v>
      </c>
      <c r="O70" s="173">
        <f t="shared" si="11"/>
        <v>70.666666666666671</v>
      </c>
      <c r="P70" s="173">
        <f t="shared" si="12"/>
        <v>8.2500000000000071</v>
      </c>
      <c r="Q70" s="177">
        <f t="shared" si="13"/>
        <v>0.13217623497997341</v>
      </c>
    </row>
    <row r="71" spans="2:17" x14ac:dyDescent="0.2">
      <c r="B71" t="s">
        <v>293</v>
      </c>
      <c r="C71">
        <v>72</v>
      </c>
      <c r="D71">
        <v>72</v>
      </c>
      <c r="E71">
        <v>71</v>
      </c>
      <c r="F71">
        <v>73</v>
      </c>
      <c r="G71">
        <v>77</v>
      </c>
      <c r="H71">
        <v>76</v>
      </c>
      <c r="I71">
        <v>76</v>
      </c>
      <c r="J71">
        <v>78</v>
      </c>
      <c r="K71">
        <v>74</v>
      </c>
      <c r="L71">
        <v>88</v>
      </c>
      <c r="M71">
        <v>92</v>
      </c>
      <c r="N71">
        <v>76</v>
      </c>
      <c r="O71" s="173">
        <f t="shared" si="11"/>
        <v>77.083333333333329</v>
      </c>
      <c r="P71" s="173">
        <f t="shared" si="12"/>
        <v>6.4166666666666572</v>
      </c>
      <c r="Q71" s="177">
        <f t="shared" si="13"/>
        <v>9.0801886792452685E-2</v>
      </c>
    </row>
    <row r="72" spans="2:17" x14ac:dyDescent="0.2">
      <c r="B72" t="s">
        <v>294</v>
      </c>
      <c r="C72">
        <v>76</v>
      </c>
      <c r="D72">
        <v>79</v>
      </c>
      <c r="E72">
        <v>94</v>
      </c>
      <c r="F72">
        <v>75</v>
      </c>
      <c r="G72">
        <v>79</v>
      </c>
      <c r="H72">
        <v>77</v>
      </c>
      <c r="I72">
        <v>83</v>
      </c>
      <c r="J72">
        <v>83</v>
      </c>
      <c r="K72">
        <v>86</v>
      </c>
      <c r="L72">
        <v>85</v>
      </c>
      <c r="M72">
        <v>82</v>
      </c>
      <c r="N72">
        <v>89</v>
      </c>
      <c r="O72" s="173">
        <f t="shared" si="11"/>
        <v>82.333333333333329</v>
      </c>
      <c r="P72" s="173">
        <f t="shared" si="12"/>
        <v>5.25</v>
      </c>
      <c r="Q72" s="177">
        <f t="shared" si="13"/>
        <v>6.8108108108108106E-2</v>
      </c>
    </row>
    <row r="73" spans="2:17" x14ac:dyDescent="0.2">
      <c r="B73" t="s">
        <v>295</v>
      </c>
      <c r="C73">
        <v>92</v>
      </c>
      <c r="D73">
        <v>91</v>
      </c>
      <c r="E73">
        <v>95</v>
      </c>
      <c r="F73">
        <v>93</v>
      </c>
      <c r="G73">
        <v>96</v>
      </c>
      <c r="H73">
        <v>94</v>
      </c>
      <c r="I73">
        <v>91</v>
      </c>
      <c r="J73">
        <v>90</v>
      </c>
      <c r="K73">
        <v>91</v>
      </c>
      <c r="L73">
        <v>95</v>
      </c>
      <c r="M73">
        <v>96</v>
      </c>
      <c r="N73">
        <v>73</v>
      </c>
      <c r="O73" s="173">
        <f t="shared" si="11"/>
        <v>91.416666666666671</v>
      </c>
      <c r="P73" s="173">
        <f t="shared" si="12"/>
        <v>9.0833333333333428</v>
      </c>
      <c r="Q73" s="177">
        <f t="shared" si="13"/>
        <v>0.11032388663967624</v>
      </c>
    </row>
    <row r="74" spans="2:17" x14ac:dyDescent="0.2">
      <c r="B74" t="s">
        <v>335</v>
      </c>
      <c r="C74">
        <v>72</v>
      </c>
      <c r="D74">
        <v>72</v>
      </c>
      <c r="E74">
        <v>65</v>
      </c>
      <c r="F74">
        <v>62</v>
      </c>
      <c r="G74">
        <v>61</v>
      </c>
      <c r="H74">
        <v>65</v>
      </c>
      <c r="I74">
        <v>68</v>
      </c>
      <c r="J74">
        <v>70</v>
      </c>
      <c r="K74">
        <v>68</v>
      </c>
      <c r="L74">
        <v>70</v>
      </c>
      <c r="M74">
        <v>71</v>
      </c>
      <c r="N74">
        <v>73</v>
      </c>
      <c r="O74" s="173">
        <f t="shared" si="11"/>
        <v>68.083333333333329</v>
      </c>
      <c r="P74" s="173">
        <f t="shared" si="12"/>
        <v>-23.333333333333343</v>
      </c>
      <c r="Q74" s="177">
        <f t="shared" si="13"/>
        <v>-0.2552415679124887</v>
      </c>
    </row>
    <row r="75" spans="2:17" x14ac:dyDescent="0.2">
      <c r="B75" t="s">
        <v>358</v>
      </c>
      <c r="C75">
        <v>72</v>
      </c>
      <c r="D75">
        <v>70</v>
      </c>
      <c r="E75">
        <v>73</v>
      </c>
      <c r="F75">
        <v>77</v>
      </c>
      <c r="G75">
        <v>74</v>
      </c>
      <c r="H75">
        <v>74</v>
      </c>
      <c r="I75">
        <v>76</v>
      </c>
      <c r="J75">
        <v>75</v>
      </c>
      <c r="K75">
        <v>77</v>
      </c>
      <c r="L75">
        <v>82</v>
      </c>
      <c r="M75">
        <v>85</v>
      </c>
      <c r="N75">
        <v>88</v>
      </c>
      <c r="O75" s="173">
        <f t="shared" si="11"/>
        <v>76.916666666666671</v>
      </c>
      <c r="P75" s="173">
        <f t="shared" si="12"/>
        <v>8.8333333333333428</v>
      </c>
      <c r="Q75" s="177">
        <f t="shared" si="13"/>
        <v>0.1297429620563037</v>
      </c>
    </row>
    <row r="76" spans="2:17" x14ac:dyDescent="0.2">
      <c r="B76" t="s">
        <v>437</v>
      </c>
      <c r="C76">
        <v>88</v>
      </c>
      <c r="D76">
        <v>84</v>
      </c>
      <c r="E76">
        <v>81</v>
      </c>
      <c r="F76">
        <v>81</v>
      </c>
      <c r="G76">
        <v>79</v>
      </c>
      <c r="H76">
        <v>79</v>
      </c>
      <c r="I76">
        <v>77</v>
      </c>
      <c r="J76">
        <v>82</v>
      </c>
      <c r="K76">
        <v>80</v>
      </c>
      <c r="L76">
        <v>73</v>
      </c>
      <c r="M76">
        <v>76</v>
      </c>
      <c r="N76">
        <v>76</v>
      </c>
      <c r="O76" s="173">
        <f t="shared" si="11"/>
        <v>79.666666666666671</v>
      </c>
      <c r="P76" s="173">
        <f t="shared" si="12"/>
        <v>2.75</v>
      </c>
      <c r="Q76" s="177">
        <f t="shared" si="13"/>
        <v>3.5752979414951244E-2</v>
      </c>
    </row>
    <row r="77" spans="2:17" x14ac:dyDescent="0.2">
      <c r="B77" t="s">
        <v>471</v>
      </c>
      <c r="C77">
        <v>75</v>
      </c>
      <c r="D77">
        <v>77</v>
      </c>
      <c r="E77">
        <v>75</v>
      </c>
      <c r="F77">
        <v>75</v>
      </c>
      <c r="G77">
        <v>79</v>
      </c>
      <c r="H77">
        <v>74</v>
      </c>
      <c r="I77">
        <v>75</v>
      </c>
      <c r="J77">
        <v>77</v>
      </c>
      <c r="K77">
        <v>74</v>
      </c>
      <c r="L77">
        <v>70</v>
      </c>
      <c r="M77">
        <v>70</v>
      </c>
      <c r="N77">
        <v>72</v>
      </c>
      <c r="O77" s="173">
        <f t="shared" si="11"/>
        <v>74.416666666666671</v>
      </c>
      <c r="P77" s="173">
        <f t="shared" si="12"/>
        <v>-5.25</v>
      </c>
      <c r="Q77" s="177">
        <f t="shared" si="13"/>
        <v>-6.5899581589958151E-2</v>
      </c>
    </row>
    <row r="78" spans="2:17" x14ac:dyDescent="0.2">
      <c r="B78" t="s">
        <v>537</v>
      </c>
      <c r="C78">
        <v>74</v>
      </c>
      <c r="D78">
        <v>71</v>
      </c>
      <c r="E78">
        <v>73</v>
      </c>
      <c r="F78">
        <v>76</v>
      </c>
      <c r="G78">
        <v>72</v>
      </c>
      <c r="H78">
        <v>70</v>
      </c>
      <c r="I78">
        <v>73</v>
      </c>
      <c r="J78">
        <v>73</v>
      </c>
      <c r="K78">
        <v>72</v>
      </c>
      <c r="L78">
        <v>73</v>
      </c>
      <c r="M78">
        <v>76</v>
      </c>
      <c r="N78">
        <v>77</v>
      </c>
      <c r="O78" s="173">
        <f t="shared" si="11"/>
        <v>73.333333333333329</v>
      </c>
      <c r="P78" s="173">
        <f t="shared" si="12"/>
        <v>-1.0833333333333428</v>
      </c>
      <c r="Q78" s="177">
        <f t="shared" si="13"/>
        <v>-1.4557670772676497E-2</v>
      </c>
    </row>
    <row r="79" spans="2:17" x14ac:dyDescent="0.2">
      <c r="B79" t="s">
        <v>628</v>
      </c>
      <c r="C79">
        <v>71</v>
      </c>
      <c r="D79">
        <v>70</v>
      </c>
      <c r="E79">
        <v>68</v>
      </c>
      <c r="F79">
        <v>71</v>
      </c>
      <c r="G79">
        <v>69</v>
      </c>
      <c r="H79">
        <v>69</v>
      </c>
      <c r="I79">
        <v>67</v>
      </c>
      <c r="J79">
        <v>70</v>
      </c>
      <c r="K79">
        <v>69</v>
      </c>
      <c r="L79">
        <v>69</v>
      </c>
      <c r="M79">
        <v>69</v>
      </c>
      <c r="N79">
        <v>65</v>
      </c>
      <c r="O79" s="173">
        <f t="shared" si="11"/>
        <v>68.916666666666671</v>
      </c>
      <c r="P79" s="173">
        <f>SUM(O79-O78)</f>
        <v>-4.4166666666666572</v>
      </c>
      <c r="Q79" s="177">
        <f>SUM(P79/O78)</f>
        <v>-6.0227272727272602E-2</v>
      </c>
    </row>
    <row r="80" spans="2:17" x14ac:dyDescent="0.2">
      <c r="B80" t="s">
        <v>629</v>
      </c>
      <c r="C80">
        <v>69</v>
      </c>
      <c r="D80">
        <v>66</v>
      </c>
      <c r="E80">
        <v>63</v>
      </c>
      <c r="F80">
        <v>62</v>
      </c>
      <c r="G80">
        <v>65</v>
      </c>
      <c r="H80">
        <v>62</v>
      </c>
      <c r="I80">
        <v>64</v>
      </c>
      <c r="J80">
        <v>63</v>
      </c>
      <c r="K80">
        <v>57</v>
      </c>
      <c r="L80">
        <v>57</v>
      </c>
      <c r="M80">
        <v>57</v>
      </c>
      <c r="N80">
        <v>58</v>
      </c>
      <c r="O80" s="173">
        <f t="shared" si="11"/>
        <v>61.916666666666664</v>
      </c>
      <c r="P80" s="173">
        <f>SUM(O80-O79)</f>
        <v>-7.0000000000000071</v>
      </c>
      <c r="Q80" s="177">
        <f>SUM(P80/O79)</f>
        <v>-0.10157194679564702</v>
      </c>
    </row>
    <row r="81" spans="1:17" x14ac:dyDescent="0.2">
      <c r="B81" t="s">
        <v>983</v>
      </c>
      <c r="C81">
        <v>52</v>
      </c>
      <c r="D81">
        <v>53</v>
      </c>
      <c r="E81">
        <v>56</v>
      </c>
      <c r="F81">
        <v>51</v>
      </c>
      <c r="G81">
        <v>48</v>
      </c>
      <c r="H81">
        <v>50</v>
      </c>
      <c r="I81">
        <v>51</v>
      </c>
      <c r="J81">
        <v>48</v>
      </c>
      <c r="K81">
        <v>50</v>
      </c>
      <c r="L81">
        <v>52</v>
      </c>
      <c r="M81">
        <v>53</v>
      </c>
      <c r="N81">
        <v>53</v>
      </c>
      <c r="O81" s="173">
        <f t="shared" si="11"/>
        <v>51.416666666666664</v>
      </c>
      <c r="P81" s="173">
        <f>SUM(O81-O80)</f>
        <v>-10.5</v>
      </c>
      <c r="Q81" s="177">
        <f>SUM(P81/O80)</f>
        <v>-0.1695827725437416</v>
      </c>
    </row>
    <row r="82" spans="1:17" x14ac:dyDescent="0.2">
      <c r="B82" t="s">
        <v>984</v>
      </c>
      <c r="C82">
        <v>47</v>
      </c>
      <c r="D82">
        <v>47</v>
      </c>
      <c r="O82" s="173"/>
      <c r="P82" s="173"/>
      <c r="Q82" s="177"/>
    </row>
    <row r="83" spans="1:17" x14ac:dyDescent="0.2">
      <c r="A83" s="531"/>
      <c r="B83" s="531"/>
      <c r="C83" s="531"/>
      <c r="D83" s="531"/>
      <c r="E83" s="531"/>
      <c r="F83" s="531"/>
      <c r="G83" s="531"/>
      <c r="H83" s="531"/>
      <c r="I83" s="531"/>
      <c r="J83" s="531"/>
      <c r="K83" s="531"/>
      <c r="L83" s="531"/>
      <c r="M83" s="531"/>
      <c r="N83" s="531"/>
      <c r="O83" s="531"/>
      <c r="P83" s="531"/>
      <c r="Q83" s="531"/>
    </row>
    <row r="84" spans="1:17" ht="25.5" x14ac:dyDescent="0.2">
      <c r="A84" s="175" t="s">
        <v>442</v>
      </c>
      <c r="B84" s="176" t="s">
        <v>418</v>
      </c>
      <c r="C84" s="179" t="s">
        <v>419</v>
      </c>
      <c r="D84" s="179" t="s">
        <v>420</v>
      </c>
      <c r="E84" s="179" t="s">
        <v>421</v>
      </c>
      <c r="F84" s="179" t="s">
        <v>422</v>
      </c>
      <c r="G84" s="179" t="s">
        <v>423</v>
      </c>
      <c r="H84" s="179" t="s">
        <v>424</v>
      </c>
      <c r="I84" s="179" t="s">
        <v>425</v>
      </c>
      <c r="J84" s="179" t="s">
        <v>426</v>
      </c>
      <c r="K84" s="179" t="s">
        <v>427</v>
      </c>
      <c r="L84" s="179" t="s">
        <v>428</v>
      </c>
      <c r="M84" s="179" t="s">
        <v>429</v>
      </c>
      <c r="N84" s="179" t="s">
        <v>430</v>
      </c>
    </row>
    <row r="85" spans="1:17" x14ac:dyDescent="0.2">
      <c r="B85" t="s">
        <v>434</v>
      </c>
      <c r="C85">
        <v>683</v>
      </c>
      <c r="D85">
        <v>675</v>
      </c>
      <c r="E85">
        <v>696</v>
      </c>
      <c r="F85">
        <v>659</v>
      </c>
      <c r="G85">
        <v>661</v>
      </c>
      <c r="H85">
        <v>650</v>
      </c>
      <c r="I85">
        <v>666</v>
      </c>
      <c r="J85">
        <v>688</v>
      </c>
      <c r="K85">
        <v>667</v>
      </c>
      <c r="L85">
        <v>670</v>
      </c>
      <c r="M85">
        <v>639</v>
      </c>
      <c r="N85">
        <v>653</v>
      </c>
      <c r="O85" s="173">
        <f t="shared" ref="O85:O102" si="14">SUM(C85:N85)/12</f>
        <v>667.25</v>
      </c>
      <c r="P85" s="173"/>
    </row>
    <row r="86" spans="1:17" x14ac:dyDescent="0.2">
      <c r="B86" t="s">
        <v>435</v>
      </c>
      <c r="C86">
        <v>624</v>
      </c>
      <c r="D86">
        <v>643</v>
      </c>
      <c r="E86">
        <v>636</v>
      </c>
      <c r="F86">
        <v>670</v>
      </c>
      <c r="G86">
        <v>642</v>
      </c>
      <c r="H86">
        <v>655</v>
      </c>
      <c r="I86">
        <v>650</v>
      </c>
      <c r="J86">
        <v>660</v>
      </c>
      <c r="K86">
        <v>644</v>
      </c>
      <c r="L86">
        <v>672</v>
      </c>
      <c r="M86">
        <v>658</v>
      </c>
      <c r="N86">
        <v>659</v>
      </c>
      <c r="O86" s="173">
        <f t="shared" si="14"/>
        <v>651.08333333333337</v>
      </c>
      <c r="P86" s="173">
        <f t="shared" ref="P86:P99" si="15">SUM(O86-O85)</f>
        <v>-16.166666666666629</v>
      </c>
      <c r="Q86" s="177">
        <f t="shared" ref="Q86:Q99" si="16">SUM(P86/O85)</f>
        <v>-2.422879980017479E-2</v>
      </c>
    </row>
    <row r="87" spans="1:17" x14ac:dyDescent="0.2">
      <c r="B87" t="s">
        <v>436</v>
      </c>
      <c r="C87">
        <v>661</v>
      </c>
      <c r="D87">
        <v>673</v>
      </c>
      <c r="E87">
        <v>672</v>
      </c>
      <c r="F87">
        <v>632</v>
      </c>
      <c r="G87">
        <v>611</v>
      </c>
      <c r="H87">
        <v>620</v>
      </c>
      <c r="I87">
        <v>633</v>
      </c>
      <c r="J87">
        <v>653</v>
      </c>
      <c r="K87">
        <v>659</v>
      </c>
      <c r="L87">
        <v>665</v>
      </c>
      <c r="M87">
        <v>671</v>
      </c>
      <c r="N87">
        <v>677</v>
      </c>
      <c r="O87" s="173">
        <f t="shared" si="14"/>
        <v>652.25</v>
      </c>
      <c r="P87" s="173">
        <f t="shared" si="15"/>
        <v>1.1666666666666288</v>
      </c>
      <c r="Q87" s="177">
        <f t="shared" si="16"/>
        <v>1.7918853193395041E-3</v>
      </c>
    </row>
    <row r="88" spans="1:17" x14ac:dyDescent="0.2">
      <c r="B88" t="s">
        <v>260</v>
      </c>
      <c r="C88">
        <v>561</v>
      </c>
      <c r="D88">
        <v>574</v>
      </c>
      <c r="E88">
        <v>593</v>
      </c>
      <c r="F88">
        <v>589</v>
      </c>
      <c r="G88">
        <v>589</v>
      </c>
      <c r="H88">
        <v>589</v>
      </c>
      <c r="I88">
        <v>589</v>
      </c>
      <c r="J88">
        <v>589</v>
      </c>
      <c r="K88">
        <v>589</v>
      </c>
      <c r="L88">
        <v>589</v>
      </c>
      <c r="M88">
        <v>589</v>
      </c>
      <c r="N88">
        <v>623</v>
      </c>
      <c r="O88" s="173">
        <f t="shared" si="14"/>
        <v>588.58333333333337</v>
      </c>
      <c r="P88" s="173">
        <f t="shared" si="15"/>
        <v>-63.666666666666629</v>
      </c>
      <c r="Q88" s="177">
        <f t="shared" si="16"/>
        <v>-9.7610834291554816E-2</v>
      </c>
    </row>
    <row r="89" spans="1:17" x14ac:dyDescent="0.2">
      <c r="B89" t="s">
        <v>259</v>
      </c>
      <c r="C89">
        <v>585</v>
      </c>
      <c r="D89">
        <v>542</v>
      </c>
      <c r="E89">
        <v>535</v>
      </c>
      <c r="F89">
        <v>545</v>
      </c>
      <c r="G89">
        <v>547</v>
      </c>
      <c r="H89">
        <v>584</v>
      </c>
      <c r="I89">
        <v>608</v>
      </c>
      <c r="J89">
        <v>604</v>
      </c>
      <c r="K89">
        <v>592</v>
      </c>
      <c r="L89">
        <v>599</v>
      </c>
      <c r="M89">
        <v>628</v>
      </c>
      <c r="N89">
        <v>595</v>
      </c>
      <c r="O89" s="173">
        <f t="shared" si="14"/>
        <v>580.33333333333337</v>
      </c>
      <c r="P89" s="173">
        <f t="shared" si="15"/>
        <v>-8.25</v>
      </c>
      <c r="Q89" s="177">
        <f t="shared" si="16"/>
        <v>-1.4016706781820756E-2</v>
      </c>
    </row>
    <row r="90" spans="1:17" x14ac:dyDescent="0.2">
      <c r="B90" t="s">
        <v>280</v>
      </c>
      <c r="C90">
        <v>601</v>
      </c>
      <c r="D90">
        <v>626</v>
      </c>
      <c r="E90">
        <v>662</v>
      </c>
      <c r="F90">
        <v>646</v>
      </c>
      <c r="G90">
        <v>635</v>
      </c>
      <c r="H90">
        <v>634</v>
      </c>
      <c r="I90">
        <v>628</v>
      </c>
      <c r="J90">
        <v>656</v>
      </c>
      <c r="K90">
        <v>666</v>
      </c>
      <c r="L90">
        <v>657</v>
      </c>
      <c r="M90">
        <v>576</v>
      </c>
      <c r="N90">
        <v>650</v>
      </c>
      <c r="O90" s="173">
        <f t="shared" si="14"/>
        <v>636.41666666666663</v>
      </c>
      <c r="P90" s="173">
        <f t="shared" si="15"/>
        <v>56.083333333333258</v>
      </c>
      <c r="Q90" s="177">
        <f t="shared" si="16"/>
        <v>9.6639862148190564E-2</v>
      </c>
    </row>
    <row r="91" spans="1:17" x14ac:dyDescent="0.2">
      <c r="B91" t="s">
        <v>290</v>
      </c>
      <c r="C91">
        <v>648</v>
      </c>
      <c r="D91">
        <v>660</v>
      </c>
      <c r="E91">
        <v>652</v>
      </c>
      <c r="F91">
        <v>651</v>
      </c>
      <c r="G91">
        <v>646</v>
      </c>
      <c r="H91">
        <v>659</v>
      </c>
      <c r="I91">
        <v>646</v>
      </c>
      <c r="J91">
        <v>702</v>
      </c>
      <c r="K91">
        <v>699</v>
      </c>
      <c r="L91">
        <v>703</v>
      </c>
      <c r="M91">
        <v>711</v>
      </c>
      <c r="N91">
        <v>718</v>
      </c>
      <c r="O91" s="173">
        <f t="shared" si="14"/>
        <v>674.58333333333337</v>
      </c>
      <c r="P91" s="173">
        <f t="shared" si="15"/>
        <v>38.166666666666742</v>
      </c>
      <c r="Q91" s="177">
        <f t="shared" si="16"/>
        <v>5.99711928767842E-2</v>
      </c>
    </row>
    <row r="92" spans="1:17" x14ac:dyDescent="0.2">
      <c r="B92" t="s">
        <v>293</v>
      </c>
      <c r="C92">
        <v>731</v>
      </c>
      <c r="D92">
        <v>726</v>
      </c>
      <c r="E92">
        <v>720</v>
      </c>
      <c r="F92">
        <v>696</v>
      </c>
      <c r="G92">
        <v>731</v>
      </c>
      <c r="H92">
        <v>721</v>
      </c>
      <c r="I92">
        <v>713</v>
      </c>
      <c r="J92">
        <v>701</v>
      </c>
      <c r="K92">
        <v>691</v>
      </c>
      <c r="L92">
        <v>789</v>
      </c>
      <c r="M92">
        <v>764</v>
      </c>
      <c r="N92">
        <v>691</v>
      </c>
      <c r="O92" s="173">
        <f t="shared" si="14"/>
        <v>722.83333333333337</v>
      </c>
      <c r="P92" s="173">
        <f t="shared" si="15"/>
        <v>48.25</v>
      </c>
      <c r="Q92" s="177">
        <f t="shared" si="16"/>
        <v>7.1525633106856085E-2</v>
      </c>
    </row>
    <row r="93" spans="1:17" x14ac:dyDescent="0.2">
      <c r="B93" t="s">
        <v>294</v>
      </c>
      <c r="C93">
        <v>684</v>
      </c>
      <c r="D93">
        <v>691</v>
      </c>
      <c r="E93">
        <v>716</v>
      </c>
      <c r="F93">
        <v>676</v>
      </c>
      <c r="G93">
        <v>671</v>
      </c>
      <c r="H93">
        <v>676</v>
      </c>
      <c r="I93">
        <v>674</v>
      </c>
      <c r="J93">
        <v>667</v>
      </c>
      <c r="K93">
        <v>669</v>
      </c>
      <c r="L93">
        <v>676</v>
      </c>
      <c r="M93">
        <v>714</v>
      </c>
      <c r="N93">
        <v>718</v>
      </c>
      <c r="O93" s="173">
        <f t="shared" si="14"/>
        <v>686</v>
      </c>
      <c r="P93" s="173">
        <f t="shared" si="15"/>
        <v>-36.833333333333371</v>
      </c>
      <c r="Q93" s="177">
        <f t="shared" si="16"/>
        <v>-5.095688263776809E-2</v>
      </c>
    </row>
    <row r="94" spans="1:17" x14ac:dyDescent="0.2">
      <c r="B94" t="s">
        <v>295</v>
      </c>
      <c r="C94">
        <v>681</v>
      </c>
      <c r="D94">
        <v>689</v>
      </c>
      <c r="E94">
        <v>680</v>
      </c>
      <c r="F94">
        <v>661</v>
      </c>
      <c r="G94">
        <v>661</v>
      </c>
      <c r="H94">
        <v>678</v>
      </c>
      <c r="I94">
        <v>672</v>
      </c>
      <c r="J94">
        <v>687</v>
      </c>
      <c r="K94">
        <v>677</v>
      </c>
      <c r="L94">
        <v>674</v>
      </c>
      <c r="M94">
        <v>674</v>
      </c>
      <c r="N94">
        <v>691</v>
      </c>
      <c r="O94" s="173">
        <f t="shared" si="14"/>
        <v>677.08333333333337</v>
      </c>
      <c r="P94" s="173">
        <f t="shared" si="15"/>
        <v>-8.9166666666666288</v>
      </c>
      <c r="Q94" s="177">
        <f t="shared" si="16"/>
        <v>-1.2998056365403248E-2</v>
      </c>
    </row>
    <row r="95" spans="1:17" x14ac:dyDescent="0.2">
      <c r="B95" t="s">
        <v>335</v>
      </c>
      <c r="C95">
        <v>685</v>
      </c>
      <c r="D95">
        <v>703</v>
      </c>
      <c r="E95">
        <v>697</v>
      </c>
      <c r="F95">
        <v>714</v>
      </c>
      <c r="G95">
        <v>713</v>
      </c>
      <c r="H95">
        <v>746</v>
      </c>
      <c r="I95">
        <v>722</v>
      </c>
      <c r="J95">
        <v>724</v>
      </c>
      <c r="K95">
        <v>728</v>
      </c>
      <c r="L95">
        <v>696</v>
      </c>
      <c r="M95">
        <v>695</v>
      </c>
      <c r="N95">
        <v>676</v>
      </c>
      <c r="O95" s="173">
        <f t="shared" si="14"/>
        <v>708.25</v>
      </c>
      <c r="P95" s="173">
        <f t="shared" si="15"/>
        <v>31.166666666666629</v>
      </c>
      <c r="Q95" s="177">
        <f t="shared" si="16"/>
        <v>4.6030769230769174E-2</v>
      </c>
    </row>
    <row r="96" spans="1:17" x14ac:dyDescent="0.2">
      <c r="B96" t="s">
        <v>358</v>
      </c>
      <c r="C96">
        <v>691</v>
      </c>
      <c r="D96">
        <v>666</v>
      </c>
      <c r="E96">
        <v>624</v>
      </c>
      <c r="F96">
        <v>670</v>
      </c>
      <c r="G96">
        <v>672</v>
      </c>
      <c r="H96">
        <v>675</v>
      </c>
      <c r="I96">
        <v>651</v>
      </c>
      <c r="J96">
        <v>642</v>
      </c>
      <c r="K96">
        <v>588</v>
      </c>
      <c r="L96">
        <v>663</v>
      </c>
      <c r="M96">
        <v>660</v>
      </c>
      <c r="N96">
        <v>646</v>
      </c>
      <c r="O96" s="173">
        <f t="shared" si="14"/>
        <v>654</v>
      </c>
      <c r="P96" s="173">
        <f t="shared" si="15"/>
        <v>-54.25</v>
      </c>
      <c r="Q96" s="177">
        <f t="shared" si="16"/>
        <v>-7.6597246734909988E-2</v>
      </c>
    </row>
    <row r="97" spans="1:17" x14ac:dyDescent="0.2">
      <c r="B97" t="s">
        <v>437</v>
      </c>
      <c r="C97">
        <v>652</v>
      </c>
      <c r="D97">
        <v>655</v>
      </c>
      <c r="E97">
        <v>667</v>
      </c>
      <c r="F97">
        <v>658</v>
      </c>
      <c r="G97">
        <v>671</v>
      </c>
      <c r="H97">
        <v>681</v>
      </c>
      <c r="I97">
        <v>677</v>
      </c>
      <c r="J97">
        <v>673</v>
      </c>
      <c r="K97">
        <v>663</v>
      </c>
      <c r="L97">
        <v>656</v>
      </c>
      <c r="M97">
        <v>662</v>
      </c>
      <c r="N97">
        <v>679</v>
      </c>
      <c r="O97" s="173">
        <f t="shared" si="14"/>
        <v>666.16666666666663</v>
      </c>
      <c r="P97" s="173">
        <f t="shared" si="15"/>
        <v>12.166666666666629</v>
      </c>
      <c r="Q97" s="177">
        <f t="shared" si="16"/>
        <v>1.8603465851172216E-2</v>
      </c>
    </row>
    <row r="98" spans="1:17" x14ac:dyDescent="0.2">
      <c r="B98" t="s">
        <v>471</v>
      </c>
      <c r="C98">
        <v>674</v>
      </c>
      <c r="D98">
        <v>675</v>
      </c>
      <c r="E98">
        <v>693</v>
      </c>
      <c r="F98">
        <v>708</v>
      </c>
      <c r="G98">
        <v>741</v>
      </c>
      <c r="H98">
        <v>687</v>
      </c>
      <c r="I98">
        <v>729</v>
      </c>
      <c r="J98">
        <v>690</v>
      </c>
      <c r="K98">
        <v>701</v>
      </c>
      <c r="L98">
        <v>693</v>
      </c>
      <c r="M98">
        <v>738</v>
      </c>
      <c r="N98">
        <v>729</v>
      </c>
      <c r="O98" s="173">
        <f t="shared" si="14"/>
        <v>704.83333333333337</v>
      </c>
      <c r="P98" s="173">
        <f t="shared" si="15"/>
        <v>38.666666666666742</v>
      </c>
      <c r="Q98" s="177">
        <f t="shared" si="16"/>
        <v>5.804353264948723E-2</v>
      </c>
    </row>
    <row r="99" spans="1:17" x14ac:dyDescent="0.2">
      <c r="B99" t="s">
        <v>537</v>
      </c>
      <c r="C99">
        <v>722</v>
      </c>
      <c r="D99">
        <v>713</v>
      </c>
      <c r="E99">
        <v>717</v>
      </c>
      <c r="F99">
        <v>696</v>
      </c>
      <c r="G99">
        <v>673</v>
      </c>
      <c r="H99">
        <v>688</v>
      </c>
      <c r="I99">
        <v>676</v>
      </c>
      <c r="J99">
        <v>681</v>
      </c>
      <c r="K99">
        <v>670</v>
      </c>
      <c r="L99">
        <v>672</v>
      </c>
      <c r="M99">
        <v>697</v>
      </c>
      <c r="N99">
        <v>744</v>
      </c>
      <c r="O99" s="173">
        <f t="shared" si="14"/>
        <v>695.75</v>
      </c>
      <c r="P99" s="173">
        <f t="shared" si="15"/>
        <v>-9.0833333333333712</v>
      </c>
      <c r="Q99" s="177">
        <f t="shared" si="16"/>
        <v>-1.2887207377630699E-2</v>
      </c>
    </row>
    <row r="100" spans="1:17" x14ac:dyDescent="0.2">
      <c r="B100" t="s">
        <v>628</v>
      </c>
      <c r="C100">
        <v>681</v>
      </c>
      <c r="D100">
        <v>668</v>
      </c>
      <c r="E100">
        <v>662</v>
      </c>
      <c r="F100">
        <v>638</v>
      </c>
      <c r="G100">
        <v>665</v>
      </c>
      <c r="H100">
        <v>654</v>
      </c>
      <c r="I100">
        <v>640</v>
      </c>
      <c r="J100">
        <v>628</v>
      </c>
      <c r="K100">
        <v>699</v>
      </c>
      <c r="L100">
        <v>611</v>
      </c>
      <c r="M100">
        <v>605</v>
      </c>
      <c r="N100">
        <v>589</v>
      </c>
      <c r="O100" s="173">
        <f t="shared" si="14"/>
        <v>645</v>
      </c>
      <c r="P100" s="173">
        <f>SUM(O100-O99)</f>
        <v>-50.75</v>
      </c>
      <c r="Q100" s="177">
        <f>SUM(P100/O99)</f>
        <v>-7.294286740927057E-2</v>
      </c>
    </row>
    <row r="101" spans="1:17" x14ac:dyDescent="0.2">
      <c r="B101" t="s">
        <v>629</v>
      </c>
      <c r="C101">
        <v>578</v>
      </c>
      <c r="D101">
        <v>579</v>
      </c>
      <c r="E101">
        <v>577</v>
      </c>
      <c r="F101">
        <v>568</v>
      </c>
      <c r="G101">
        <v>572</v>
      </c>
      <c r="H101">
        <v>550</v>
      </c>
      <c r="I101">
        <v>554</v>
      </c>
      <c r="J101">
        <v>550</v>
      </c>
      <c r="K101">
        <v>559</v>
      </c>
      <c r="L101">
        <v>576</v>
      </c>
      <c r="M101">
        <v>548</v>
      </c>
      <c r="N101">
        <v>537</v>
      </c>
      <c r="O101" s="173">
        <f t="shared" si="14"/>
        <v>562.33333333333337</v>
      </c>
      <c r="P101" s="173">
        <f>SUM(O101-O100)</f>
        <v>-82.666666666666629</v>
      </c>
      <c r="Q101" s="177">
        <f>SUM(P101/O100)</f>
        <v>-0.12816537467700254</v>
      </c>
    </row>
    <row r="102" spans="1:17" x14ac:dyDescent="0.2">
      <c r="B102" t="s">
        <v>983</v>
      </c>
      <c r="C102">
        <v>512</v>
      </c>
      <c r="D102">
        <v>549</v>
      </c>
      <c r="E102">
        <v>569</v>
      </c>
      <c r="F102">
        <v>581</v>
      </c>
      <c r="G102">
        <v>582</v>
      </c>
      <c r="H102">
        <v>541</v>
      </c>
      <c r="I102">
        <v>539</v>
      </c>
      <c r="J102">
        <v>533</v>
      </c>
      <c r="K102">
        <v>554</v>
      </c>
      <c r="L102">
        <v>553</v>
      </c>
      <c r="M102">
        <v>556</v>
      </c>
      <c r="N102">
        <v>563</v>
      </c>
      <c r="O102" s="173">
        <f t="shared" si="14"/>
        <v>552.66666666666663</v>
      </c>
      <c r="P102" s="173">
        <f>SUM(O102-O101)</f>
        <v>-9.6666666666667425</v>
      </c>
      <c r="Q102" s="177">
        <f>SUM(P102/O101)</f>
        <v>-1.7190278601067116E-2</v>
      </c>
    </row>
    <row r="103" spans="1:17" x14ac:dyDescent="0.2">
      <c r="B103" t="s">
        <v>984</v>
      </c>
      <c r="C103">
        <v>553</v>
      </c>
      <c r="D103">
        <v>524</v>
      </c>
      <c r="O103" s="173"/>
      <c r="P103" s="173"/>
      <c r="Q103" s="177"/>
    </row>
    <row r="104" spans="1:17" ht="25.5" x14ac:dyDescent="0.2">
      <c r="A104" s="175" t="s">
        <v>443</v>
      </c>
      <c r="B104" s="176" t="s">
        <v>418</v>
      </c>
      <c r="C104" s="179" t="s">
        <v>419</v>
      </c>
      <c r="D104" s="179" t="s">
        <v>420</v>
      </c>
      <c r="E104" s="179" t="s">
        <v>421</v>
      </c>
      <c r="F104" s="179" t="s">
        <v>422</v>
      </c>
      <c r="G104" s="179" t="s">
        <v>423</v>
      </c>
      <c r="H104" s="179" t="s">
        <v>424</v>
      </c>
      <c r="I104" s="179" t="s">
        <v>425</v>
      </c>
      <c r="J104" s="179" t="s">
        <v>426</v>
      </c>
      <c r="K104" s="179" t="s">
        <v>427</v>
      </c>
      <c r="L104" s="179" t="s">
        <v>428</v>
      </c>
      <c r="M104" s="179" t="s">
        <v>429</v>
      </c>
      <c r="N104" s="179" t="s">
        <v>430</v>
      </c>
    </row>
    <row r="105" spans="1:17" x14ac:dyDescent="0.2">
      <c r="B105" t="s">
        <v>434</v>
      </c>
      <c r="C105">
        <v>227</v>
      </c>
      <c r="D105">
        <v>238</v>
      </c>
      <c r="E105">
        <v>241</v>
      </c>
      <c r="F105">
        <v>237</v>
      </c>
      <c r="G105">
        <v>237</v>
      </c>
      <c r="H105">
        <v>245</v>
      </c>
      <c r="I105">
        <v>239</v>
      </c>
      <c r="J105">
        <v>232</v>
      </c>
      <c r="K105">
        <v>228</v>
      </c>
      <c r="L105">
        <v>226</v>
      </c>
      <c r="M105">
        <v>226</v>
      </c>
      <c r="N105">
        <v>238</v>
      </c>
      <c r="O105" s="173">
        <f t="shared" ref="O105:O122" si="17">SUM(C105:N105)/12</f>
        <v>234.5</v>
      </c>
      <c r="P105" s="173"/>
    </row>
    <row r="106" spans="1:17" x14ac:dyDescent="0.2">
      <c r="B106" t="s">
        <v>435</v>
      </c>
      <c r="C106">
        <v>227</v>
      </c>
      <c r="D106">
        <v>234</v>
      </c>
      <c r="E106">
        <v>235</v>
      </c>
      <c r="F106">
        <v>220</v>
      </c>
      <c r="G106">
        <v>231</v>
      </c>
      <c r="H106">
        <v>222</v>
      </c>
      <c r="I106">
        <v>209</v>
      </c>
      <c r="J106">
        <v>216</v>
      </c>
      <c r="K106">
        <v>219</v>
      </c>
      <c r="L106">
        <v>212</v>
      </c>
      <c r="M106">
        <v>211</v>
      </c>
      <c r="N106">
        <v>211</v>
      </c>
      <c r="O106" s="173">
        <f t="shared" si="17"/>
        <v>220.58333333333334</v>
      </c>
      <c r="P106" s="173">
        <f t="shared" ref="P106:P119" si="18">SUM(O106-O105)</f>
        <v>-13.916666666666657</v>
      </c>
      <c r="Q106" s="177">
        <f t="shared" ref="Q106:Q119" si="19">SUM(P106/O105)</f>
        <v>-5.9346126510305575E-2</v>
      </c>
    </row>
    <row r="107" spans="1:17" x14ac:dyDescent="0.2">
      <c r="B107" t="s">
        <v>436</v>
      </c>
      <c r="C107">
        <v>210</v>
      </c>
      <c r="D107">
        <v>212</v>
      </c>
      <c r="E107">
        <v>205</v>
      </c>
      <c r="F107">
        <v>205</v>
      </c>
      <c r="G107">
        <v>220</v>
      </c>
      <c r="H107">
        <v>221</v>
      </c>
      <c r="I107">
        <v>223</v>
      </c>
      <c r="J107">
        <v>227</v>
      </c>
      <c r="K107">
        <v>230</v>
      </c>
      <c r="L107">
        <v>204</v>
      </c>
      <c r="M107">
        <v>178</v>
      </c>
      <c r="N107">
        <v>152</v>
      </c>
      <c r="O107" s="173">
        <f t="shared" si="17"/>
        <v>207.25</v>
      </c>
      <c r="P107" s="173">
        <f t="shared" si="18"/>
        <v>-13.333333333333343</v>
      </c>
      <c r="Q107" s="177">
        <f t="shared" si="19"/>
        <v>-6.0445787684170797E-2</v>
      </c>
    </row>
    <row r="108" spans="1:17" x14ac:dyDescent="0.2">
      <c r="B108" t="s">
        <v>260</v>
      </c>
      <c r="C108">
        <v>257</v>
      </c>
      <c r="D108">
        <v>269</v>
      </c>
      <c r="E108">
        <v>265</v>
      </c>
      <c r="F108">
        <v>244</v>
      </c>
      <c r="G108">
        <v>244</v>
      </c>
      <c r="H108">
        <v>244</v>
      </c>
      <c r="I108">
        <v>244</v>
      </c>
      <c r="J108">
        <v>244</v>
      </c>
      <c r="K108">
        <v>244</v>
      </c>
      <c r="L108">
        <v>244</v>
      </c>
      <c r="M108">
        <v>244</v>
      </c>
      <c r="N108">
        <v>244</v>
      </c>
      <c r="O108" s="173">
        <f t="shared" si="17"/>
        <v>248.91666666666666</v>
      </c>
      <c r="P108" s="173">
        <f t="shared" si="18"/>
        <v>41.666666666666657</v>
      </c>
      <c r="Q108" s="177">
        <f t="shared" si="19"/>
        <v>0.20104543626859667</v>
      </c>
    </row>
    <row r="109" spans="1:17" x14ac:dyDescent="0.2">
      <c r="B109" t="s">
        <v>259</v>
      </c>
      <c r="C109">
        <v>239</v>
      </c>
      <c r="D109">
        <v>224</v>
      </c>
      <c r="E109">
        <v>226</v>
      </c>
      <c r="F109">
        <v>219</v>
      </c>
      <c r="G109">
        <v>227</v>
      </c>
      <c r="H109">
        <v>220</v>
      </c>
      <c r="I109">
        <v>214</v>
      </c>
      <c r="J109">
        <v>214</v>
      </c>
      <c r="K109">
        <v>205</v>
      </c>
      <c r="L109">
        <v>216</v>
      </c>
      <c r="M109">
        <v>210</v>
      </c>
      <c r="N109">
        <v>213</v>
      </c>
      <c r="O109" s="173">
        <f t="shared" si="17"/>
        <v>218.91666666666666</v>
      </c>
      <c r="P109" s="173">
        <f t="shared" si="18"/>
        <v>-30</v>
      </c>
      <c r="Q109" s="177">
        <f t="shared" si="19"/>
        <v>-0.12052226314027453</v>
      </c>
    </row>
    <row r="110" spans="1:17" x14ac:dyDescent="0.2">
      <c r="B110" t="s">
        <v>280</v>
      </c>
      <c r="C110">
        <v>214</v>
      </c>
      <c r="D110">
        <v>211</v>
      </c>
      <c r="E110">
        <v>207</v>
      </c>
      <c r="F110">
        <v>229</v>
      </c>
      <c r="G110">
        <v>243</v>
      </c>
      <c r="H110">
        <v>240</v>
      </c>
      <c r="I110">
        <v>243</v>
      </c>
      <c r="J110">
        <v>245</v>
      </c>
      <c r="K110">
        <v>245</v>
      </c>
      <c r="L110">
        <v>259</v>
      </c>
      <c r="M110">
        <v>261</v>
      </c>
      <c r="N110">
        <v>263</v>
      </c>
      <c r="O110" s="173">
        <f t="shared" si="17"/>
        <v>238.33333333333334</v>
      </c>
      <c r="P110" s="173">
        <f t="shared" si="18"/>
        <v>19.416666666666686</v>
      </c>
      <c r="Q110" s="177">
        <f t="shared" si="19"/>
        <v>8.8694328130947936E-2</v>
      </c>
    </row>
    <row r="111" spans="1:17" x14ac:dyDescent="0.2">
      <c r="B111" t="s">
        <v>290</v>
      </c>
      <c r="C111">
        <v>264</v>
      </c>
      <c r="D111">
        <v>263</v>
      </c>
      <c r="E111">
        <v>264</v>
      </c>
      <c r="F111">
        <v>259</v>
      </c>
      <c r="G111">
        <v>262</v>
      </c>
      <c r="H111">
        <v>259</v>
      </c>
      <c r="I111">
        <v>244</v>
      </c>
      <c r="J111">
        <v>246</v>
      </c>
      <c r="K111">
        <v>253</v>
      </c>
      <c r="L111">
        <v>249</v>
      </c>
      <c r="M111">
        <v>248</v>
      </c>
      <c r="N111">
        <v>256</v>
      </c>
      <c r="O111" s="173">
        <f t="shared" si="17"/>
        <v>255.58333333333334</v>
      </c>
      <c r="P111" s="173">
        <f t="shared" si="18"/>
        <v>17.25</v>
      </c>
      <c r="Q111" s="177">
        <f t="shared" si="19"/>
        <v>7.237762237762238E-2</v>
      </c>
    </row>
    <row r="112" spans="1:17" x14ac:dyDescent="0.2">
      <c r="B112" t="s">
        <v>293</v>
      </c>
      <c r="C112">
        <v>259</v>
      </c>
      <c r="D112">
        <v>269</v>
      </c>
      <c r="E112">
        <v>262</v>
      </c>
      <c r="F112">
        <v>281</v>
      </c>
      <c r="G112">
        <v>292</v>
      </c>
      <c r="H112">
        <v>287</v>
      </c>
      <c r="I112">
        <v>285</v>
      </c>
      <c r="J112">
        <v>271</v>
      </c>
      <c r="K112">
        <v>263</v>
      </c>
      <c r="L112">
        <v>304</v>
      </c>
      <c r="M112">
        <v>301</v>
      </c>
      <c r="N112">
        <v>256</v>
      </c>
      <c r="O112" s="173">
        <f t="shared" si="17"/>
        <v>277.5</v>
      </c>
      <c r="P112" s="173">
        <f t="shared" si="18"/>
        <v>21.916666666666657</v>
      </c>
      <c r="Q112" s="177">
        <f t="shared" si="19"/>
        <v>8.5751548744701617E-2</v>
      </c>
    </row>
    <row r="113" spans="1:17" x14ac:dyDescent="0.2">
      <c r="B113" t="s">
        <v>294</v>
      </c>
      <c r="C113">
        <v>263</v>
      </c>
      <c r="D113">
        <v>269</v>
      </c>
      <c r="E113">
        <v>260</v>
      </c>
      <c r="F113">
        <v>254</v>
      </c>
      <c r="G113">
        <v>247</v>
      </c>
      <c r="H113">
        <v>251</v>
      </c>
      <c r="I113">
        <v>244</v>
      </c>
      <c r="J113">
        <v>235</v>
      </c>
      <c r="K113">
        <v>233</v>
      </c>
      <c r="L113">
        <v>251</v>
      </c>
      <c r="M113">
        <v>278</v>
      </c>
      <c r="N113">
        <v>279</v>
      </c>
      <c r="O113" s="173">
        <f t="shared" si="17"/>
        <v>255.33333333333334</v>
      </c>
      <c r="P113" s="173">
        <f t="shared" si="18"/>
        <v>-22.166666666666657</v>
      </c>
      <c r="Q113" s="177">
        <f t="shared" si="19"/>
        <v>-7.987987987987985E-2</v>
      </c>
    </row>
    <row r="114" spans="1:17" x14ac:dyDescent="0.2">
      <c r="B114" t="s">
        <v>295</v>
      </c>
      <c r="C114">
        <v>271</v>
      </c>
      <c r="D114">
        <v>264</v>
      </c>
      <c r="E114">
        <v>264</v>
      </c>
      <c r="F114">
        <v>265</v>
      </c>
      <c r="G114">
        <v>260</v>
      </c>
      <c r="H114">
        <v>261</v>
      </c>
      <c r="I114">
        <v>266</v>
      </c>
      <c r="J114">
        <v>257</v>
      </c>
      <c r="K114">
        <v>261</v>
      </c>
      <c r="L114">
        <v>270</v>
      </c>
      <c r="M114">
        <v>273</v>
      </c>
      <c r="N114">
        <v>267</v>
      </c>
      <c r="O114" s="173">
        <f t="shared" si="17"/>
        <v>264.91666666666669</v>
      </c>
      <c r="P114" s="173">
        <f t="shared" si="18"/>
        <v>9.5833333333333428</v>
      </c>
      <c r="Q114" s="177">
        <f t="shared" si="19"/>
        <v>3.7532637075718051E-2</v>
      </c>
    </row>
    <row r="115" spans="1:17" x14ac:dyDescent="0.2">
      <c r="B115" t="s">
        <v>335</v>
      </c>
      <c r="C115">
        <v>267</v>
      </c>
      <c r="D115">
        <v>266</v>
      </c>
      <c r="E115">
        <v>268</v>
      </c>
      <c r="F115">
        <v>273</v>
      </c>
      <c r="G115">
        <v>266</v>
      </c>
      <c r="H115">
        <v>255</v>
      </c>
      <c r="I115">
        <v>256</v>
      </c>
      <c r="J115">
        <v>248</v>
      </c>
      <c r="K115">
        <v>253</v>
      </c>
      <c r="L115">
        <v>255</v>
      </c>
      <c r="M115">
        <v>251</v>
      </c>
      <c r="N115">
        <v>255</v>
      </c>
      <c r="O115" s="173">
        <f t="shared" si="17"/>
        <v>259.41666666666669</v>
      </c>
      <c r="P115" s="173">
        <f t="shared" si="18"/>
        <v>-5.5</v>
      </c>
      <c r="Q115" s="177">
        <f t="shared" si="19"/>
        <v>-2.0761245674740483E-2</v>
      </c>
    </row>
    <row r="116" spans="1:17" x14ac:dyDescent="0.2">
      <c r="B116" t="s">
        <v>358</v>
      </c>
      <c r="C116">
        <v>260</v>
      </c>
      <c r="D116">
        <v>250</v>
      </c>
      <c r="E116">
        <v>251</v>
      </c>
      <c r="F116">
        <v>257</v>
      </c>
      <c r="G116">
        <v>258</v>
      </c>
      <c r="H116">
        <v>252</v>
      </c>
      <c r="I116">
        <v>247</v>
      </c>
      <c r="J116">
        <v>244</v>
      </c>
      <c r="K116">
        <v>299</v>
      </c>
      <c r="L116">
        <v>242</v>
      </c>
      <c r="M116">
        <v>246</v>
      </c>
      <c r="N116">
        <v>247</v>
      </c>
      <c r="O116" s="173">
        <f t="shared" si="17"/>
        <v>254.41666666666666</v>
      </c>
      <c r="P116" s="173">
        <f t="shared" si="18"/>
        <v>-5.0000000000000284</v>
      </c>
      <c r="Q116" s="177">
        <f t="shared" si="19"/>
        <v>-1.9274012206874507E-2</v>
      </c>
    </row>
    <row r="117" spans="1:17" x14ac:dyDescent="0.2">
      <c r="B117" t="s">
        <v>437</v>
      </c>
      <c r="C117">
        <v>247</v>
      </c>
      <c r="D117">
        <v>250</v>
      </c>
      <c r="E117">
        <v>259</v>
      </c>
      <c r="F117">
        <v>259</v>
      </c>
      <c r="G117">
        <v>260</v>
      </c>
      <c r="H117">
        <v>269</v>
      </c>
      <c r="I117">
        <v>253</v>
      </c>
      <c r="J117">
        <v>246</v>
      </c>
      <c r="K117">
        <v>259</v>
      </c>
      <c r="L117">
        <v>253</v>
      </c>
      <c r="M117">
        <v>236</v>
      </c>
      <c r="N117">
        <v>227</v>
      </c>
      <c r="O117" s="173">
        <f t="shared" si="17"/>
        <v>251.5</v>
      </c>
      <c r="P117" s="173">
        <f t="shared" si="18"/>
        <v>-2.9166666666666572</v>
      </c>
      <c r="Q117" s="177">
        <f t="shared" si="19"/>
        <v>-1.1464133639043526E-2</v>
      </c>
    </row>
    <row r="118" spans="1:17" x14ac:dyDescent="0.2">
      <c r="B118" t="s">
        <v>471</v>
      </c>
      <c r="C118">
        <v>230</v>
      </c>
      <c r="D118">
        <v>228</v>
      </c>
      <c r="E118">
        <v>245</v>
      </c>
      <c r="F118">
        <v>241</v>
      </c>
      <c r="G118">
        <v>241</v>
      </c>
      <c r="H118">
        <v>233</v>
      </c>
      <c r="I118">
        <v>245</v>
      </c>
      <c r="J118">
        <v>265</v>
      </c>
      <c r="K118">
        <v>258</v>
      </c>
      <c r="L118">
        <v>261</v>
      </c>
      <c r="M118">
        <v>241</v>
      </c>
      <c r="N118">
        <v>231</v>
      </c>
      <c r="O118" s="173">
        <f t="shared" si="17"/>
        <v>243.25</v>
      </c>
      <c r="P118" s="173">
        <f t="shared" si="18"/>
        <v>-8.25</v>
      </c>
      <c r="Q118" s="177">
        <f t="shared" si="19"/>
        <v>-3.2803180914512925E-2</v>
      </c>
    </row>
    <row r="119" spans="1:17" x14ac:dyDescent="0.2">
      <c r="B119" t="s">
        <v>537</v>
      </c>
      <c r="C119">
        <v>265</v>
      </c>
      <c r="D119">
        <v>253</v>
      </c>
      <c r="E119">
        <v>234</v>
      </c>
      <c r="F119">
        <v>254</v>
      </c>
      <c r="G119">
        <v>242</v>
      </c>
      <c r="H119">
        <v>256</v>
      </c>
      <c r="I119">
        <v>262</v>
      </c>
      <c r="J119">
        <v>264</v>
      </c>
      <c r="K119">
        <v>253</v>
      </c>
      <c r="L119">
        <v>262</v>
      </c>
      <c r="M119">
        <v>274</v>
      </c>
      <c r="N119">
        <v>288</v>
      </c>
      <c r="O119" s="173">
        <f t="shared" si="17"/>
        <v>258.91666666666669</v>
      </c>
      <c r="P119" s="173">
        <f t="shared" si="18"/>
        <v>15.666666666666686</v>
      </c>
      <c r="Q119" s="177">
        <f t="shared" si="19"/>
        <v>6.4405618362452968E-2</v>
      </c>
    </row>
    <row r="120" spans="1:17" x14ac:dyDescent="0.2">
      <c r="B120" t="s">
        <v>628</v>
      </c>
      <c r="C120">
        <v>270</v>
      </c>
      <c r="D120">
        <v>256</v>
      </c>
      <c r="E120">
        <v>264</v>
      </c>
      <c r="F120">
        <v>262</v>
      </c>
      <c r="G120">
        <v>273</v>
      </c>
      <c r="H120">
        <v>282</v>
      </c>
      <c r="I120">
        <v>278</v>
      </c>
      <c r="J120">
        <v>289</v>
      </c>
      <c r="K120">
        <v>303</v>
      </c>
      <c r="L120">
        <v>332</v>
      </c>
      <c r="M120">
        <v>335</v>
      </c>
      <c r="N120">
        <v>367</v>
      </c>
      <c r="O120" s="173">
        <f t="shared" si="17"/>
        <v>292.58333333333331</v>
      </c>
      <c r="P120" s="173">
        <f>SUM(O120-O119)</f>
        <v>33.666666666666629</v>
      </c>
      <c r="Q120" s="177">
        <f>SUM(P120/O119)</f>
        <v>0.13002896684905038</v>
      </c>
    </row>
    <row r="121" spans="1:17" x14ac:dyDescent="0.2">
      <c r="B121" t="s">
        <v>629</v>
      </c>
      <c r="C121">
        <v>331</v>
      </c>
      <c r="D121">
        <v>343</v>
      </c>
      <c r="E121">
        <v>340</v>
      </c>
      <c r="F121">
        <v>322</v>
      </c>
      <c r="G121">
        <v>332</v>
      </c>
      <c r="H121">
        <v>340</v>
      </c>
      <c r="I121">
        <v>347</v>
      </c>
      <c r="J121">
        <v>325</v>
      </c>
      <c r="K121">
        <v>319</v>
      </c>
      <c r="L121">
        <v>275</v>
      </c>
      <c r="M121">
        <v>268</v>
      </c>
      <c r="N121">
        <v>268</v>
      </c>
      <c r="O121" s="173">
        <f t="shared" si="17"/>
        <v>317.5</v>
      </c>
      <c r="P121" s="173">
        <f>SUM(O121-O120)</f>
        <v>24.916666666666686</v>
      </c>
      <c r="Q121" s="177">
        <f>SUM(P121/O120)</f>
        <v>8.5160922814013176E-2</v>
      </c>
    </row>
    <row r="122" spans="1:17" x14ac:dyDescent="0.2">
      <c r="B122" t="s">
        <v>983</v>
      </c>
      <c r="C122">
        <v>283</v>
      </c>
      <c r="D122">
        <v>280</v>
      </c>
      <c r="E122">
        <v>263</v>
      </c>
      <c r="F122">
        <v>262</v>
      </c>
      <c r="G122">
        <v>269</v>
      </c>
      <c r="H122">
        <v>266</v>
      </c>
      <c r="I122">
        <v>269</v>
      </c>
      <c r="J122">
        <v>261</v>
      </c>
      <c r="K122">
        <v>249</v>
      </c>
      <c r="L122">
        <v>248</v>
      </c>
      <c r="M122">
        <v>241</v>
      </c>
      <c r="N122">
        <v>237</v>
      </c>
      <c r="O122" s="173">
        <f t="shared" si="17"/>
        <v>260.66666666666669</v>
      </c>
      <c r="P122" s="173">
        <f>SUM(O122-O121)</f>
        <v>-56.833333333333314</v>
      </c>
      <c r="Q122" s="177">
        <f>SUM(P122/O121)</f>
        <v>-0.17900262467191594</v>
      </c>
    </row>
    <row r="123" spans="1:17" x14ac:dyDescent="0.2">
      <c r="B123" t="s">
        <v>984</v>
      </c>
      <c r="C123">
        <v>231</v>
      </c>
      <c r="D123">
        <v>219</v>
      </c>
      <c r="O123" s="173"/>
      <c r="P123" s="173"/>
      <c r="Q123" s="177"/>
    </row>
    <row r="124" spans="1:17" x14ac:dyDescent="0.2">
      <c r="A124" s="531"/>
      <c r="B124" s="531"/>
      <c r="C124" s="531"/>
      <c r="D124" s="531"/>
      <c r="E124" s="531"/>
      <c r="F124" s="531"/>
      <c r="G124" s="531"/>
      <c r="H124" s="531"/>
      <c r="I124" s="531"/>
      <c r="J124" s="531"/>
      <c r="K124" s="531"/>
      <c r="L124" s="531"/>
      <c r="M124" s="531"/>
      <c r="N124" s="531"/>
      <c r="O124" s="531"/>
      <c r="P124" s="531"/>
      <c r="Q124" s="531"/>
    </row>
    <row r="125" spans="1:17" ht="25.5" x14ac:dyDescent="0.2">
      <c r="A125" s="175" t="s">
        <v>444</v>
      </c>
      <c r="B125" s="176" t="s">
        <v>418</v>
      </c>
      <c r="C125" s="179" t="s">
        <v>419</v>
      </c>
      <c r="D125" s="179" t="s">
        <v>420</v>
      </c>
      <c r="E125" s="179" t="s">
        <v>421</v>
      </c>
      <c r="F125" s="179" t="s">
        <v>422</v>
      </c>
      <c r="G125" s="179" t="s">
        <v>423</v>
      </c>
      <c r="H125" s="179" t="s">
        <v>424</v>
      </c>
      <c r="I125" s="179" t="s">
        <v>425</v>
      </c>
      <c r="J125" s="179" t="s">
        <v>426</v>
      </c>
      <c r="K125" s="179" t="s">
        <v>427</v>
      </c>
      <c r="L125" s="179" t="s">
        <v>428</v>
      </c>
      <c r="M125" s="179" t="s">
        <v>429</v>
      </c>
      <c r="N125" s="179" t="s">
        <v>430</v>
      </c>
    </row>
    <row r="126" spans="1:17" x14ac:dyDescent="0.2">
      <c r="B126" t="s">
        <v>434</v>
      </c>
      <c r="C126">
        <v>204</v>
      </c>
      <c r="D126">
        <v>210</v>
      </c>
      <c r="E126">
        <v>215</v>
      </c>
      <c r="F126">
        <v>213</v>
      </c>
      <c r="G126">
        <v>212</v>
      </c>
      <c r="H126">
        <v>207</v>
      </c>
      <c r="I126">
        <v>200</v>
      </c>
      <c r="J126">
        <v>199</v>
      </c>
      <c r="K126">
        <v>192</v>
      </c>
      <c r="L126">
        <v>192</v>
      </c>
      <c r="M126">
        <v>181</v>
      </c>
      <c r="N126">
        <v>189</v>
      </c>
      <c r="O126" s="173">
        <f t="shared" ref="O126:O143" si="20">SUM(C126:N126)/12</f>
        <v>201.16666666666666</v>
      </c>
      <c r="P126" s="173"/>
    </row>
    <row r="127" spans="1:17" x14ac:dyDescent="0.2">
      <c r="B127" t="s">
        <v>435</v>
      </c>
      <c r="C127">
        <v>191</v>
      </c>
      <c r="D127">
        <v>194</v>
      </c>
      <c r="E127">
        <v>194</v>
      </c>
      <c r="F127">
        <v>191</v>
      </c>
      <c r="G127">
        <v>191</v>
      </c>
      <c r="H127">
        <v>198</v>
      </c>
      <c r="I127">
        <v>185</v>
      </c>
      <c r="J127">
        <v>192</v>
      </c>
      <c r="K127">
        <v>188</v>
      </c>
      <c r="L127">
        <v>198</v>
      </c>
      <c r="M127">
        <v>203</v>
      </c>
      <c r="N127">
        <v>203</v>
      </c>
      <c r="O127" s="173">
        <f t="shared" si="20"/>
        <v>194</v>
      </c>
      <c r="P127" s="173">
        <f t="shared" ref="P127:P140" si="21">SUM(O127-O126)</f>
        <v>-7.1666666666666572</v>
      </c>
      <c r="Q127" s="177">
        <f t="shared" ref="Q127:Q140" si="22">SUM(P127/O126)</f>
        <v>-3.5625517812758863E-2</v>
      </c>
    </row>
    <row r="128" spans="1:17" x14ac:dyDescent="0.2">
      <c r="B128" t="s">
        <v>436</v>
      </c>
      <c r="C128">
        <v>201</v>
      </c>
      <c r="D128">
        <v>196</v>
      </c>
      <c r="E128">
        <v>198</v>
      </c>
      <c r="F128">
        <v>188</v>
      </c>
      <c r="G128">
        <v>188</v>
      </c>
      <c r="H128">
        <v>192</v>
      </c>
      <c r="I128">
        <v>189</v>
      </c>
      <c r="J128">
        <v>200</v>
      </c>
      <c r="K128">
        <v>219</v>
      </c>
      <c r="L128">
        <v>228</v>
      </c>
      <c r="M128">
        <v>234</v>
      </c>
      <c r="N128">
        <v>237</v>
      </c>
      <c r="O128" s="173">
        <f t="shared" si="20"/>
        <v>205.83333333333334</v>
      </c>
      <c r="P128" s="173">
        <f t="shared" si="21"/>
        <v>11.833333333333343</v>
      </c>
      <c r="Q128" s="177">
        <f t="shared" si="22"/>
        <v>6.0996563573883208E-2</v>
      </c>
    </row>
    <row r="129" spans="2:17" x14ac:dyDescent="0.2">
      <c r="B129" t="s">
        <v>260</v>
      </c>
      <c r="C129">
        <v>246</v>
      </c>
      <c r="D129">
        <v>242</v>
      </c>
      <c r="E129">
        <v>245</v>
      </c>
      <c r="F129">
        <v>245</v>
      </c>
      <c r="G129">
        <v>245</v>
      </c>
      <c r="H129">
        <v>245</v>
      </c>
      <c r="I129">
        <v>245</v>
      </c>
      <c r="J129">
        <v>245</v>
      </c>
      <c r="K129">
        <v>245</v>
      </c>
      <c r="L129">
        <v>245</v>
      </c>
      <c r="M129">
        <v>245</v>
      </c>
      <c r="N129">
        <v>245</v>
      </c>
      <c r="O129" s="173">
        <f t="shared" si="20"/>
        <v>244.83333333333334</v>
      </c>
      <c r="P129" s="173">
        <f t="shared" si="21"/>
        <v>39</v>
      </c>
      <c r="Q129" s="177">
        <f t="shared" si="22"/>
        <v>0.18947368421052629</v>
      </c>
    </row>
    <row r="130" spans="2:17" x14ac:dyDescent="0.2">
      <c r="B130" t="s">
        <v>259</v>
      </c>
      <c r="C130">
        <v>219</v>
      </c>
      <c r="D130">
        <v>239</v>
      </c>
      <c r="E130">
        <v>239</v>
      </c>
      <c r="F130">
        <v>242</v>
      </c>
      <c r="G130">
        <v>237</v>
      </c>
      <c r="H130">
        <v>248</v>
      </c>
      <c r="I130">
        <v>255</v>
      </c>
      <c r="J130">
        <v>262</v>
      </c>
      <c r="K130">
        <v>263</v>
      </c>
      <c r="L130">
        <v>274</v>
      </c>
      <c r="M130">
        <v>266</v>
      </c>
      <c r="N130">
        <v>278</v>
      </c>
      <c r="O130" s="173">
        <f t="shared" si="20"/>
        <v>251.83333333333334</v>
      </c>
      <c r="P130" s="173">
        <f t="shared" si="21"/>
        <v>7</v>
      </c>
      <c r="Q130" s="177">
        <f t="shared" si="22"/>
        <v>2.8590878148400271E-2</v>
      </c>
    </row>
    <row r="131" spans="2:17" x14ac:dyDescent="0.2">
      <c r="B131" t="s">
        <v>280</v>
      </c>
      <c r="C131">
        <v>278</v>
      </c>
      <c r="D131">
        <v>279</v>
      </c>
      <c r="E131">
        <v>277</v>
      </c>
      <c r="F131">
        <v>279</v>
      </c>
      <c r="G131">
        <v>282</v>
      </c>
      <c r="H131">
        <v>282</v>
      </c>
      <c r="I131">
        <v>287</v>
      </c>
      <c r="J131">
        <v>293</v>
      </c>
      <c r="K131">
        <v>299</v>
      </c>
      <c r="L131">
        <v>299</v>
      </c>
      <c r="M131">
        <v>316</v>
      </c>
      <c r="N131">
        <v>325</v>
      </c>
      <c r="O131" s="173">
        <f t="shared" si="20"/>
        <v>291.33333333333331</v>
      </c>
      <c r="P131" s="173">
        <f t="shared" si="21"/>
        <v>39.499999999999972</v>
      </c>
      <c r="Q131" s="177">
        <f t="shared" si="22"/>
        <v>0.15684976836532086</v>
      </c>
    </row>
    <row r="132" spans="2:17" x14ac:dyDescent="0.2">
      <c r="B132" t="s">
        <v>290</v>
      </c>
      <c r="C132">
        <v>335</v>
      </c>
      <c r="D132">
        <v>349</v>
      </c>
      <c r="E132">
        <v>352</v>
      </c>
      <c r="F132">
        <v>352</v>
      </c>
      <c r="G132">
        <v>348</v>
      </c>
      <c r="H132">
        <v>363</v>
      </c>
      <c r="I132">
        <v>362</v>
      </c>
      <c r="J132">
        <v>370</v>
      </c>
      <c r="K132">
        <v>376</v>
      </c>
      <c r="L132">
        <v>393</v>
      </c>
      <c r="M132">
        <v>401</v>
      </c>
      <c r="N132">
        <v>400</v>
      </c>
      <c r="O132" s="173">
        <f t="shared" si="20"/>
        <v>366.75</v>
      </c>
      <c r="P132" s="173">
        <f t="shared" si="21"/>
        <v>75.416666666666686</v>
      </c>
      <c r="Q132" s="177">
        <f t="shared" si="22"/>
        <v>0.25886727688787192</v>
      </c>
    </row>
    <row r="133" spans="2:17" x14ac:dyDescent="0.2">
      <c r="B133" t="s">
        <v>293</v>
      </c>
      <c r="C133">
        <v>397</v>
      </c>
      <c r="D133">
        <v>402</v>
      </c>
      <c r="E133">
        <v>398</v>
      </c>
      <c r="F133">
        <v>408</v>
      </c>
      <c r="G133">
        <v>409</v>
      </c>
      <c r="H133">
        <v>416</v>
      </c>
      <c r="I133">
        <v>415</v>
      </c>
      <c r="J133">
        <v>414</v>
      </c>
      <c r="K133">
        <v>405</v>
      </c>
      <c r="L133">
        <v>486</v>
      </c>
      <c r="M133">
        <v>472</v>
      </c>
      <c r="N133">
        <v>409</v>
      </c>
      <c r="O133" s="173">
        <f t="shared" si="20"/>
        <v>419.25</v>
      </c>
      <c r="P133" s="173">
        <f t="shared" si="21"/>
        <v>52.5</v>
      </c>
      <c r="Q133" s="177">
        <f t="shared" si="22"/>
        <v>0.14314928425357873</v>
      </c>
    </row>
    <row r="134" spans="2:17" x14ac:dyDescent="0.2">
      <c r="B134" t="s">
        <v>294</v>
      </c>
      <c r="C134">
        <v>426</v>
      </c>
      <c r="D134">
        <v>431</v>
      </c>
      <c r="E134">
        <v>506</v>
      </c>
      <c r="F134">
        <v>455</v>
      </c>
      <c r="G134">
        <v>489</v>
      </c>
      <c r="H134">
        <v>513</v>
      </c>
      <c r="I134">
        <v>514</v>
      </c>
      <c r="J134">
        <v>518</v>
      </c>
      <c r="K134">
        <v>505</v>
      </c>
      <c r="L134">
        <v>502</v>
      </c>
      <c r="M134">
        <v>516</v>
      </c>
      <c r="N134">
        <v>530</v>
      </c>
      <c r="O134" s="173">
        <f t="shared" si="20"/>
        <v>492.08333333333331</v>
      </c>
      <c r="P134" s="173">
        <f t="shared" si="21"/>
        <v>72.833333333333314</v>
      </c>
      <c r="Q134" s="177">
        <f t="shared" si="22"/>
        <v>0.17372291790896438</v>
      </c>
    </row>
    <row r="135" spans="2:17" x14ac:dyDescent="0.2">
      <c r="B135" t="s">
        <v>295</v>
      </c>
      <c r="C135">
        <v>482</v>
      </c>
      <c r="D135">
        <v>466</v>
      </c>
      <c r="E135">
        <v>463</v>
      </c>
      <c r="F135">
        <v>466</v>
      </c>
      <c r="G135">
        <v>455</v>
      </c>
      <c r="H135">
        <v>458</v>
      </c>
      <c r="I135">
        <v>448</v>
      </c>
      <c r="J135">
        <v>451</v>
      </c>
      <c r="K135">
        <v>454</v>
      </c>
      <c r="L135">
        <v>449</v>
      </c>
      <c r="M135">
        <v>443</v>
      </c>
      <c r="N135">
        <v>447</v>
      </c>
      <c r="O135" s="173">
        <f t="shared" si="20"/>
        <v>456.83333333333331</v>
      </c>
      <c r="P135" s="173">
        <f t="shared" si="21"/>
        <v>-35.25</v>
      </c>
      <c r="Q135" s="177">
        <f t="shared" si="22"/>
        <v>-7.1634208298052504E-2</v>
      </c>
    </row>
    <row r="136" spans="2:17" x14ac:dyDescent="0.2">
      <c r="B136" t="s">
        <v>335</v>
      </c>
      <c r="C136">
        <v>441</v>
      </c>
      <c r="D136">
        <v>439</v>
      </c>
      <c r="E136">
        <v>439</v>
      </c>
      <c r="F136">
        <v>426</v>
      </c>
      <c r="G136">
        <v>432</v>
      </c>
      <c r="H136">
        <v>465</v>
      </c>
      <c r="I136">
        <v>452</v>
      </c>
      <c r="J136">
        <v>441</v>
      </c>
      <c r="K136">
        <v>443</v>
      </c>
      <c r="L136">
        <v>462</v>
      </c>
      <c r="M136">
        <v>480</v>
      </c>
      <c r="N136">
        <v>467</v>
      </c>
      <c r="O136" s="173">
        <f t="shared" si="20"/>
        <v>448.91666666666669</v>
      </c>
      <c r="P136" s="173">
        <f t="shared" si="21"/>
        <v>-7.9166666666666288</v>
      </c>
      <c r="Q136" s="177">
        <f t="shared" si="22"/>
        <v>-1.7329441809558473E-2</v>
      </c>
    </row>
    <row r="137" spans="2:17" x14ac:dyDescent="0.2">
      <c r="B137" t="s">
        <v>358</v>
      </c>
      <c r="C137">
        <v>465</v>
      </c>
      <c r="D137">
        <v>456</v>
      </c>
      <c r="E137">
        <v>455</v>
      </c>
      <c r="F137">
        <v>464</v>
      </c>
      <c r="G137">
        <v>461</v>
      </c>
      <c r="H137">
        <v>470</v>
      </c>
      <c r="I137">
        <v>443</v>
      </c>
      <c r="J137">
        <v>469</v>
      </c>
      <c r="K137">
        <v>478</v>
      </c>
      <c r="L137">
        <v>471</v>
      </c>
      <c r="M137">
        <v>457</v>
      </c>
      <c r="N137">
        <v>468</v>
      </c>
      <c r="O137" s="173">
        <f t="shared" si="20"/>
        <v>463.08333333333331</v>
      </c>
      <c r="P137" s="173">
        <f t="shared" si="21"/>
        <v>14.166666666666629</v>
      </c>
      <c r="Q137" s="177">
        <f t="shared" si="22"/>
        <v>3.1557453127900419E-2</v>
      </c>
    </row>
    <row r="138" spans="2:17" x14ac:dyDescent="0.2">
      <c r="B138" t="s">
        <v>437</v>
      </c>
      <c r="C138">
        <v>486</v>
      </c>
      <c r="D138">
        <v>496</v>
      </c>
      <c r="E138">
        <v>489</v>
      </c>
      <c r="F138">
        <v>495</v>
      </c>
      <c r="G138">
        <v>495</v>
      </c>
      <c r="H138">
        <v>495</v>
      </c>
      <c r="I138">
        <v>495</v>
      </c>
      <c r="J138">
        <v>500</v>
      </c>
      <c r="K138">
        <v>502</v>
      </c>
      <c r="L138">
        <v>508</v>
      </c>
      <c r="M138">
        <v>497</v>
      </c>
      <c r="N138">
        <v>504</v>
      </c>
      <c r="O138" s="173">
        <f t="shared" si="20"/>
        <v>496.83333333333331</v>
      </c>
      <c r="P138" s="173">
        <f t="shared" si="21"/>
        <v>33.75</v>
      </c>
      <c r="Q138" s="177">
        <f t="shared" si="22"/>
        <v>7.2881050926759047E-2</v>
      </c>
    </row>
    <row r="139" spans="2:17" x14ac:dyDescent="0.2">
      <c r="B139" t="s">
        <v>471</v>
      </c>
      <c r="C139">
        <v>496</v>
      </c>
      <c r="D139">
        <v>494</v>
      </c>
      <c r="E139">
        <v>478</v>
      </c>
      <c r="F139">
        <v>497</v>
      </c>
      <c r="G139">
        <v>499</v>
      </c>
      <c r="H139">
        <v>494</v>
      </c>
      <c r="I139">
        <v>489</v>
      </c>
      <c r="J139">
        <v>495</v>
      </c>
      <c r="K139">
        <v>490</v>
      </c>
      <c r="L139">
        <v>488</v>
      </c>
      <c r="M139">
        <v>497</v>
      </c>
      <c r="N139">
        <v>488</v>
      </c>
      <c r="O139" s="173">
        <f t="shared" si="20"/>
        <v>492.08333333333331</v>
      </c>
      <c r="P139" s="173">
        <f t="shared" si="21"/>
        <v>-4.75</v>
      </c>
      <c r="Q139" s="177">
        <f t="shared" si="22"/>
        <v>-9.5605501509560559E-3</v>
      </c>
    </row>
    <row r="140" spans="2:17" x14ac:dyDescent="0.2">
      <c r="B140" t="s">
        <v>537</v>
      </c>
      <c r="C140">
        <v>487</v>
      </c>
      <c r="D140">
        <v>474</v>
      </c>
      <c r="E140">
        <v>466</v>
      </c>
      <c r="F140">
        <v>470</v>
      </c>
      <c r="G140">
        <v>464</v>
      </c>
      <c r="H140">
        <v>474</v>
      </c>
      <c r="I140">
        <v>469</v>
      </c>
      <c r="J140">
        <v>478</v>
      </c>
      <c r="K140">
        <v>472</v>
      </c>
      <c r="L140">
        <v>468</v>
      </c>
      <c r="M140">
        <v>474</v>
      </c>
      <c r="N140">
        <v>471</v>
      </c>
      <c r="O140" s="173">
        <f t="shared" si="20"/>
        <v>472.25</v>
      </c>
      <c r="P140" s="173">
        <f t="shared" si="21"/>
        <v>-19.833333333333314</v>
      </c>
      <c r="Q140" s="177">
        <f t="shared" si="22"/>
        <v>-4.0304826418289551E-2</v>
      </c>
    </row>
    <row r="141" spans="2:17" x14ac:dyDescent="0.2">
      <c r="B141" t="s">
        <v>628</v>
      </c>
      <c r="C141">
        <v>468</v>
      </c>
      <c r="D141">
        <v>469</v>
      </c>
      <c r="E141">
        <v>451</v>
      </c>
      <c r="F141">
        <v>438</v>
      </c>
      <c r="G141">
        <v>433</v>
      </c>
      <c r="H141">
        <v>425</v>
      </c>
      <c r="I141">
        <v>420</v>
      </c>
      <c r="J141">
        <v>419</v>
      </c>
      <c r="K141">
        <v>418</v>
      </c>
      <c r="L141">
        <v>421</v>
      </c>
      <c r="M141">
        <v>413</v>
      </c>
      <c r="N141">
        <v>411</v>
      </c>
      <c r="O141" s="173">
        <f t="shared" si="20"/>
        <v>432.16666666666669</v>
      </c>
      <c r="P141" s="173">
        <f>SUM(O141-O140)</f>
        <v>-40.083333333333314</v>
      </c>
      <c r="Q141" s="177">
        <f>SUM(P141/O140)</f>
        <v>-8.4877360155284937E-2</v>
      </c>
    </row>
    <row r="142" spans="2:17" x14ac:dyDescent="0.2">
      <c r="B142" t="s">
        <v>629</v>
      </c>
      <c r="C142">
        <v>402</v>
      </c>
      <c r="D142">
        <v>427</v>
      </c>
      <c r="E142">
        <v>427</v>
      </c>
      <c r="F142">
        <v>429</v>
      </c>
      <c r="G142">
        <v>429</v>
      </c>
      <c r="H142">
        <v>433</v>
      </c>
      <c r="I142">
        <v>429</v>
      </c>
      <c r="J142">
        <v>440</v>
      </c>
      <c r="K142">
        <v>435</v>
      </c>
      <c r="L142">
        <v>433</v>
      </c>
      <c r="M142">
        <v>428</v>
      </c>
      <c r="N142">
        <v>425</v>
      </c>
      <c r="O142" s="173">
        <f t="shared" si="20"/>
        <v>428.08333333333331</v>
      </c>
      <c r="P142" s="173">
        <f>SUM(O142-O141)</f>
        <v>-4.0833333333333712</v>
      </c>
      <c r="Q142" s="177">
        <f>SUM(P142/O141)</f>
        <v>-9.4485152333205653E-3</v>
      </c>
    </row>
    <row r="143" spans="2:17" x14ac:dyDescent="0.2">
      <c r="B143" t="s">
        <v>983</v>
      </c>
      <c r="C143">
        <v>426</v>
      </c>
      <c r="D143">
        <v>427</v>
      </c>
      <c r="E143">
        <v>432</v>
      </c>
      <c r="F143">
        <v>435</v>
      </c>
      <c r="G143">
        <v>425</v>
      </c>
      <c r="H143">
        <v>423</v>
      </c>
      <c r="I143">
        <v>420</v>
      </c>
      <c r="J143">
        <v>418</v>
      </c>
      <c r="K143">
        <v>405</v>
      </c>
      <c r="L143">
        <v>390</v>
      </c>
      <c r="M143">
        <v>387</v>
      </c>
      <c r="N143">
        <v>384</v>
      </c>
      <c r="O143" s="173">
        <f t="shared" si="20"/>
        <v>414.33333333333331</v>
      </c>
      <c r="P143" s="173">
        <f>SUM(O143-O142)</f>
        <v>-13.75</v>
      </c>
      <c r="Q143" s="177">
        <f>SUM(P143/O142)</f>
        <v>-3.2119914346895075E-2</v>
      </c>
    </row>
    <row r="144" spans="2:17" x14ac:dyDescent="0.2">
      <c r="B144" t="s">
        <v>984</v>
      </c>
      <c r="C144">
        <v>368</v>
      </c>
      <c r="D144">
        <v>345</v>
      </c>
      <c r="O144" s="173"/>
      <c r="P144" s="173"/>
      <c r="Q144" s="177"/>
    </row>
    <row r="145" spans="1:17" ht="25.5" x14ac:dyDescent="0.2">
      <c r="A145" s="175" t="s">
        <v>445</v>
      </c>
      <c r="B145" s="176" t="s">
        <v>418</v>
      </c>
      <c r="C145" s="179" t="s">
        <v>419</v>
      </c>
      <c r="D145" s="179" t="s">
        <v>420</v>
      </c>
      <c r="E145" s="179" t="s">
        <v>421</v>
      </c>
      <c r="F145" s="179" t="s">
        <v>422</v>
      </c>
      <c r="G145" s="179" t="s">
        <v>423</v>
      </c>
      <c r="H145" s="179" t="s">
        <v>424</v>
      </c>
      <c r="I145" s="179" t="s">
        <v>425</v>
      </c>
      <c r="J145" s="179" t="s">
        <v>426</v>
      </c>
      <c r="K145" s="179" t="s">
        <v>427</v>
      </c>
      <c r="L145" s="179" t="s">
        <v>428</v>
      </c>
      <c r="M145" s="179" t="s">
        <v>429</v>
      </c>
      <c r="N145" s="179" t="s">
        <v>430</v>
      </c>
    </row>
    <row r="146" spans="1:17" x14ac:dyDescent="0.2">
      <c r="B146" t="s">
        <v>434</v>
      </c>
      <c r="C146">
        <v>173</v>
      </c>
      <c r="D146">
        <v>167</v>
      </c>
      <c r="E146">
        <v>163</v>
      </c>
      <c r="F146">
        <v>169</v>
      </c>
      <c r="G146">
        <v>161</v>
      </c>
      <c r="H146">
        <v>164</v>
      </c>
      <c r="I146">
        <v>156</v>
      </c>
      <c r="J146">
        <v>157</v>
      </c>
      <c r="K146">
        <v>148</v>
      </c>
      <c r="L146">
        <v>156</v>
      </c>
      <c r="M146">
        <v>171</v>
      </c>
      <c r="N146">
        <v>177</v>
      </c>
      <c r="O146" s="173">
        <f t="shared" ref="O146:O163" si="23">SUM(C146:N146)/12</f>
        <v>163.5</v>
      </c>
      <c r="P146" s="173"/>
    </row>
    <row r="147" spans="1:17" x14ac:dyDescent="0.2">
      <c r="B147" t="s">
        <v>435</v>
      </c>
      <c r="C147">
        <v>169</v>
      </c>
      <c r="D147">
        <v>160</v>
      </c>
      <c r="E147">
        <v>150</v>
      </c>
      <c r="F147">
        <v>143</v>
      </c>
      <c r="G147">
        <v>143</v>
      </c>
      <c r="H147">
        <v>140</v>
      </c>
      <c r="I147">
        <v>144</v>
      </c>
      <c r="J147">
        <v>152</v>
      </c>
      <c r="K147">
        <v>152</v>
      </c>
      <c r="L147">
        <v>143</v>
      </c>
      <c r="M147">
        <v>151</v>
      </c>
      <c r="N147">
        <v>152</v>
      </c>
      <c r="O147" s="173">
        <f t="shared" si="23"/>
        <v>149.91666666666666</v>
      </c>
      <c r="P147" s="173">
        <f t="shared" ref="P147:P160" si="24">SUM(O147-O146)</f>
        <v>-13.583333333333343</v>
      </c>
      <c r="Q147" s="177">
        <f t="shared" ref="Q147:Q160" si="25">SUM(P147/O146)</f>
        <v>-8.3078491335372123E-2</v>
      </c>
    </row>
    <row r="148" spans="1:17" x14ac:dyDescent="0.2">
      <c r="B148" t="s">
        <v>436</v>
      </c>
      <c r="C148">
        <v>144</v>
      </c>
      <c r="D148">
        <v>141</v>
      </c>
      <c r="E148">
        <v>140</v>
      </c>
      <c r="F148">
        <v>142</v>
      </c>
      <c r="G148">
        <v>138</v>
      </c>
      <c r="H148">
        <v>143</v>
      </c>
      <c r="I148">
        <v>143</v>
      </c>
      <c r="J148">
        <v>152</v>
      </c>
      <c r="K148">
        <v>157</v>
      </c>
      <c r="L148">
        <v>162</v>
      </c>
      <c r="M148">
        <v>167</v>
      </c>
      <c r="N148">
        <v>172</v>
      </c>
      <c r="O148" s="173">
        <f t="shared" si="23"/>
        <v>150.08333333333334</v>
      </c>
      <c r="P148" s="173">
        <f t="shared" si="24"/>
        <v>0.16666666666668561</v>
      </c>
      <c r="Q148" s="177">
        <f t="shared" si="25"/>
        <v>1.1117287381880085E-3</v>
      </c>
    </row>
    <row r="149" spans="1:17" x14ac:dyDescent="0.2">
      <c r="B149" t="s">
        <v>260</v>
      </c>
      <c r="C149">
        <v>175</v>
      </c>
      <c r="D149">
        <v>144</v>
      </c>
      <c r="E149">
        <v>144</v>
      </c>
      <c r="F149">
        <v>144</v>
      </c>
      <c r="G149">
        <v>153</v>
      </c>
      <c r="H149">
        <v>153</v>
      </c>
      <c r="I149">
        <v>153</v>
      </c>
      <c r="J149">
        <v>153</v>
      </c>
      <c r="K149">
        <v>153</v>
      </c>
      <c r="L149">
        <v>162</v>
      </c>
      <c r="M149">
        <v>167</v>
      </c>
      <c r="N149">
        <v>172</v>
      </c>
      <c r="O149" s="173">
        <f t="shared" si="23"/>
        <v>156.08333333333334</v>
      </c>
      <c r="P149" s="173">
        <f t="shared" si="24"/>
        <v>6</v>
      </c>
      <c r="Q149" s="177">
        <f t="shared" si="25"/>
        <v>3.9977790116601887E-2</v>
      </c>
    </row>
    <row r="150" spans="1:17" x14ac:dyDescent="0.2">
      <c r="B150" t="s">
        <v>259</v>
      </c>
      <c r="C150">
        <v>189</v>
      </c>
      <c r="D150">
        <v>147</v>
      </c>
      <c r="E150">
        <v>150</v>
      </c>
      <c r="F150">
        <v>149</v>
      </c>
      <c r="G150">
        <v>143</v>
      </c>
      <c r="H150">
        <v>144</v>
      </c>
      <c r="I150">
        <v>145</v>
      </c>
      <c r="J150">
        <v>150</v>
      </c>
      <c r="K150">
        <v>156</v>
      </c>
      <c r="L150">
        <v>156</v>
      </c>
      <c r="M150">
        <v>137</v>
      </c>
      <c r="N150">
        <v>137</v>
      </c>
      <c r="O150" s="173">
        <f t="shared" si="23"/>
        <v>150.25</v>
      </c>
      <c r="P150" s="173">
        <f t="shared" si="24"/>
        <v>-5.8333333333333428</v>
      </c>
      <c r="Q150" s="177">
        <f t="shared" si="25"/>
        <v>-3.7373198077949872E-2</v>
      </c>
    </row>
    <row r="151" spans="1:17" x14ac:dyDescent="0.2">
      <c r="B151" t="s">
        <v>280</v>
      </c>
      <c r="C151">
        <v>121</v>
      </c>
      <c r="D151">
        <v>120</v>
      </c>
      <c r="E151">
        <v>127</v>
      </c>
      <c r="F151">
        <v>130</v>
      </c>
      <c r="G151">
        <v>134</v>
      </c>
      <c r="H151">
        <v>143</v>
      </c>
      <c r="I151">
        <v>142</v>
      </c>
      <c r="J151">
        <v>138</v>
      </c>
      <c r="K151">
        <v>139</v>
      </c>
      <c r="L151">
        <v>146</v>
      </c>
      <c r="M151">
        <v>148</v>
      </c>
      <c r="N151">
        <v>147</v>
      </c>
      <c r="O151" s="173">
        <f t="shared" si="23"/>
        <v>136.25</v>
      </c>
      <c r="P151" s="173">
        <f t="shared" si="24"/>
        <v>-14</v>
      </c>
      <c r="Q151" s="177">
        <f t="shared" si="25"/>
        <v>-9.3178036605657238E-2</v>
      </c>
    </row>
    <row r="152" spans="1:17" x14ac:dyDescent="0.2">
      <c r="B152" t="s">
        <v>290</v>
      </c>
      <c r="C152">
        <v>146</v>
      </c>
      <c r="D152">
        <v>146</v>
      </c>
      <c r="E152">
        <v>146</v>
      </c>
      <c r="F152">
        <v>152</v>
      </c>
      <c r="G152">
        <v>150</v>
      </c>
      <c r="H152">
        <v>141</v>
      </c>
      <c r="I152">
        <v>136</v>
      </c>
      <c r="J152">
        <v>139</v>
      </c>
      <c r="K152">
        <v>141</v>
      </c>
      <c r="L152">
        <v>149</v>
      </c>
      <c r="M152">
        <v>155</v>
      </c>
      <c r="N152">
        <v>142</v>
      </c>
      <c r="O152" s="173">
        <f t="shared" si="23"/>
        <v>145.25</v>
      </c>
      <c r="P152" s="173">
        <f t="shared" si="24"/>
        <v>9</v>
      </c>
      <c r="Q152" s="177">
        <f t="shared" si="25"/>
        <v>6.6055045871559637E-2</v>
      </c>
    </row>
    <row r="153" spans="1:17" x14ac:dyDescent="0.2">
      <c r="B153" t="s">
        <v>293</v>
      </c>
      <c r="C153">
        <v>148</v>
      </c>
      <c r="D153">
        <v>149</v>
      </c>
      <c r="E153">
        <v>149</v>
      </c>
      <c r="F153">
        <v>151</v>
      </c>
      <c r="G153">
        <v>139</v>
      </c>
      <c r="H153">
        <v>141</v>
      </c>
      <c r="I153">
        <v>136</v>
      </c>
      <c r="J153">
        <v>148</v>
      </c>
      <c r="K153">
        <v>146</v>
      </c>
      <c r="L153">
        <v>210</v>
      </c>
      <c r="M153">
        <v>211</v>
      </c>
      <c r="N153">
        <v>152</v>
      </c>
      <c r="O153" s="173">
        <f t="shared" si="23"/>
        <v>156.66666666666666</v>
      </c>
      <c r="P153" s="173">
        <f t="shared" si="24"/>
        <v>11.416666666666657</v>
      </c>
      <c r="Q153" s="177">
        <f t="shared" si="25"/>
        <v>7.8600114744692987E-2</v>
      </c>
    </row>
    <row r="154" spans="1:17" x14ac:dyDescent="0.2">
      <c r="B154" t="s">
        <v>294</v>
      </c>
      <c r="C154">
        <v>146</v>
      </c>
      <c r="D154">
        <v>150</v>
      </c>
      <c r="E154">
        <v>146</v>
      </c>
      <c r="F154">
        <v>146</v>
      </c>
      <c r="G154">
        <v>114</v>
      </c>
      <c r="H154">
        <v>99</v>
      </c>
      <c r="I154">
        <v>169</v>
      </c>
      <c r="J154">
        <v>145</v>
      </c>
      <c r="K154">
        <v>145</v>
      </c>
      <c r="L154">
        <v>145</v>
      </c>
      <c r="M154">
        <v>139</v>
      </c>
      <c r="N154">
        <v>138</v>
      </c>
      <c r="O154" s="173">
        <f t="shared" si="23"/>
        <v>140.16666666666666</v>
      </c>
      <c r="P154" s="173">
        <f t="shared" si="24"/>
        <v>-16.5</v>
      </c>
      <c r="Q154" s="177">
        <f t="shared" si="25"/>
        <v>-0.10531914893617023</v>
      </c>
    </row>
    <row r="155" spans="1:17" x14ac:dyDescent="0.2">
      <c r="B155" t="s">
        <v>295</v>
      </c>
      <c r="C155">
        <v>133</v>
      </c>
      <c r="D155">
        <v>135</v>
      </c>
      <c r="E155">
        <v>136</v>
      </c>
      <c r="F155">
        <v>143</v>
      </c>
      <c r="G155">
        <v>140</v>
      </c>
      <c r="H155">
        <v>144</v>
      </c>
      <c r="I155">
        <v>145</v>
      </c>
      <c r="J155">
        <v>144</v>
      </c>
      <c r="K155">
        <v>166</v>
      </c>
      <c r="L155">
        <v>162</v>
      </c>
      <c r="M155">
        <v>166</v>
      </c>
      <c r="N155">
        <v>161</v>
      </c>
      <c r="O155" s="173">
        <f t="shared" si="23"/>
        <v>147.91666666666666</v>
      </c>
      <c r="P155" s="173">
        <f t="shared" si="24"/>
        <v>7.75</v>
      </c>
      <c r="Q155" s="177">
        <f t="shared" si="25"/>
        <v>5.5291319857312726E-2</v>
      </c>
    </row>
    <row r="156" spans="1:17" x14ac:dyDescent="0.2">
      <c r="B156" t="s">
        <v>335</v>
      </c>
      <c r="C156">
        <v>159</v>
      </c>
      <c r="D156">
        <v>157</v>
      </c>
      <c r="E156">
        <v>154</v>
      </c>
      <c r="F156">
        <v>156</v>
      </c>
      <c r="G156">
        <v>155</v>
      </c>
      <c r="H156">
        <v>151</v>
      </c>
      <c r="I156">
        <v>152</v>
      </c>
      <c r="J156">
        <v>148</v>
      </c>
      <c r="K156">
        <v>152</v>
      </c>
      <c r="L156">
        <v>155</v>
      </c>
      <c r="M156">
        <v>161</v>
      </c>
      <c r="N156">
        <v>156</v>
      </c>
      <c r="O156" s="173">
        <f t="shared" si="23"/>
        <v>154.66666666666666</v>
      </c>
      <c r="P156" s="173">
        <f t="shared" si="24"/>
        <v>6.75</v>
      </c>
      <c r="Q156" s="177">
        <f t="shared" si="25"/>
        <v>4.5633802816901409E-2</v>
      </c>
    </row>
    <row r="157" spans="1:17" x14ac:dyDescent="0.2">
      <c r="B157" t="s">
        <v>358</v>
      </c>
      <c r="C157">
        <v>150</v>
      </c>
      <c r="D157">
        <v>158</v>
      </c>
      <c r="E157">
        <v>160</v>
      </c>
      <c r="F157">
        <v>142</v>
      </c>
      <c r="G157">
        <v>141</v>
      </c>
      <c r="H157">
        <v>138</v>
      </c>
      <c r="I157">
        <v>139</v>
      </c>
      <c r="J157">
        <v>136</v>
      </c>
      <c r="K157">
        <v>134</v>
      </c>
      <c r="L157">
        <v>142</v>
      </c>
      <c r="M157">
        <v>143</v>
      </c>
      <c r="N157">
        <v>135</v>
      </c>
      <c r="O157" s="173">
        <f t="shared" si="23"/>
        <v>143.16666666666666</v>
      </c>
      <c r="P157" s="173">
        <f t="shared" si="24"/>
        <v>-11.5</v>
      </c>
      <c r="Q157" s="177">
        <f t="shared" si="25"/>
        <v>-7.4353448275862072E-2</v>
      </c>
    </row>
    <row r="158" spans="1:17" x14ac:dyDescent="0.2">
      <c r="B158" t="s">
        <v>437</v>
      </c>
      <c r="C158">
        <v>137</v>
      </c>
      <c r="D158">
        <v>145</v>
      </c>
      <c r="E158">
        <v>146</v>
      </c>
      <c r="F158">
        <v>150</v>
      </c>
      <c r="G158">
        <v>146</v>
      </c>
      <c r="H158">
        <v>138</v>
      </c>
      <c r="I158">
        <v>137</v>
      </c>
      <c r="J158">
        <v>135</v>
      </c>
      <c r="K158">
        <v>138</v>
      </c>
      <c r="L158">
        <v>141</v>
      </c>
      <c r="M158">
        <v>147</v>
      </c>
      <c r="N158">
        <v>140</v>
      </c>
      <c r="O158" s="173">
        <f t="shared" si="23"/>
        <v>141.66666666666666</v>
      </c>
      <c r="P158" s="173">
        <f t="shared" si="24"/>
        <v>-1.5</v>
      </c>
      <c r="Q158" s="177">
        <f t="shared" si="25"/>
        <v>-1.0477299185098952E-2</v>
      </c>
    </row>
    <row r="159" spans="1:17" x14ac:dyDescent="0.2">
      <c r="B159" t="s">
        <v>471</v>
      </c>
      <c r="C159">
        <v>140</v>
      </c>
      <c r="D159">
        <v>137</v>
      </c>
      <c r="E159">
        <v>119</v>
      </c>
      <c r="F159">
        <v>113</v>
      </c>
      <c r="G159">
        <v>111</v>
      </c>
      <c r="H159">
        <v>112</v>
      </c>
      <c r="I159">
        <v>117</v>
      </c>
      <c r="J159">
        <v>109</v>
      </c>
      <c r="K159">
        <v>106</v>
      </c>
      <c r="L159">
        <v>117</v>
      </c>
      <c r="M159">
        <v>122</v>
      </c>
      <c r="N159">
        <v>124</v>
      </c>
      <c r="O159" s="173">
        <f t="shared" si="23"/>
        <v>118.91666666666667</v>
      </c>
      <c r="P159" s="173">
        <f t="shared" si="24"/>
        <v>-22.749999999999986</v>
      </c>
      <c r="Q159" s="177">
        <f t="shared" si="25"/>
        <v>-0.16058823529411756</v>
      </c>
    </row>
    <row r="160" spans="1:17" x14ac:dyDescent="0.2">
      <c r="B160" t="s">
        <v>537</v>
      </c>
      <c r="C160">
        <v>138</v>
      </c>
      <c r="D160">
        <v>145</v>
      </c>
      <c r="E160">
        <v>142</v>
      </c>
      <c r="F160">
        <v>146</v>
      </c>
      <c r="G160">
        <v>148</v>
      </c>
      <c r="H160">
        <v>149</v>
      </c>
      <c r="I160">
        <v>150</v>
      </c>
      <c r="J160">
        <v>147</v>
      </c>
      <c r="K160">
        <v>152</v>
      </c>
      <c r="L160">
        <v>159</v>
      </c>
      <c r="M160">
        <v>160</v>
      </c>
      <c r="N160">
        <v>157</v>
      </c>
      <c r="O160" s="173">
        <f t="shared" si="23"/>
        <v>149.41666666666666</v>
      </c>
      <c r="P160" s="173">
        <f t="shared" si="24"/>
        <v>30.499999999999986</v>
      </c>
      <c r="Q160" s="177">
        <f t="shared" si="25"/>
        <v>0.25648213034337758</v>
      </c>
    </row>
    <row r="161" spans="1:17" x14ac:dyDescent="0.2">
      <c r="B161" t="s">
        <v>628</v>
      </c>
      <c r="C161">
        <v>156</v>
      </c>
      <c r="D161">
        <v>161</v>
      </c>
      <c r="E161">
        <v>163</v>
      </c>
      <c r="F161">
        <v>164</v>
      </c>
      <c r="G161">
        <v>162</v>
      </c>
      <c r="H161">
        <v>158</v>
      </c>
      <c r="I161">
        <v>166</v>
      </c>
      <c r="J161">
        <v>166</v>
      </c>
      <c r="K161">
        <v>170</v>
      </c>
      <c r="L161">
        <v>164</v>
      </c>
      <c r="M161">
        <v>162</v>
      </c>
      <c r="N161">
        <v>160</v>
      </c>
      <c r="O161" s="173">
        <f t="shared" si="23"/>
        <v>162.66666666666666</v>
      </c>
      <c r="P161" s="173">
        <f>SUM(O161-O160)</f>
        <v>13.25</v>
      </c>
      <c r="Q161" s="177">
        <f>SUM(P161/O160)</f>
        <v>8.8678192972671502E-2</v>
      </c>
    </row>
    <row r="162" spans="1:17" x14ac:dyDescent="0.2">
      <c r="B162" t="s">
        <v>629</v>
      </c>
      <c r="C162">
        <v>156</v>
      </c>
      <c r="D162">
        <v>155</v>
      </c>
      <c r="E162">
        <v>149</v>
      </c>
      <c r="F162">
        <v>146</v>
      </c>
      <c r="G162">
        <v>149</v>
      </c>
      <c r="H162">
        <v>151</v>
      </c>
      <c r="I162">
        <v>151</v>
      </c>
      <c r="J162">
        <v>148</v>
      </c>
      <c r="K162">
        <v>155</v>
      </c>
      <c r="L162">
        <v>156</v>
      </c>
      <c r="M162">
        <v>153</v>
      </c>
      <c r="N162">
        <v>154</v>
      </c>
      <c r="O162" s="173">
        <f t="shared" si="23"/>
        <v>151.91666666666666</v>
      </c>
      <c r="P162" s="173">
        <f>SUM(O162-O161)</f>
        <v>-10.75</v>
      </c>
      <c r="Q162" s="177">
        <f>SUM(P162/O161)</f>
        <v>-6.6086065573770489E-2</v>
      </c>
    </row>
    <row r="163" spans="1:17" x14ac:dyDescent="0.2">
      <c r="B163" t="s">
        <v>983</v>
      </c>
      <c r="C163">
        <v>156</v>
      </c>
      <c r="D163">
        <v>159</v>
      </c>
      <c r="E163">
        <v>157</v>
      </c>
      <c r="F163">
        <v>158</v>
      </c>
      <c r="G163">
        <v>143</v>
      </c>
      <c r="H163">
        <v>148</v>
      </c>
      <c r="I163">
        <v>155</v>
      </c>
      <c r="J163">
        <v>149</v>
      </c>
      <c r="K163">
        <v>151</v>
      </c>
      <c r="L163">
        <v>145</v>
      </c>
      <c r="M163">
        <v>133</v>
      </c>
      <c r="N163">
        <v>128</v>
      </c>
      <c r="O163" s="173">
        <f t="shared" si="23"/>
        <v>148.5</v>
      </c>
      <c r="P163" s="173">
        <f>SUM(O163-O162)</f>
        <v>-3.4166666666666572</v>
      </c>
      <c r="Q163" s="177">
        <f>SUM(P163/O162)</f>
        <v>-2.2490400438837019E-2</v>
      </c>
    </row>
    <row r="164" spans="1:17" x14ac:dyDescent="0.2">
      <c r="B164" t="s">
        <v>984</v>
      </c>
      <c r="C164">
        <v>119</v>
      </c>
      <c r="D164">
        <v>118</v>
      </c>
      <c r="O164" s="173"/>
      <c r="P164" s="173"/>
      <c r="Q164" s="177"/>
    </row>
    <row r="165" spans="1:17" x14ac:dyDescent="0.2">
      <c r="A165" s="531"/>
      <c r="B165" s="531"/>
      <c r="C165" s="531"/>
      <c r="D165" s="531"/>
      <c r="E165" s="531"/>
      <c r="F165" s="531"/>
      <c r="G165" s="531"/>
      <c r="H165" s="531"/>
      <c r="I165" s="531"/>
      <c r="J165" s="531"/>
      <c r="K165" s="531"/>
      <c r="L165" s="531"/>
      <c r="M165" s="531"/>
      <c r="N165" s="531"/>
      <c r="O165" s="531"/>
      <c r="P165" s="531"/>
      <c r="Q165" s="531"/>
    </row>
    <row r="166" spans="1:17" ht="25.5" x14ac:dyDescent="0.2">
      <c r="A166" s="175" t="s">
        <v>446</v>
      </c>
      <c r="B166" s="176" t="s">
        <v>418</v>
      </c>
      <c r="C166" s="179" t="s">
        <v>419</v>
      </c>
      <c r="D166" s="179" t="s">
        <v>420</v>
      </c>
      <c r="E166" s="179" t="s">
        <v>421</v>
      </c>
      <c r="F166" s="179" t="s">
        <v>422</v>
      </c>
      <c r="G166" s="179" t="s">
        <v>423</v>
      </c>
      <c r="H166" s="179" t="s">
        <v>424</v>
      </c>
      <c r="I166" s="179" t="s">
        <v>425</v>
      </c>
      <c r="J166" s="179" t="s">
        <v>426</v>
      </c>
      <c r="K166" s="179" t="s">
        <v>427</v>
      </c>
      <c r="L166" s="179" t="s">
        <v>428</v>
      </c>
      <c r="M166" s="179" t="s">
        <v>429</v>
      </c>
      <c r="N166" s="179" t="s">
        <v>430</v>
      </c>
    </row>
    <row r="167" spans="1:17" x14ac:dyDescent="0.2">
      <c r="B167" t="s">
        <v>434</v>
      </c>
      <c r="C167">
        <v>88</v>
      </c>
      <c r="D167">
        <v>88</v>
      </c>
      <c r="E167">
        <v>91</v>
      </c>
      <c r="F167">
        <v>89</v>
      </c>
      <c r="G167">
        <v>92</v>
      </c>
      <c r="H167">
        <v>87</v>
      </c>
      <c r="I167">
        <v>92</v>
      </c>
      <c r="J167">
        <v>98</v>
      </c>
      <c r="K167">
        <v>100</v>
      </c>
      <c r="L167">
        <v>101</v>
      </c>
      <c r="M167">
        <v>101</v>
      </c>
      <c r="N167">
        <v>103</v>
      </c>
      <c r="O167" s="173">
        <f t="shared" ref="O167:O175" si="26">SUM(C167:N167)/12</f>
        <v>94.166666666666671</v>
      </c>
      <c r="P167" s="173"/>
    </row>
    <row r="168" spans="1:17" x14ac:dyDescent="0.2">
      <c r="B168" t="s">
        <v>435</v>
      </c>
      <c r="C168">
        <v>99</v>
      </c>
      <c r="D168">
        <v>99</v>
      </c>
      <c r="E168">
        <v>93</v>
      </c>
      <c r="F168">
        <v>96</v>
      </c>
      <c r="G168">
        <v>87</v>
      </c>
      <c r="H168">
        <v>98</v>
      </c>
      <c r="I168">
        <v>92</v>
      </c>
      <c r="J168">
        <v>97</v>
      </c>
      <c r="K168">
        <v>96</v>
      </c>
      <c r="L168">
        <v>96</v>
      </c>
      <c r="M168">
        <v>99</v>
      </c>
      <c r="N168">
        <v>104</v>
      </c>
      <c r="O168" s="173">
        <f t="shared" si="26"/>
        <v>96.333333333333329</v>
      </c>
      <c r="P168" s="173">
        <f t="shared" ref="P168:P181" si="27">SUM(O168-O167)</f>
        <v>2.1666666666666572</v>
      </c>
      <c r="Q168" s="177">
        <f t="shared" ref="Q168:Q181" si="28">SUM(P168/O167)</f>
        <v>2.3008849557522023E-2</v>
      </c>
    </row>
    <row r="169" spans="1:17" x14ac:dyDescent="0.2">
      <c r="B169" t="s">
        <v>436</v>
      </c>
      <c r="C169">
        <v>103</v>
      </c>
      <c r="D169">
        <v>108</v>
      </c>
      <c r="E169">
        <v>99</v>
      </c>
      <c r="F169">
        <v>108</v>
      </c>
      <c r="G169">
        <v>104</v>
      </c>
      <c r="H169">
        <v>89</v>
      </c>
      <c r="I169">
        <v>81</v>
      </c>
      <c r="J169">
        <v>73</v>
      </c>
      <c r="K169">
        <v>71</v>
      </c>
      <c r="L169">
        <v>75</v>
      </c>
      <c r="M169">
        <v>110</v>
      </c>
      <c r="N169">
        <v>120</v>
      </c>
      <c r="O169" s="173">
        <f t="shared" si="26"/>
        <v>95.083333333333329</v>
      </c>
      <c r="P169" s="173">
        <f t="shared" si="27"/>
        <v>-1.25</v>
      </c>
      <c r="Q169" s="177">
        <f t="shared" si="28"/>
        <v>-1.2975778546712804E-2</v>
      </c>
    </row>
    <row r="170" spans="1:17" x14ac:dyDescent="0.2">
      <c r="B170" t="s">
        <v>260</v>
      </c>
      <c r="C170">
        <v>75</v>
      </c>
      <c r="D170">
        <v>134</v>
      </c>
      <c r="E170">
        <v>85</v>
      </c>
      <c r="F170">
        <v>85</v>
      </c>
      <c r="G170">
        <v>86</v>
      </c>
      <c r="H170">
        <v>89</v>
      </c>
      <c r="I170">
        <v>85</v>
      </c>
      <c r="J170">
        <v>85</v>
      </c>
      <c r="K170">
        <v>85</v>
      </c>
      <c r="L170">
        <v>85</v>
      </c>
      <c r="M170">
        <v>85</v>
      </c>
      <c r="N170">
        <v>85</v>
      </c>
      <c r="O170" s="173">
        <f t="shared" si="26"/>
        <v>88.666666666666671</v>
      </c>
      <c r="P170" s="173">
        <f t="shared" si="27"/>
        <v>-6.4166666666666572</v>
      </c>
      <c r="Q170" s="177">
        <f t="shared" si="28"/>
        <v>-6.7484662576687018E-2</v>
      </c>
    </row>
    <row r="171" spans="1:17" x14ac:dyDescent="0.2">
      <c r="B171" t="s">
        <v>259</v>
      </c>
      <c r="C171">
        <v>107</v>
      </c>
      <c r="D171">
        <v>90</v>
      </c>
      <c r="E171">
        <v>90</v>
      </c>
      <c r="F171">
        <v>91</v>
      </c>
      <c r="G171">
        <v>89</v>
      </c>
      <c r="H171">
        <v>89</v>
      </c>
      <c r="I171">
        <v>87</v>
      </c>
      <c r="J171">
        <v>83</v>
      </c>
      <c r="K171">
        <v>79</v>
      </c>
      <c r="L171">
        <v>83</v>
      </c>
      <c r="M171">
        <v>84</v>
      </c>
      <c r="N171">
        <v>86</v>
      </c>
      <c r="O171" s="173">
        <f t="shared" si="26"/>
        <v>88.166666666666671</v>
      </c>
      <c r="P171" s="173">
        <f t="shared" si="27"/>
        <v>-0.5</v>
      </c>
      <c r="Q171" s="177">
        <f t="shared" si="28"/>
        <v>-5.6390977443609019E-3</v>
      </c>
    </row>
    <row r="172" spans="1:17" x14ac:dyDescent="0.2">
      <c r="B172" t="s">
        <v>280</v>
      </c>
      <c r="C172">
        <v>94</v>
      </c>
      <c r="D172">
        <v>94</v>
      </c>
      <c r="E172">
        <v>95</v>
      </c>
      <c r="F172">
        <v>92</v>
      </c>
      <c r="G172">
        <v>92</v>
      </c>
      <c r="H172">
        <v>91</v>
      </c>
      <c r="I172">
        <v>93</v>
      </c>
      <c r="J172">
        <v>90</v>
      </c>
      <c r="K172">
        <v>87</v>
      </c>
      <c r="L172">
        <v>86</v>
      </c>
      <c r="M172">
        <v>86</v>
      </c>
      <c r="N172">
        <v>85</v>
      </c>
      <c r="O172" s="173">
        <f t="shared" si="26"/>
        <v>90.416666666666671</v>
      </c>
      <c r="P172" s="173">
        <f t="shared" si="27"/>
        <v>2.25</v>
      </c>
      <c r="Q172" s="177">
        <f t="shared" si="28"/>
        <v>2.5519848771266538E-2</v>
      </c>
    </row>
    <row r="173" spans="1:17" x14ac:dyDescent="0.2">
      <c r="B173" t="s">
        <v>290</v>
      </c>
      <c r="C173">
        <v>88</v>
      </c>
      <c r="D173">
        <v>90</v>
      </c>
      <c r="E173">
        <v>90</v>
      </c>
      <c r="F173">
        <v>93</v>
      </c>
      <c r="G173">
        <v>90</v>
      </c>
      <c r="H173">
        <v>89</v>
      </c>
      <c r="I173">
        <v>112</v>
      </c>
      <c r="J173">
        <v>108</v>
      </c>
      <c r="K173">
        <v>112</v>
      </c>
      <c r="L173">
        <v>113</v>
      </c>
      <c r="M173">
        <v>109</v>
      </c>
      <c r="N173">
        <v>108</v>
      </c>
      <c r="O173" s="173">
        <f t="shared" si="26"/>
        <v>100.16666666666667</v>
      </c>
      <c r="P173" s="173">
        <f t="shared" si="27"/>
        <v>9.75</v>
      </c>
      <c r="Q173" s="177">
        <f t="shared" si="28"/>
        <v>0.10783410138248847</v>
      </c>
    </row>
    <row r="174" spans="1:17" x14ac:dyDescent="0.2">
      <c r="B174" t="s">
        <v>293</v>
      </c>
      <c r="C174">
        <v>107</v>
      </c>
      <c r="D174">
        <v>106</v>
      </c>
      <c r="E174">
        <v>105</v>
      </c>
      <c r="F174">
        <v>96</v>
      </c>
      <c r="G174">
        <v>99</v>
      </c>
      <c r="H174">
        <v>101</v>
      </c>
      <c r="I174">
        <v>103</v>
      </c>
      <c r="J174">
        <v>103</v>
      </c>
      <c r="K174">
        <v>100</v>
      </c>
      <c r="L174">
        <v>113</v>
      </c>
      <c r="M174">
        <v>118</v>
      </c>
      <c r="N174">
        <v>104</v>
      </c>
      <c r="O174" s="173">
        <f t="shared" si="26"/>
        <v>104.58333333333333</v>
      </c>
      <c r="P174" s="173">
        <f t="shared" si="27"/>
        <v>4.4166666666666572</v>
      </c>
      <c r="Q174" s="177">
        <f t="shared" si="28"/>
        <v>4.4093178036605563E-2</v>
      </c>
    </row>
    <row r="175" spans="1:17" x14ac:dyDescent="0.2">
      <c r="B175" t="s">
        <v>294</v>
      </c>
      <c r="C175">
        <v>106</v>
      </c>
      <c r="D175">
        <v>102</v>
      </c>
      <c r="E175">
        <v>105</v>
      </c>
      <c r="F175">
        <v>103</v>
      </c>
      <c r="G175">
        <v>103</v>
      </c>
      <c r="H175">
        <v>103</v>
      </c>
      <c r="I175">
        <v>99</v>
      </c>
      <c r="J175">
        <v>98</v>
      </c>
      <c r="K175">
        <v>100</v>
      </c>
      <c r="L175">
        <v>101</v>
      </c>
      <c r="M175">
        <v>100</v>
      </c>
      <c r="N175">
        <v>103</v>
      </c>
      <c r="O175" s="173">
        <f t="shared" si="26"/>
        <v>101.91666666666667</v>
      </c>
      <c r="P175" s="173">
        <f t="shared" si="27"/>
        <v>-2.6666666666666572</v>
      </c>
      <c r="Q175" s="177">
        <f t="shared" si="28"/>
        <v>-2.5498007968127401E-2</v>
      </c>
    </row>
    <row r="176" spans="1:17" x14ac:dyDescent="0.2">
      <c r="B176" t="s">
        <v>295</v>
      </c>
      <c r="C176">
        <v>96</v>
      </c>
      <c r="D176">
        <v>95</v>
      </c>
      <c r="E176">
        <v>92</v>
      </c>
      <c r="F176">
        <v>93</v>
      </c>
      <c r="G176">
        <v>90</v>
      </c>
      <c r="H176">
        <v>90</v>
      </c>
      <c r="I176">
        <v>90</v>
      </c>
      <c r="J176">
        <v>90</v>
      </c>
      <c r="K176">
        <v>91</v>
      </c>
      <c r="L176">
        <v>90</v>
      </c>
      <c r="M176">
        <v>75</v>
      </c>
      <c r="N176">
        <v>74</v>
      </c>
      <c r="O176" s="173">
        <f>SUM(C176:N176)/12</f>
        <v>88.833333333333329</v>
      </c>
      <c r="P176" s="173">
        <f t="shared" si="27"/>
        <v>-13.083333333333343</v>
      </c>
      <c r="Q176" s="177">
        <f t="shared" si="28"/>
        <v>-0.12837285363859371</v>
      </c>
    </row>
    <row r="177" spans="1:17" x14ac:dyDescent="0.2">
      <c r="B177" t="s">
        <v>335</v>
      </c>
      <c r="C177">
        <v>73</v>
      </c>
      <c r="D177">
        <v>73</v>
      </c>
      <c r="E177">
        <v>68</v>
      </c>
      <c r="F177">
        <v>69</v>
      </c>
      <c r="G177">
        <v>70</v>
      </c>
      <c r="H177">
        <v>77</v>
      </c>
      <c r="I177">
        <v>71</v>
      </c>
      <c r="J177">
        <v>74</v>
      </c>
      <c r="K177">
        <v>74</v>
      </c>
      <c r="L177">
        <v>72</v>
      </c>
      <c r="N177">
        <v>93</v>
      </c>
      <c r="O177" s="173">
        <f>SUM(C177:N177)/11</f>
        <v>74</v>
      </c>
      <c r="P177" s="173">
        <f t="shared" si="27"/>
        <v>-14.833333333333329</v>
      </c>
      <c r="Q177" s="177">
        <f t="shared" si="28"/>
        <v>-0.16697936210131328</v>
      </c>
    </row>
    <row r="178" spans="1:17" x14ac:dyDescent="0.2">
      <c r="B178" t="s">
        <v>358</v>
      </c>
      <c r="C178">
        <v>95</v>
      </c>
      <c r="D178">
        <v>93</v>
      </c>
      <c r="E178">
        <v>89</v>
      </c>
      <c r="F178">
        <v>84</v>
      </c>
      <c r="G178">
        <v>84</v>
      </c>
      <c r="H178">
        <v>86</v>
      </c>
      <c r="I178">
        <v>87</v>
      </c>
      <c r="J178">
        <v>84</v>
      </c>
      <c r="K178">
        <v>86</v>
      </c>
      <c r="L178">
        <v>89</v>
      </c>
      <c r="M178">
        <v>91</v>
      </c>
      <c r="N178">
        <v>96</v>
      </c>
      <c r="O178" s="173">
        <f t="shared" ref="O178:O184" si="29">SUM(C178:N178)/12</f>
        <v>88.666666666666671</v>
      </c>
      <c r="P178" s="173">
        <f t="shared" si="27"/>
        <v>14.666666666666671</v>
      </c>
      <c r="Q178" s="177">
        <f t="shared" si="28"/>
        <v>0.19819819819819826</v>
      </c>
    </row>
    <row r="179" spans="1:17" x14ac:dyDescent="0.2">
      <c r="B179" t="s">
        <v>437</v>
      </c>
      <c r="C179">
        <v>100</v>
      </c>
      <c r="D179">
        <v>99</v>
      </c>
      <c r="E179">
        <v>98</v>
      </c>
      <c r="F179">
        <v>99</v>
      </c>
      <c r="G179">
        <v>98</v>
      </c>
      <c r="H179">
        <v>99</v>
      </c>
      <c r="I179">
        <v>101</v>
      </c>
      <c r="J179">
        <v>102</v>
      </c>
      <c r="K179">
        <v>101</v>
      </c>
      <c r="L179">
        <v>102</v>
      </c>
      <c r="M179">
        <v>103</v>
      </c>
      <c r="N179">
        <v>107</v>
      </c>
      <c r="O179" s="173">
        <f t="shared" si="29"/>
        <v>100.75</v>
      </c>
      <c r="P179" s="173">
        <f t="shared" si="27"/>
        <v>12.083333333333329</v>
      </c>
      <c r="Q179" s="177">
        <f t="shared" si="28"/>
        <v>0.13627819548872175</v>
      </c>
    </row>
    <row r="180" spans="1:17" x14ac:dyDescent="0.2">
      <c r="B180" t="s">
        <v>471</v>
      </c>
      <c r="C180">
        <v>108</v>
      </c>
      <c r="D180">
        <v>108</v>
      </c>
      <c r="E180">
        <v>109</v>
      </c>
      <c r="F180">
        <v>106</v>
      </c>
      <c r="G180">
        <v>102</v>
      </c>
      <c r="H180">
        <v>100</v>
      </c>
      <c r="I180">
        <v>97</v>
      </c>
      <c r="J180">
        <v>94</v>
      </c>
      <c r="K180">
        <v>98</v>
      </c>
      <c r="L180">
        <v>100</v>
      </c>
      <c r="M180">
        <v>105</v>
      </c>
      <c r="N180">
        <v>101</v>
      </c>
      <c r="O180" s="173">
        <f t="shared" si="29"/>
        <v>102.33333333333333</v>
      </c>
      <c r="P180" s="173">
        <f t="shared" si="27"/>
        <v>1.5833333333333286</v>
      </c>
      <c r="Q180" s="177">
        <f t="shared" si="28"/>
        <v>1.5715467328370508E-2</v>
      </c>
    </row>
    <row r="181" spans="1:17" x14ac:dyDescent="0.2">
      <c r="B181" t="s">
        <v>537</v>
      </c>
      <c r="C181">
        <v>100</v>
      </c>
      <c r="D181">
        <v>100</v>
      </c>
      <c r="E181">
        <v>101</v>
      </c>
      <c r="F181">
        <v>94</v>
      </c>
      <c r="G181">
        <v>95</v>
      </c>
      <c r="H181">
        <v>102</v>
      </c>
      <c r="I181">
        <v>97</v>
      </c>
      <c r="J181">
        <v>96</v>
      </c>
      <c r="K181">
        <v>95</v>
      </c>
      <c r="L181">
        <v>97</v>
      </c>
      <c r="M181">
        <v>98</v>
      </c>
      <c r="N181">
        <v>97</v>
      </c>
      <c r="O181" s="173">
        <f t="shared" si="29"/>
        <v>97.666666666666671</v>
      </c>
      <c r="P181" s="173">
        <f t="shared" si="27"/>
        <v>-4.6666666666666572</v>
      </c>
      <c r="Q181" s="177">
        <f t="shared" si="28"/>
        <v>-4.5602605863192092E-2</v>
      </c>
    </row>
    <row r="182" spans="1:17" x14ac:dyDescent="0.2">
      <c r="B182" t="s">
        <v>628</v>
      </c>
      <c r="C182">
        <v>92</v>
      </c>
      <c r="D182">
        <v>97</v>
      </c>
      <c r="E182">
        <v>96</v>
      </c>
      <c r="F182">
        <v>95</v>
      </c>
      <c r="G182">
        <v>94</v>
      </c>
      <c r="H182">
        <v>93</v>
      </c>
      <c r="I182">
        <v>92</v>
      </c>
      <c r="J182">
        <v>94</v>
      </c>
      <c r="K182">
        <v>96</v>
      </c>
      <c r="L182">
        <v>90</v>
      </c>
      <c r="M182">
        <v>89</v>
      </c>
      <c r="N182">
        <v>85</v>
      </c>
      <c r="O182" s="173">
        <f t="shared" si="29"/>
        <v>92.75</v>
      </c>
      <c r="P182" s="173">
        <f>SUM(O182-O181)</f>
        <v>-4.9166666666666714</v>
      </c>
      <c r="Q182" s="177">
        <f>SUM(P182/O181)</f>
        <v>-5.0341296928327693E-2</v>
      </c>
    </row>
    <row r="183" spans="1:17" x14ac:dyDescent="0.2">
      <c r="B183" t="s">
        <v>629</v>
      </c>
      <c r="C183">
        <v>84</v>
      </c>
      <c r="D183">
        <v>85</v>
      </c>
      <c r="E183">
        <v>82</v>
      </c>
      <c r="F183">
        <v>86</v>
      </c>
      <c r="G183">
        <v>87</v>
      </c>
      <c r="H183">
        <v>88</v>
      </c>
      <c r="I183">
        <v>89</v>
      </c>
      <c r="J183">
        <v>89</v>
      </c>
      <c r="K183">
        <v>90</v>
      </c>
      <c r="L183">
        <v>88</v>
      </c>
      <c r="M183">
        <v>90</v>
      </c>
      <c r="N183">
        <v>90</v>
      </c>
      <c r="O183" s="173">
        <f t="shared" si="29"/>
        <v>87.333333333333329</v>
      </c>
      <c r="P183" s="173">
        <f>SUM(O183-O182)</f>
        <v>-5.4166666666666714</v>
      </c>
      <c r="Q183" s="177">
        <f>SUM(P183/O182)</f>
        <v>-5.8400718778077322E-2</v>
      </c>
    </row>
    <row r="184" spans="1:17" x14ac:dyDescent="0.2">
      <c r="B184" t="s">
        <v>983</v>
      </c>
      <c r="C184">
        <v>92</v>
      </c>
      <c r="D184">
        <v>85</v>
      </c>
      <c r="E184">
        <v>90</v>
      </c>
      <c r="F184">
        <v>89</v>
      </c>
      <c r="G184">
        <v>88</v>
      </c>
      <c r="H184">
        <v>86</v>
      </c>
      <c r="I184">
        <v>83</v>
      </c>
      <c r="J184">
        <v>86</v>
      </c>
      <c r="K184">
        <v>82</v>
      </c>
      <c r="L184">
        <v>83</v>
      </c>
      <c r="M184">
        <v>87</v>
      </c>
      <c r="N184">
        <v>77</v>
      </c>
      <c r="O184" s="173">
        <f t="shared" si="29"/>
        <v>85.666666666666671</v>
      </c>
      <c r="P184" s="173">
        <f>SUM(O184-O183)</f>
        <v>-1.6666666666666572</v>
      </c>
      <c r="Q184" s="177">
        <f>SUM(P184/O183)</f>
        <v>-1.9083969465648748E-2</v>
      </c>
    </row>
    <row r="185" spans="1:17" x14ac:dyDescent="0.2">
      <c r="B185" t="s">
        <v>984</v>
      </c>
      <c r="C185">
        <v>75</v>
      </c>
      <c r="D185">
        <v>68</v>
      </c>
      <c r="O185" s="173"/>
      <c r="P185" s="173"/>
      <c r="Q185" s="177"/>
    </row>
    <row r="186" spans="1:17" ht="25.5" x14ac:dyDescent="0.2">
      <c r="A186" s="175" t="s">
        <v>447</v>
      </c>
      <c r="B186" s="176" t="s">
        <v>418</v>
      </c>
      <c r="C186" s="179" t="s">
        <v>419</v>
      </c>
      <c r="D186" s="179" t="s">
        <v>420</v>
      </c>
      <c r="E186" s="179" t="s">
        <v>421</v>
      </c>
      <c r="F186" s="179" t="s">
        <v>422</v>
      </c>
      <c r="G186" s="179" t="s">
        <v>423</v>
      </c>
      <c r="H186" s="179" t="s">
        <v>424</v>
      </c>
      <c r="I186" s="179" t="s">
        <v>425</v>
      </c>
      <c r="J186" s="179" t="s">
        <v>426</v>
      </c>
      <c r="K186" s="179" t="s">
        <v>427</v>
      </c>
      <c r="L186" s="179" t="s">
        <v>428</v>
      </c>
      <c r="M186" s="179" t="s">
        <v>429</v>
      </c>
      <c r="N186" s="179" t="s">
        <v>430</v>
      </c>
    </row>
    <row r="187" spans="1:17" x14ac:dyDescent="0.2">
      <c r="B187" t="s">
        <v>434</v>
      </c>
      <c r="C187">
        <v>69</v>
      </c>
      <c r="D187">
        <v>69</v>
      </c>
      <c r="E187">
        <v>69</v>
      </c>
      <c r="F187">
        <v>69</v>
      </c>
      <c r="G187">
        <v>56</v>
      </c>
      <c r="H187">
        <v>58</v>
      </c>
      <c r="I187">
        <v>57</v>
      </c>
      <c r="J187">
        <v>58</v>
      </c>
      <c r="K187">
        <v>56</v>
      </c>
      <c r="L187">
        <v>62</v>
      </c>
      <c r="M187">
        <v>57</v>
      </c>
      <c r="N187">
        <v>58</v>
      </c>
      <c r="O187" s="173">
        <f t="shared" ref="O187:O204" si="30">SUM(C187:N187)/12</f>
        <v>61.5</v>
      </c>
      <c r="P187" s="173"/>
    </row>
    <row r="188" spans="1:17" x14ac:dyDescent="0.2">
      <c r="B188" t="s">
        <v>435</v>
      </c>
      <c r="C188">
        <v>52</v>
      </c>
      <c r="D188">
        <v>56</v>
      </c>
      <c r="E188">
        <v>51</v>
      </c>
      <c r="F188">
        <v>57</v>
      </c>
      <c r="G188">
        <v>60</v>
      </c>
      <c r="H188">
        <v>58</v>
      </c>
      <c r="I188">
        <v>62</v>
      </c>
      <c r="J188">
        <v>63</v>
      </c>
      <c r="K188">
        <v>59</v>
      </c>
      <c r="L188">
        <v>59</v>
      </c>
      <c r="M188">
        <v>62</v>
      </c>
      <c r="N188">
        <v>60</v>
      </c>
      <c r="O188" s="173">
        <f t="shared" si="30"/>
        <v>58.25</v>
      </c>
      <c r="P188" s="173">
        <f t="shared" ref="P188:P201" si="31">SUM(O188-O187)</f>
        <v>-3.25</v>
      </c>
      <c r="Q188" s="177">
        <f t="shared" ref="Q188:Q201" si="32">SUM(P188/O187)</f>
        <v>-5.2845528455284556E-2</v>
      </c>
    </row>
    <row r="189" spans="1:17" x14ac:dyDescent="0.2">
      <c r="B189" t="s">
        <v>436</v>
      </c>
      <c r="C189">
        <v>60</v>
      </c>
      <c r="D189">
        <v>55</v>
      </c>
      <c r="E189">
        <v>57</v>
      </c>
      <c r="F189">
        <v>55</v>
      </c>
      <c r="G189">
        <v>55</v>
      </c>
      <c r="H189">
        <v>52</v>
      </c>
      <c r="I189">
        <v>60</v>
      </c>
      <c r="J189">
        <v>72</v>
      </c>
      <c r="K189">
        <v>77</v>
      </c>
      <c r="L189">
        <v>82</v>
      </c>
      <c r="M189">
        <v>87</v>
      </c>
      <c r="N189">
        <v>92</v>
      </c>
      <c r="O189" s="173">
        <f t="shared" si="30"/>
        <v>67</v>
      </c>
      <c r="P189" s="173">
        <f t="shared" si="31"/>
        <v>8.75</v>
      </c>
      <c r="Q189" s="177">
        <f t="shared" si="32"/>
        <v>0.15021459227467812</v>
      </c>
    </row>
    <row r="190" spans="1:17" x14ac:dyDescent="0.2">
      <c r="B190" t="s">
        <v>260</v>
      </c>
      <c r="C190">
        <v>87</v>
      </c>
      <c r="D190">
        <v>86</v>
      </c>
      <c r="E190">
        <v>88</v>
      </c>
      <c r="F190">
        <v>86</v>
      </c>
      <c r="G190">
        <v>86</v>
      </c>
      <c r="H190">
        <v>86</v>
      </c>
      <c r="I190">
        <v>86</v>
      </c>
      <c r="J190">
        <v>86</v>
      </c>
      <c r="K190">
        <v>86</v>
      </c>
      <c r="L190">
        <v>86</v>
      </c>
      <c r="M190">
        <v>86</v>
      </c>
      <c r="N190">
        <v>86</v>
      </c>
      <c r="O190" s="173">
        <f t="shared" si="30"/>
        <v>86.25</v>
      </c>
      <c r="P190" s="173">
        <f t="shared" si="31"/>
        <v>19.25</v>
      </c>
      <c r="Q190" s="177">
        <f t="shared" si="32"/>
        <v>0.28731343283582089</v>
      </c>
    </row>
    <row r="191" spans="1:17" x14ac:dyDescent="0.2">
      <c r="B191" t="s">
        <v>259</v>
      </c>
      <c r="C191">
        <v>93</v>
      </c>
      <c r="D191">
        <v>80</v>
      </c>
      <c r="E191">
        <v>78</v>
      </c>
      <c r="F191">
        <v>78</v>
      </c>
      <c r="G191">
        <v>84</v>
      </c>
      <c r="H191">
        <v>90</v>
      </c>
      <c r="I191">
        <v>88</v>
      </c>
      <c r="J191">
        <v>92</v>
      </c>
      <c r="K191">
        <v>94</v>
      </c>
      <c r="L191">
        <v>84</v>
      </c>
      <c r="M191">
        <v>84</v>
      </c>
      <c r="N191">
        <v>85</v>
      </c>
      <c r="O191" s="173">
        <f t="shared" si="30"/>
        <v>85.833333333333329</v>
      </c>
      <c r="P191" s="173">
        <f t="shared" si="31"/>
        <v>-0.4166666666666714</v>
      </c>
      <c r="Q191" s="177">
        <f t="shared" si="32"/>
        <v>-4.8309178743961905E-3</v>
      </c>
    </row>
    <row r="192" spans="1:17" x14ac:dyDescent="0.2">
      <c r="B192" t="s">
        <v>280</v>
      </c>
      <c r="C192">
        <v>80</v>
      </c>
      <c r="D192">
        <v>84</v>
      </c>
      <c r="E192">
        <v>85</v>
      </c>
      <c r="F192">
        <v>88</v>
      </c>
      <c r="G192">
        <v>90</v>
      </c>
      <c r="H192">
        <v>95</v>
      </c>
      <c r="I192">
        <v>101</v>
      </c>
      <c r="J192">
        <v>94</v>
      </c>
      <c r="K192">
        <v>90</v>
      </c>
      <c r="L192">
        <v>93</v>
      </c>
      <c r="M192">
        <v>101</v>
      </c>
      <c r="N192">
        <v>107</v>
      </c>
      <c r="O192" s="173">
        <f t="shared" si="30"/>
        <v>92.333333333333329</v>
      </c>
      <c r="P192" s="173">
        <f t="shared" si="31"/>
        <v>6.5</v>
      </c>
      <c r="Q192" s="177">
        <f t="shared" si="32"/>
        <v>7.5728155339805828E-2</v>
      </c>
    </row>
    <row r="193" spans="1:17" x14ac:dyDescent="0.2">
      <c r="B193" t="s">
        <v>290</v>
      </c>
      <c r="C193">
        <v>112</v>
      </c>
      <c r="D193">
        <v>110</v>
      </c>
      <c r="E193">
        <v>108</v>
      </c>
      <c r="F193">
        <v>113</v>
      </c>
      <c r="G193">
        <v>112</v>
      </c>
      <c r="H193">
        <v>108</v>
      </c>
      <c r="I193">
        <v>107</v>
      </c>
      <c r="J193">
        <v>123</v>
      </c>
      <c r="K193">
        <v>114</v>
      </c>
      <c r="L193">
        <v>116</v>
      </c>
      <c r="M193">
        <v>117</v>
      </c>
      <c r="N193">
        <v>121</v>
      </c>
      <c r="O193" s="173">
        <f t="shared" si="30"/>
        <v>113.41666666666667</v>
      </c>
      <c r="P193" s="173">
        <f t="shared" si="31"/>
        <v>21.083333333333343</v>
      </c>
      <c r="Q193" s="177">
        <f t="shared" si="32"/>
        <v>0.22833935018050552</v>
      </c>
    </row>
    <row r="194" spans="1:17" x14ac:dyDescent="0.2">
      <c r="B194" t="s">
        <v>293</v>
      </c>
      <c r="C194">
        <v>121</v>
      </c>
      <c r="D194">
        <v>122</v>
      </c>
      <c r="E194">
        <v>122</v>
      </c>
      <c r="F194">
        <v>126</v>
      </c>
      <c r="G194">
        <v>124</v>
      </c>
      <c r="H194">
        <v>122</v>
      </c>
      <c r="I194">
        <v>124</v>
      </c>
      <c r="J194">
        <v>122</v>
      </c>
      <c r="K194">
        <v>121</v>
      </c>
      <c r="L194">
        <v>115</v>
      </c>
      <c r="M194">
        <v>114</v>
      </c>
      <c r="N194">
        <v>121</v>
      </c>
      <c r="O194" s="173">
        <f t="shared" si="30"/>
        <v>121.16666666666667</v>
      </c>
      <c r="P194" s="173">
        <f t="shared" si="31"/>
        <v>7.75</v>
      </c>
      <c r="Q194" s="177">
        <f t="shared" si="32"/>
        <v>6.8332108743570902E-2</v>
      </c>
    </row>
    <row r="195" spans="1:17" x14ac:dyDescent="0.2">
      <c r="B195" t="s">
        <v>294</v>
      </c>
      <c r="C195">
        <v>99</v>
      </c>
      <c r="D195">
        <v>100</v>
      </c>
      <c r="E195">
        <v>107</v>
      </c>
      <c r="F195">
        <v>104</v>
      </c>
      <c r="G195">
        <v>103</v>
      </c>
      <c r="H195">
        <v>100</v>
      </c>
      <c r="I195">
        <v>101</v>
      </c>
      <c r="J195">
        <v>98</v>
      </c>
      <c r="K195">
        <v>92</v>
      </c>
      <c r="L195">
        <v>85</v>
      </c>
      <c r="M195">
        <v>92</v>
      </c>
      <c r="N195">
        <v>88</v>
      </c>
      <c r="O195" s="173">
        <f t="shared" si="30"/>
        <v>97.416666666666671</v>
      </c>
      <c r="P195" s="173">
        <f t="shared" si="31"/>
        <v>-23.75</v>
      </c>
      <c r="Q195" s="177">
        <f t="shared" si="32"/>
        <v>-0.19601100412654746</v>
      </c>
    </row>
    <row r="196" spans="1:17" x14ac:dyDescent="0.2">
      <c r="B196" t="s">
        <v>295</v>
      </c>
      <c r="C196">
        <v>79</v>
      </c>
      <c r="D196">
        <v>82</v>
      </c>
      <c r="E196">
        <v>82</v>
      </c>
      <c r="F196">
        <v>78</v>
      </c>
      <c r="G196">
        <v>79</v>
      </c>
      <c r="H196">
        <v>83</v>
      </c>
      <c r="I196">
        <v>84</v>
      </c>
      <c r="J196">
        <v>90</v>
      </c>
      <c r="K196">
        <v>95</v>
      </c>
      <c r="L196">
        <v>94</v>
      </c>
      <c r="M196">
        <v>94</v>
      </c>
      <c r="N196">
        <v>72</v>
      </c>
      <c r="O196" s="173">
        <f t="shared" si="30"/>
        <v>84.333333333333329</v>
      </c>
      <c r="P196" s="173">
        <f t="shared" si="31"/>
        <v>-13.083333333333343</v>
      </c>
      <c r="Q196" s="177">
        <f t="shared" si="32"/>
        <v>-0.13430282292557752</v>
      </c>
    </row>
    <row r="197" spans="1:17" x14ac:dyDescent="0.2">
      <c r="B197" t="s">
        <v>335</v>
      </c>
      <c r="C197">
        <v>84</v>
      </c>
      <c r="D197">
        <v>87</v>
      </c>
      <c r="E197">
        <v>92</v>
      </c>
      <c r="F197">
        <v>97</v>
      </c>
      <c r="G197">
        <v>101</v>
      </c>
      <c r="H197">
        <v>100</v>
      </c>
      <c r="I197">
        <v>85</v>
      </c>
      <c r="J197">
        <v>86</v>
      </c>
      <c r="K197">
        <v>90</v>
      </c>
      <c r="L197">
        <v>89</v>
      </c>
      <c r="M197">
        <v>83</v>
      </c>
      <c r="N197">
        <v>82</v>
      </c>
      <c r="O197" s="173">
        <f t="shared" si="30"/>
        <v>89.666666666666671</v>
      </c>
      <c r="P197" s="173">
        <f t="shared" si="31"/>
        <v>5.3333333333333428</v>
      </c>
      <c r="Q197" s="177">
        <f t="shared" si="32"/>
        <v>6.324110671936771E-2</v>
      </c>
    </row>
    <row r="198" spans="1:17" x14ac:dyDescent="0.2">
      <c r="B198" t="s">
        <v>358</v>
      </c>
      <c r="C198">
        <v>87</v>
      </c>
      <c r="D198">
        <v>86</v>
      </c>
      <c r="E198">
        <v>87</v>
      </c>
      <c r="F198">
        <v>77</v>
      </c>
      <c r="G198">
        <v>76</v>
      </c>
      <c r="H198">
        <v>73</v>
      </c>
      <c r="I198">
        <v>69</v>
      </c>
      <c r="J198">
        <v>75</v>
      </c>
      <c r="K198">
        <v>74</v>
      </c>
      <c r="L198">
        <v>74</v>
      </c>
      <c r="M198">
        <v>72</v>
      </c>
      <c r="N198">
        <v>73</v>
      </c>
      <c r="O198" s="173">
        <f t="shared" si="30"/>
        <v>76.916666666666671</v>
      </c>
      <c r="P198" s="173">
        <f t="shared" si="31"/>
        <v>-12.75</v>
      </c>
      <c r="Q198" s="177">
        <f t="shared" si="32"/>
        <v>-0.14219330855018586</v>
      </c>
    </row>
    <row r="199" spans="1:17" x14ac:dyDescent="0.2">
      <c r="B199" t="s">
        <v>437</v>
      </c>
      <c r="C199">
        <v>74</v>
      </c>
      <c r="D199">
        <v>71</v>
      </c>
      <c r="E199">
        <v>77</v>
      </c>
      <c r="F199">
        <v>76</v>
      </c>
      <c r="G199">
        <v>78</v>
      </c>
      <c r="H199">
        <v>71</v>
      </c>
      <c r="I199">
        <v>69</v>
      </c>
      <c r="J199">
        <v>64</v>
      </c>
      <c r="K199">
        <v>62</v>
      </c>
      <c r="L199">
        <v>55</v>
      </c>
      <c r="M199">
        <v>55</v>
      </c>
      <c r="N199">
        <v>54</v>
      </c>
      <c r="O199" s="173">
        <f t="shared" si="30"/>
        <v>67.166666666666671</v>
      </c>
      <c r="P199" s="173">
        <f t="shared" si="31"/>
        <v>-9.75</v>
      </c>
      <c r="Q199" s="177">
        <f t="shared" si="32"/>
        <v>-0.12676056338028169</v>
      </c>
    </row>
    <row r="200" spans="1:17" x14ac:dyDescent="0.2">
      <c r="B200" t="s">
        <v>471</v>
      </c>
      <c r="C200">
        <v>59</v>
      </c>
      <c r="D200">
        <v>57</v>
      </c>
      <c r="E200">
        <v>54</v>
      </c>
      <c r="F200">
        <v>53</v>
      </c>
      <c r="G200">
        <v>56</v>
      </c>
      <c r="H200">
        <v>62</v>
      </c>
      <c r="I200">
        <v>55</v>
      </c>
      <c r="J200">
        <v>50</v>
      </c>
      <c r="K200">
        <v>49</v>
      </c>
      <c r="L200">
        <v>51</v>
      </c>
      <c r="M200">
        <v>52</v>
      </c>
      <c r="N200">
        <v>50</v>
      </c>
      <c r="O200" s="173">
        <f t="shared" si="30"/>
        <v>54</v>
      </c>
      <c r="P200" s="173">
        <f t="shared" si="31"/>
        <v>-13.166666666666671</v>
      </c>
      <c r="Q200" s="177">
        <f t="shared" si="32"/>
        <v>-0.19602977667493801</v>
      </c>
    </row>
    <row r="201" spans="1:17" x14ac:dyDescent="0.2">
      <c r="B201" t="s">
        <v>537</v>
      </c>
      <c r="C201">
        <v>54</v>
      </c>
      <c r="D201">
        <v>57</v>
      </c>
      <c r="E201">
        <v>63</v>
      </c>
      <c r="F201">
        <v>64</v>
      </c>
      <c r="G201">
        <v>67</v>
      </c>
      <c r="H201">
        <v>65</v>
      </c>
      <c r="I201">
        <v>65</v>
      </c>
      <c r="J201">
        <v>65</v>
      </c>
      <c r="K201">
        <v>67</v>
      </c>
      <c r="L201">
        <v>66</v>
      </c>
      <c r="M201">
        <v>66</v>
      </c>
      <c r="N201">
        <v>69</v>
      </c>
      <c r="O201" s="173">
        <f t="shared" si="30"/>
        <v>64</v>
      </c>
      <c r="P201" s="173">
        <f t="shared" si="31"/>
        <v>10</v>
      </c>
      <c r="Q201" s="177">
        <f t="shared" si="32"/>
        <v>0.18518518518518517</v>
      </c>
    </row>
    <row r="202" spans="1:17" x14ac:dyDescent="0.2">
      <c r="B202" t="s">
        <v>628</v>
      </c>
      <c r="C202">
        <v>65</v>
      </c>
      <c r="D202">
        <v>59</v>
      </c>
      <c r="E202">
        <v>54</v>
      </c>
      <c r="F202">
        <v>55</v>
      </c>
      <c r="G202">
        <v>55</v>
      </c>
      <c r="H202">
        <v>58</v>
      </c>
      <c r="I202">
        <v>57</v>
      </c>
      <c r="J202">
        <v>57</v>
      </c>
      <c r="K202">
        <v>58</v>
      </c>
      <c r="L202">
        <v>58</v>
      </c>
      <c r="M202">
        <v>67</v>
      </c>
      <c r="N202">
        <v>66</v>
      </c>
      <c r="O202" s="173">
        <f t="shared" si="30"/>
        <v>59.083333333333336</v>
      </c>
      <c r="P202" s="173">
        <f>SUM(O202-O201)</f>
        <v>-4.9166666666666643</v>
      </c>
      <c r="Q202" s="177">
        <f>SUM(P202/O201)</f>
        <v>-7.682291666666663E-2</v>
      </c>
    </row>
    <row r="203" spans="1:17" x14ac:dyDescent="0.2">
      <c r="B203" t="s">
        <v>629</v>
      </c>
      <c r="C203">
        <v>66</v>
      </c>
      <c r="D203">
        <v>61</v>
      </c>
      <c r="E203">
        <v>46</v>
      </c>
      <c r="F203">
        <v>43</v>
      </c>
      <c r="G203">
        <v>41</v>
      </c>
      <c r="H203">
        <v>37</v>
      </c>
      <c r="I203">
        <v>40</v>
      </c>
      <c r="J203">
        <v>39</v>
      </c>
      <c r="K203">
        <v>38</v>
      </c>
      <c r="L203">
        <v>37</v>
      </c>
      <c r="M203">
        <v>37</v>
      </c>
      <c r="N203">
        <v>34</v>
      </c>
      <c r="O203" s="173">
        <f t="shared" si="30"/>
        <v>43.25</v>
      </c>
      <c r="P203" s="173">
        <f>SUM(O203-O202)</f>
        <v>-15.833333333333336</v>
      </c>
      <c r="Q203" s="177">
        <f>SUM(P203/O202)</f>
        <v>-0.26798307475317351</v>
      </c>
    </row>
    <row r="204" spans="1:17" x14ac:dyDescent="0.2">
      <c r="B204" t="s">
        <v>983</v>
      </c>
      <c r="C204">
        <v>38</v>
      </c>
      <c r="D204">
        <v>38</v>
      </c>
      <c r="E204">
        <v>34</v>
      </c>
      <c r="F204">
        <v>33</v>
      </c>
      <c r="G204">
        <v>32</v>
      </c>
      <c r="H204">
        <v>32</v>
      </c>
      <c r="I204">
        <v>34</v>
      </c>
      <c r="J204">
        <v>31</v>
      </c>
      <c r="K204">
        <v>31</v>
      </c>
      <c r="L204">
        <v>38</v>
      </c>
      <c r="M204">
        <v>39</v>
      </c>
      <c r="N204">
        <v>37</v>
      </c>
      <c r="O204" s="173">
        <f t="shared" si="30"/>
        <v>34.75</v>
      </c>
      <c r="P204" s="173">
        <f>SUM(O204-O203)</f>
        <v>-8.5</v>
      </c>
      <c r="Q204" s="177">
        <f>SUM(P204/O203)</f>
        <v>-0.19653179190751446</v>
      </c>
    </row>
    <row r="205" spans="1:17" x14ac:dyDescent="0.2">
      <c r="B205" t="s">
        <v>984</v>
      </c>
      <c r="C205">
        <v>37</v>
      </c>
      <c r="D205">
        <v>38</v>
      </c>
      <c r="O205" s="173"/>
      <c r="P205" s="173"/>
      <c r="Q205" s="177"/>
    </row>
    <row r="206" spans="1:17" x14ac:dyDescent="0.2">
      <c r="A206" s="531"/>
      <c r="B206" s="531"/>
      <c r="C206" s="531"/>
      <c r="D206" s="531"/>
      <c r="E206" s="531"/>
      <c r="F206" s="531"/>
      <c r="G206" s="531"/>
      <c r="H206" s="531"/>
      <c r="I206" s="531"/>
      <c r="J206" s="531"/>
      <c r="K206" s="531"/>
      <c r="L206" s="531"/>
      <c r="M206" s="531"/>
      <c r="N206" s="531"/>
      <c r="O206" s="531"/>
      <c r="P206" s="531"/>
      <c r="Q206" s="531"/>
    </row>
    <row r="207" spans="1:17" ht="25.5" x14ac:dyDescent="0.2">
      <c r="A207" s="175" t="s">
        <v>448</v>
      </c>
      <c r="B207" s="176" t="s">
        <v>418</v>
      </c>
      <c r="C207" s="179" t="s">
        <v>419</v>
      </c>
      <c r="D207" s="179" t="s">
        <v>420</v>
      </c>
      <c r="E207" s="179" t="s">
        <v>421</v>
      </c>
      <c r="F207" s="179" t="s">
        <v>422</v>
      </c>
      <c r="G207" s="179" t="s">
        <v>423</v>
      </c>
      <c r="H207" s="179" t="s">
        <v>424</v>
      </c>
      <c r="I207" s="179" t="s">
        <v>425</v>
      </c>
      <c r="J207" s="179" t="s">
        <v>426</v>
      </c>
      <c r="K207" s="179" t="s">
        <v>427</v>
      </c>
      <c r="L207" s="179" t="s">
        <v>428</v>
      </c>
      <c r="M207" s="179" t="s">
        <v>429</v>
      </c>
      <c r="N207" s="179" t="s">
        <v>430</v>
      </c>
    </row>
    <row r="208" spans="1:17" x14ac:dyDescent="0.2">
      <c r="B208" t="s">
        <v>434</v>
      </c>
      <c r="C208">
        <v>92</v>
      </c>
      <c r="D208">
        <v>91</v>
      </c>
      <c r="E208">
        <v>97</v>
      </c>
      <c r="F208">
        <v>94</v>
      </c>
      <c r="G208">
        <v>87</v>
      </c>
      <c r="H208">
        <v>85</v>
      </c>
      <c r="I208">
        <v>91</v>
      </c>
      <c r="J208">
        <v>89</v>
      </c>
      <c r="K208">
        <v>92</v>
      </c>
      <c r="L208">
        <v>92</v>
      </c>
      <c r="M208">
        <v>94</v>
      </c>
      <c r="N208">
        <v>92</v>
      </c>
      <c r="O208" s="173">
        <f t="shared" ref="O208:O225" si="33">SUM(C208:N208)/12</f>
        <v>91.333333333333329</v>
      </c>
      <c r="P208" s="173"/>
    </row>
    <row r="209" spans="2:17" x14ac:dyDescent="0.2">
      <c r="B209" t="s">
        <v>435</v>
      </c>
      <c r="C209">
        <v>90</v>
      </c>
      <c r="D209">
        <v>98</v>
      </c>
      <c r="E209">
        <v>89</v>
      </c>
      <c r="F209">
        <v>84</v>
      </c>
      <c r="G209">
        <v>84</v>
      </c>
      <c r="H209">
        <v>78</v>
      </c>
      <c r="I209">
        <v>83</v>
      </c>
      <c r="J209">
        <v>87</v>
      </c>
      <c r="K209">
        <v>81</v>
      </c>
      <c r="L209">
        <v>81</v>
      </c>
      <c r="M209">
        <v>77</v>
      </c>
      <c r="N209">
        <v>79</v>
      </c>
      <c r="O209" s="173">
        <f t="shared" si="33"/>
        <v>84.25</v>
      </c>
      <c r="P209" s="173">
        <f t="shared" ref="P209:P222" si="34">SUM(O209-O208)</f>
        <v>-7.0833333333333286</v>
      </c>
      <c r="Q209" s="177">
        <f t="shared" ref="Q209:Q222" si="35">SUM(P209/O208)</f>
        <v>-7.7554744525547392E-2</v>
      </c>
    </row>
    <row r="210" spans="2:17" x14ac:dyDescent="0.2">
      <c r="B210" t="s">
        <v>436</v>
      </c>
      <c r="C210">
        <v>81</v>
      </c>
      <c r="D210">
        <v>78</v>
      </c>
      <c r="E210">
        <v>73</v>
      </c>
      <c r="F210">
        <v>77</v>
      </c>
      <c r="G210">
        <v>86</v>
      </c>
      <c r="H210">
        <v>96</v>
      </c>
      <c r="I210">
        <v>84</v>
      </c>
      <c r="J210">
        <v>72</v>
      </c>
      <c r="K210">
        <v>74</v>
      </c>
      <c r="L210">
        <v>76</v>
      </c>
      <c r="M210">
        <v>78</v>
      </c>
      <c r="N210">
        <v>88</v>
      </c>
      <c r="O210" s="173">
        <f t="shared" si="33"/>
        <v>80.25</v>
      </c>
      <c r="P210" s="173">
        <f t="shared" si="34"/>
        <v>-4</v>
      </c>
      <c r="Q210" s="177">
        <f t="shared" si="35"/>
        <v>-4.7477744807121663E-2</v>
      </c>
    </row>
    <row r="211" spans="2:17" x14ac:dyDescent="0.2">
      <c r="B211" t="s">
        <v>260</v>
      </c>
      <c r="C211">
        <v>98</v>
      </c>
      <c r="D211">
        <v>98</v>
      </c>
      <c r="E211">
        <v>100</v>
      </c>
      <c r="F211">
        <v>93</v>
      </c>
      <c r="G211">
        <v>93</v>
      </c>
      <c r="H211">
        <v>93</v>
      </c>
      <c r="I211">
        <v>93</v>
      </c>
      <c r="J211">
        <v>93</v>
      </c>
      <c r="K211">
        <v>93</v>
      </c>
      <c r="L211">
        <v>93</v>
      </c>
      <c r="M211">
        <v>93</v>
      </c>
      <c r="N211">
        <v>93</v>
      </c>
      <c r="O211" s="173">
        <f t="shared" si="33"/>
        <v>94.416666666666671</v>
      </c>
      <c r="P211" s="173">
        <f t="shared" si="34"/>
        <v>14.166666666666671</v>
      </c>
      <c r="Q211" s="177">
        <f t="shared" si="35"/>
        <v>0.17653167185877472</v>
      </c>
    </row>
    <row r="212" spans="2:17" x14ac:dyDescent="0.2">
      <c r="B212" t="s">
        <v>259</v>
      </c>
      <c r="C212">
        <v>106</v>
      </c>
      <c r="D212">
        <v>90</v>
      </c>
      <c r="E212">
        <v>91</v>
      </c>
      <c r="F212">
        <v>91</v>
      </c>
      <c r="G212">
        <v>87</v>
      </c>
      <c r="H212">
        <v>80</v>
      </c>
      <c r="I212">
        <v>76</v>
      </c>
      <c r="J212">
        <v>78</v>
      </c>
      <c r="K212">
        <v>83</v>
      </c>
      <c r="L212">
        <v>92</v>
      </c>
      <c r="M212">
        <v>99</v>
      </c>
      <c r="N212">
        <v>101</v>
      </c>
      <c r="O212" s="173">
        <f t="shared" si="33"/>
        <v>89.5</v>
      </c>
      <c r="P212" s="173">
        <f t="shared" si="34"/>
        <v>-4.9166666666666714</v>
      </c>
      <c r="Q212" s="177">
        <f t="shared" si="35"/>
        <v>-5.2074139452780277E-2</v>
      </c>
    </row>
    <row r="213" spans="2:17" x14ac:dyDescent="0.2">
      <c r="B213" t="s">
        <v>280</v>
      </c>
      <c r="C213">
        <v>93</v>
      </c>
      <c r="D213">
        <v>90</v>
      </c>
      <c r="E213">
        <v>91</v>
      </c>
      <c r="F213">
        <v>94</v>
      </c>
      <c r="G213">
        <v>91</v>
      </c>
      <c r="H213">
        <v>91</v>
      </c>
      <c r="I213">
        <v>93</v>
      </c>
      <c r="J213">
        <v>90</v>
      </c>
      <c r="K213">
        <v>83</v>
      </c>
      <c r="L213">
        <v>84</v>
      </c>
      <c r="M213">
        <v>79</v>
      </c>
      <c r="N213">
        <v>77</v>
      </c>
      <c r="O213" s="173">
        <f t="shared" si="33"/>
        <v>88</v>
      </c>
      <c r="P213" s="173">
        <f t="shared" si="34"/>
        <v>-1.5</v>
      </c>
      <c r="Q213" s="177">
        <f t="shared" si="35"/>
        <v>-1.6759776536312849E-2</v>
      </c>
    </row>
    <row r="214" spans="2:17" x14ac:dyDescent="0.2">
      <c r="B214" t="s">
        <v>290</v>
      </c>
      <c r="C214">
        <v>79</v>
      </c>
      <c r="D214">
        <v>78</v>
      </c>
      <c r="E214">
        <v>74</v>
      </c>
      <c r="F214">
        <v>69</v>
      </c>
      <c r="G214">
        <v>66</v>
      </c>
      <c r="H214">
        <v>62</v>
      </c>
      <c r="I214">
        <v>59</v>
      </c>
      <c r="J214">
        <v>64</v>
      </c>
      <c r="K214">
        <v>59</v>
      </c>
      <c r="L214">
        <v>55</v>
      </c>
      <c r="M214">
        <v>61</v>
      </c>
      <c r="N214">
        <v>64</v>
      </c>
      <c r="O214" s="173">
        <f t="shared" si="33"/>
        <v>65.833333333333329</v>
      </c>
      <c r="P214" s="173">
        <f t="shared" si="34"/>
        <v>-22.166666666666671</v>
      </c>
      <c r="Q214" s="177">
        <f t="shared" si="35"/>
        <v>-0.25189393939393945</v>
      </c>
    </row>
    <row r="215" spans="2:17" x14ac:dyDescent="0.2">
      <c r="B215" t="s">
        <v>293</v>
      </c>
      <c r="C215">
        <v>68</v>
      </c>
      <c r="D215">
        <v>67</v>
      </c>
      <c r="E215">
        <v>71</v>
      </c>
      <c r="F215">
        <v>72</v>
      </c>
      <c r="G215">
        <v>81</v>
      </c>
      <c r="H215">
        <v>85</v>
      </c>
      <c r="I215">
        <v>85</v>
      </c>
      <c r="J215">
        <v>85</v>
      </c>
      <c r="K215">
        <v>73</v>
      </c>
      <c r="L215">
        <v>82</v>
      </c>
      <c r="M215">
        <v>78</v>
      </c>
      <c r="N215">
        <v>80</v>
      </c>
      <c r="O215" s="173">
        <f t="shared" si="33"/>
        <v>77.25</v>
      </c>
      <c r="P215" s="173">
        <f t="shared" si="34"/>
        <v>11.416666666666671</v>
      </c>
      <c r="Q215" s="177">
        <f t="shared" si="35"/>
        <v>0.17341772151898743</v>
      </c>
    </row>
    <row r="216" spans="2:17" x14ac:dyDescent="0.2">
      <c r="B216" t="s">
        <v>294</v>
      </c>
      <c r="C216">
        <v>77</v>
      </c>
      <c r="D216">
        <v>75</v>
      </c>
      <c r="E216">
        <v>74</v>
      </c>
      <c r="F216">
        <v>75</v>
      </c>
      <c r="G216">
        <v>75</v>
      </c>
      <c r="H216">
        <v>77</v>
      </c>
      <c r="I216">
        <v>81</v>
      </c>
      <c r="J216">
        <v>79</v>
      </c>
      <c r="K216">
        <v>79</v>
      </c>
      <c r="L216">
        <v>79</v>
      </c>
      <c r="M216">
        <v>80</v>
      </c>
      <c r="N216">
        <v>76</v>
      </c>
      <c r="O216" s="173">
        <f t="shared" si="33"/>
        <v>77.25</v>
      </c>
      <c r="P216" s="173">
        <f t="shared" si="34"/>
        <v>0</v>
      </c>
      <c r="Q216" s="177">
        <f t="shared" si="35"/>
        <v>0</v>
      </c>
    </row>
    <row r="217" spans="2:17" x14ac:dyDescent="0.2">
      <c r="B217" t="s">
        <v>295</v>
      </c>
      <c r="C217">
        <v>68</v>
      </c>
      <c r="D217">
        <v>66</v>
      </c>
      <c r="E217">
        <v>65</v>
      </c>
      <c r="F217">
        <v>61</v>
      </c>
      <c r="G217">
        <v>59</v>
      </c>
      <c r="H217">
        <v>57</v>
      </c>
      <c r="I217">
        <v>55</v>
      </c>
      <c r="J217">
        <v>56</v>
      </c>
      <c r="K217">
        <v>58</v>
      </c>
      <c r="L217">
        <v>60</v>
      </c>
      <c r="M217">
        <v>61</v>
      </c>
      <c r="N217">
        <v>62</v>
      </c>
      <c r="O217" s="173">
        <f t="shared" si="33"/>
        <v>60.666666666666664</v>
      </c>
      <c r="P217" s="173">
        <f t="shared" si="34"/>
        <v>-16.583333333333336</v>
      </c>
      <c r="Q217" s="177">
        <f t="shared" si="35"/>
        <v>-0.21467098166127296</v>
      </c>
    </row>
    <row r="218" spans="2:17" x14ac:dyDescent="0.2">
      <c r="B218" t="s">
        <v>335</v>
      </c>
      <c r="C218">
        <v>58</v>
      </c>
      <c r="D218">
        <v>59</v>
      </c>
      <c r="E218">
        <v>55</v>
      </c>
      <c r="F218">
        <v>68</v>
      </c>
      <c r="G218">
        <v>62</v>
      </c>
      <c r="H218">
        <v>58</v>
      </c>
      <c r="I218">
        <v>55</v>
      </c>
      <c r="J218">
        <v>58</v>
      </c>
      <c r="K218">
        <v>59</v>
      </c>
      <c r="L218">
        <v>57</v>
      </c>
      <c r="M218">
        <v>52</v>
      </c>
      <c r="N218">
        <v>54</v>
      </c>
      <c r="O218" s="173">
        <f t="shared" si="33"/>
        <v>57.916666666666664</v>
      </c>
      <c r="P218" s="173">
        <f t="shared" si="34"/>
        <v>-2.75</v>
      </c>
      <c r="Q218" s="177">
        <f t="shared" si="35"/>
        <v>-4.5329670329670328E-2</v>
      </c>
    </row>
    <row r="219" spans="2:17" x14ac:dyDescent="0.2">
      <c r="B219" t="s">
        <v>358</v>
      </c>
      <c r="C219">
        <v>55</v>
      </c>
      <c r="D219">
        <v>55</v>
      </c>
      <c r="E219">
        <v>49</v>
      </c>
      <c r="F219">
        <v>51</v>
      </c>
      <c r="G219">
        <v>53</v>
      </c>
      <c r="H219">
        <v>57</v>
      </c>
      <c r="I219">
        <v>63</v>
      </c>
      <c r="J219">
        <v>65</v>
      </c>
      <c r="K219">
        <v>65</v>
      </c>
      <c r="L219">
        <v>61</v>
      </c>
      <c r="M219">
        <v>66</v>
      </c>
      <c r="N219">
        <v>63</v>
      </c>
      <c r="O219" s="173">
        <f t="shared" si="33"/>
        <v>58.583333333333336</v>
      </c>
      <c r="P219" s="173">
        <f t="shared" si="34"/>
        <v>0.6666666666666714</v>
      </c>
      <c r="Q219" s="177">
        <f t="shared" si="35"/>
        <v>1.1510791366906557E-2</v>
      </c>
    </row>
    <row r="220" spans="2:17" x14ac:dyDescent="0.2">
      <c r="B220" t="s">
        <v>437</v>
      </c>
      <c r="C220">
        <v>63</v>
      </c>
      <c r="D220">
        <v>66</v>
      </c>
      <c r="E220">
        <v>66</v>
      </c>
      <c r="F220">
        <v>59</v>
      </c>
      <c r="G220">
        <v>69</v>
      </c>
      <c r="H220">
        <v>72</v>
      </c>
      <c r="I220">
        <v>76</v>
      </c>
      <c r="J220">
        <v>75</v>
      </c>
      <c r="K220">
        <v>81</v>
      </c>
      <c r="L220">
        <v>82</v>
      </c>
      <c r="M220">
        <v>70</v>
      </c>
      <c r="N220">
        <v>80</v>
      </c>
      <c r="O220" s="173">
        <f t="shared" si="33"/>
        <v>71.583333333333329</v>
      </c>
      <c r="P220" s="173">
        <f t="shared" si="34"/>
        <v>12.999999999999993</v>
      </c>
      <c r="Q220" s="177">
        <f t="shared" si="35"/>
        <v>0.22190611664295862</v>
      </c>
    </row>
    <row r="221" spans="2:17" x14ac:dyDescent="0.2">
      <c r="B221" t="s">
        <v>471</v>
      </c>
      <c r="C221">
        <v>72</v>
      </c>
      <c r="D221">
        <v>71</v>
      </c>
      <c r="E221">
        <v>74</v>
      </c>
      <c r="F221">
        <v>75</v>
      </c>
      <c r="G221">
        <v>69</v>
      </c>
      <c r="H221">
        <v>74</v>
      </c>
      <c r="I221">
        <v>72</v>
      </c>
      <c r="J221">
        <v>74</v>
      </c>
      <c r="K221">
        <v>79</v>
      </c>
      <c r="L221">
        <v>82</v>
      </c>
      <c r="M221">
        <v>87</v>
      </c>
      <c r="N221">
        <v>87</v>
      </c>
      <c r="O221" s="173">
        <f t="shared" si="33"/>
        <v>76.333333333333329</v>
      </c>
      <c r="P221" s="173">
        <f t="shared" si="34"/>
        <v>4.75</v>
      </c>
      <c r="Q221" s="177">
        <f t="shared" si="35"/>
        <v>6.6356228172293363E-2</v>
      </c>
    </row>
    <row r="222" spans="2:17" x14ac:dyDescent="0.2">
      <c r="B222" t="s">
        <v>537</v>
      </c>
      <c r="C222">
        <v>94</v>
      </c>
      <c r="D222">
        <v>94</v>
      </c>
      <c r="E222">
        <v>101</v>
      </c>
      <c r="F222">
        <v>108</v>
      </c>
      <c r="G222">
        <v>108</v>
      </c>
      <c r="H222">
        <v>107</v>
      </c>
      <c r="I222">
        <v>98</v>
      </c>
      <c r="J222">
        <v>97</v>
      </c>
      <c r="K222">
        <v>96</v>
      </c>
      <c r="L222">
        <v>98</v>
      </c>
      <c r="M222">
        <v>100</v>
      </c>
      <c r="N222">
        <v>101</v>
      </c>
      <c r="O222" s="173">
        <f t="shared" si="33"/>
        <v>100.16666666666667</v>
      </c>
      <c r="P222" s="173">
        <f t="shared" si="34"/>
        <v>23.833333333333343</v>
      </c>
      <c r="Q222" s="177">
        <f t="shared" si="35"/>
        <v>0.31222707423580798</v>
      </c>
    </row>
    <row r="223" spans="2:17" x14ac:dyDescent="0.2">
      <c r="B223" t="s">
        <v>628</v>
      </c>
      <c r="C223">
        <v>101</v>
      </c>
      <c r="D223">
        <v>96</v>
      </c>
      <c r="E223">
        <v>102</v>
      </c>
      <c r="F223">
        <v>105</v>
      </c>
      <c r="G223">
        <v>103</v>
      </c>
      <c r="H223">
        <v>104</v>
      </c>
      <c r="I223">
        <v>101</v>
      </c>
      <c r="J223">
        <v>103</v>
      </c>
      <c r="K223">
        <v>94</v>
      </c>
      <c r="L223">
        <v>106</v>
      </c>
      <c r="M223">
        <v>101</v>
      </c>
      <c r="N223">
        <v>100</v>
      </c>
      <c r="O223" s="173">
        <f t="shared" si="33"/>
        <v>101.33333333333333</v>
      </c>
      <c r="P223" s="173">
        <f>SUM(O223-O222)</f>
        <v>1.1666666666666572</v>
      </c>
      <c r="Q223" s="177">
        <f>SUM(P223/O222)</f>
        <v>1.1647254575707059E-2</v>
      </c>
    </row>
    <row r="224" spans="2:17" x14ac:dyDescent="0.2">
      <c r="B224" t="s">
        <v>629</v>
      </c>
      <c r="C224">
        <v>95</v>
      </c>
      <c r="D224">
        <v>93</v>
      </c>
      <c r="E224">
        <v>93</v>
      </c>
      <c r="F224">
        <v>97</v>
      </c>
      <c r="G224">
        <v>93</v>
      </c>
      <c r="H224">
        <v>91</v>
      </c>
      <c r="I224">
        <v>92</v>
      </c>
      <c r="J224">
        <v>91</v>
      </c>
      <c r="K224">
        <v>87</v>
      </c>
      <c r="L224">
        <v>88</v>
      </c>
      <c r="M224">
        <v>86</v>
      </c>
      <c r="N224">
        <v>84</v>
      </c>
      <c r="O224" s="173">
        <f t="shared" si="33"/>
        <v>90.833333333333329</v>
      </c>
      <c r="P224" s="173">
        <f>SUM(O224-O223)</f>
        <v>-10.5</v>
      </c>
      <c r="Q224" s="177">
        <f>SUM(P224/O223)</f>
        <v>-0.10361842105263158</v>
      </c>
    </row>
    <row r="225" spans="1:17" x14ac:dyDescent="0.2">
      <c r="B225" t="s">
        <v>983</v>
      </c>
      <c r="C225">
        <v>89</v>
      </c>
      <c r="D225">
        <v>94</v>
      </c>
      <c r="E225">
        <v>94</v>
      </c>
      <c r="F225">
        <v>92</v>
      </c>
      <c r="G225">
        <v>93</v>
      </c>
      <c r="H225">
        <v>98</v>
      </c>
      <c r="I225">
        <v>98</v>
      </c>
      <c r="J225">
        <v>96</v>
      </c>
      <c r="K225">
        <v>101</v>
      </c>
      <c r="L225">
        <v>100</v>
      </c>
      <c r="M225">
        <v>98</v>
      </c>
      <c r="N225">
        <v>99</v>
      </c>
      <c r="O225" s="173">
        <f t="shared" si="33"/>
        <v>96</v>
      </c>
      <c r="P225" s="173">
        <f>SUM(O225-O224)</f>
        <v>5.1666666666666714</v>
      </c>
      <c r="Q225" s="177">
        <f>SUM(P225/O224)</f>
        <v>5.688073394495418E-2</v>
      </c>
    </row>
    <row r="226" spans="1:17" x14ac:dyDescent="0.2">
      <c r="B226" t="s">
        <v>984</v>
      </c>
      <c r="C226">
        <v>92</v>
      </c>
      <c r="D226">
        <v>89</v>
      </c>
      <c r="O226" s="173"/>
      <c r="P226" s="173"/>
      <c r="Q226" s="177"/>
    </row>
    <row r="227" spans="1:17" ht="25.5" x14ac:dyDescent="0.2">
      <c r="A227" s="175" t="s">
        <v>449</v>
      </c>
      <c r="B227" s="176" t="s">
        <v>418</v>
      </c>
      <c r="C227" s="179" t="s">
        <v>419</v>
      </c>
      <c r="D227" s="179" t="s">
        <v>420</v>
      </c>
      <c r="E227" s="179" t="s">
        <v>421</v>
      </c>
      <c r="F227" s="179" t="s">
        <v>422</v>
      </c>
      <c r="G227" s="179" t="s">
        <v>423</v>
      </c>
      <c r="H227" s="179" t="s">
        <v>424</v>
      </c>
      <c r="I227" s="179" t="s">
        <v>425</v>
      </c>
      <c r="J227" s="179" t="s">
        <v>426</v>
      </c>
      <c r="K227" s="179" t="s">
        <v>427</v>
      </c>
      <c r="L227" s="179" t="s">
        <v>428</v>
      </c>
      <c r="M227" s="179" t="s">
        <v>429</v>
      </c>
      <c r="N227" s="179" t="s">
        <v>430</v>
      </c>
    </row>
    <row r="228" spans="1:17" x14ac:dyDescent="0.2">
      <c r="B228" t="s">
        <v>434</v>
      </c>
      <c r="C228">
        <v>438</v>
      </c>
      <c r="D228">
        <v>444</v>
      </c>
      <c r="E228">
        <v>446</v>
      </c>
      <c r="F228">
        <v>441</v>
      </c>
      <c r="G228">
        <v>444</v>
      </c>
      <c r="H228">
        <v>449</v>
      </c>
      <c r="I228">
        <v>447</v>
      </c>
      <c r="J228">
        <v>460</v>
      </c>
      <c r="K228">
        <v>465</v>
      </c>
      <c r="L228">
        <v>463</v>
      </c>
      <c r="M228">
        <v>469</v>
      </c>
      <c r="N228">
        <v>478</v>
      </c>
      <c r="O228" s="173">
        <f t="shared" ref="O228:O245" si="36">SUM(C228:N228)/12</f>
        <v>453.66666666666669</v>
      </c>
      <c r="P228" s="173"/>
    </row>
    <row r="229" spans="1:17" x14ac:dyDescent="0.2">
      <c r="B229" t="s">
        <v>435</v>
      </c>
      <c r="C229">
        <v>474</v>
      </c>
      <c r="D229">
        <v>481</v>
      </c>
      <c r="E229">
        <v>491</v>
      </c>
      <c r="F229">
        <v>478</v>
      </c>
      <c r="G229">
        <v>472</v>
      </c>
      <c r="H229">
        <v>477</v>
      </c>
      <c r="I229">
        <v>476</v>
      </c>
      <c r="J229">
        <v>470</v>
      </c>
      <c r="K229">
        <v>467</v>
      </c>
      <c r="L229">
        <v>480</v>
      </c>
      <c r="M229">
        <v>461</v>
      </c>
      <c r="N229">
        <v>449</v>
      </c>
      <c r="O229" s="173">
        <f t="shared" si="36"/>
        <v>473</v>
      </c>
      <c r="P229" s="173">
        <f t="shared" ref="P229:P242" si="37">SUM(O229-O228)</f>
        <v>19.333333333333314</v>
      </c>
      <c r="Q229" s="177">
        <f t="shared" ref="Q229:Q242" si="38">SUM(P229/O228)</f>
        <v>4.261572373254955E-2</v>
      </c>
    </row>
    <row r="230" spans="1:17" x14ac:dyDescent="0.2">
      <c r="B230" t="s">
        <v>436</v>
      </c>
      <c r="C230">
        <v>463</v>
      </c>
      <c r="D230">
        <v>474</v>
      </c>
      <c r="E230">
        <v>480</v>
      </c>
      <c r="F230">
        <v>457</v>
      </c>
      <c r="G230">
        <v>459</v>
      </c>
      <c r="H230">
        <v>469</v>
      </c>
      <c r="I230">
        <v>460</v>
      </c>
      <c r="J230">
        <v>446</v>
      </c>
      <c r="K230">
        <v>457</v>
      </c>
      <c r="L230">
        <v>468</v>
      </c>
      <c r="M230">
        <v>479</v>
      </c>
      <c r="N230">
        <v>490</v>
      </c>
      <c r="O230" s="173">
        <f t="shared" si="36"/>
        <v>466.83333333333331</v>
      </c>
      <c r="P230" s="173">
        <f t="shared" si="37"/>
        <v>-6.1666666666666856</v>
      </c>
      <c r="Q230" s="177">
        <f t="shared" si="38"/>
        <v>-1.3037350246652613E-2</v>
      </c>
    </row>
    <row r="231" spans="1:17" x14ac:dyDescent="0.2">
      <c r="B231" t="s">
        <v>260</v>
      </c>
      <c r="C231">
        <v>537</v>
      </c>
      <c r="D231">
        <v>544</v>
      </c>
      <c r="E231">
        <v>514</v>
      </c>
      <c r="F231">
        <v>562</v>
      </c>
      <c r="G231">
        <v>557</v>
      </c>
      <c r="H231">
        <v>551</v>
      </c>
      <c r="I231">
        <v>545</v>
      </c>
      <c r="J231">
        <v>538</v>
      </c>
      <c r="K231">
        <v>525</v>
      </c>
      <c r="L231">
        <v>518</v>
      </c>
      <c r="M231">
        <v>502</v>
      </c>
      <c r="N231">
        <v>506</v>
      </c>
      <c r="O231" s="173">
        <f t="shared" si="36"/>
        <v>533.25</v>
      </c>
      <c r="P231" s="173">
        <f t="shared" si="37"/>
        <v>66.416666666666686</v>
      </c>
      <c r="Q231" s="177">
        <f t="shared" si="38"/>
        <v>0.14227061763655841</v>
      </c>
    </row>
    <row r="232" spans="1:17" x14ac:dyDescent="0.2">
      <c r="B232" t="s">
        <v>259</v>
      </c>
      <c r="C232">
        <v>519</v>
      </c>
      <c r="D232">
        <v>507</v>
      </c>
      <c r="E232">
        <v>516</v>
      </c>
      <c r="F232">
        <v>509</v>
      </c>
      <c r="G232">
        <v>495</v>
      </c>
      <c r="H232">
        <v>503</v>
      </c>
      <c r="I232">
        <v>484</v>
      </c>
      <c r="J232">
        <v>484</v>
      </c>
      <c r="K232">
        <v>477</v>
      </c>
      <c r="L232">
        <v>470</v>
      </c>
      <c r="M232">
        <v>474</v>
      </c>
      <c r="N232">
        <v>464</v>
      </c>
      <c r="O232" s="173">
        <f t="shared" si="36"/>
        <v>491.83333333333331</v>
      </c>
      <c r="P232" s="173">
        <f t="shared" si="37"/>
        <v>-41.416666666666686</v>
      </c>
      <c r="Q232" s="177">
        <f t="shared" si="38"/>
        <v>-7.7668385685263353E-2</v>
      </c>
    </row>
    <row r="233" spans="1:17" x14ac:dyDescent="0.2">
      <c r="B233" t="s">
        <v>280</v>
      </c>
      <c r="C233">
        <v>472</v>
      </c>
      <c r="D233">
        <v>489</v>
      </c>
      <c r="E233">
        <v>468</v>
      </c>
      <c r="F233">
        <v>461</v>
      </c>
      <c r="G233">
        <v>460</v>
      </c>
      <c r="H233">
        <v>449</v>
      </c>
      <c r="I233">
        <v>436</v>
      </c>
      <c r="J233">
        <v>442</v>
      </c>
      <c r="K233">
        <v>445</v>
      </c>
      <c r="L233">
        <v>458</v>
      </c>
      <c r="M233">
        <v>472</v>
      </c>
      <c r="N233">
        <v>480</v>
      </c>
      <c r="O233" s="173">
        <f t="shared" si="36"/>
        <v>461</v>
      </c>
      <c r="P233" s="173">
        <f t="shared" si="37"/>
        <v>-30.833333333333314</v>
      </c>
      <c r="Q233" s="177">
        <f t="shared" si="38"/>
        <v>-6.2690613351406271E-2</v>
      </c>
    </row>
    <row r="234" spans="1:17" x14ac:dyDescent="0.2">
      <c r="B234" t="s">
        <v>290</v>
      </c>
      <c r="C234">
        <v>478</v>
      </c>
      <c r="D234">
        <v>478</v>
      </c>
      <c r="E234">
        <v>474</v>
      </c>
      <c r="F234">
        <v>493</v>
      </c>
      <c r="G234">
        <v>488</v>
      </c>
      <c r="H234">
        <v>495</v>
      </c>
      <c r="I234">
        <v>507</v>
      </c>
      <c r="J234">
        <v>499</v>
      </c>
      <c r="K234">
        <v>500</v>
      </c>
      <c r="L234">
        <v>518</v>
      </c>
      <c r="M234">
        <v>540</v>
      </c>
      <c r="N234">
        <v>551</v>
      </c>
      <c r="O234" s="173">
        <f t="shared" si="36"/>
        <v>501.75</v>
      </c>
      <c r="P234" s="173">
        <f t="shared" si="37"/>
        <v>40.75</v>
      </c>
      <c r="Q234" s="177">
        <f t="shared" si="38"/>
        <v>8.8394793926247286E-2</v>
      </c>
    </row>
    <row r="235" spans="1:17" x14ac:dyDescent="0.2">
      <c r="B235" t="s">
        <v>293</v>
      </c>
      <c r="C235">
        <v>551</v>
      </c>
      <c r="D235">
        <v>536</v>
      </c>
      <c r="E235">
        <v>521</v>
      </c>
      <c r="F235">
        <v>522</v>
      </c>
      <c r="G235">
        <v>527</v>
      </c>
      <c r="H235">
        <v>545</v>
      </c>
      <c r="I235">
        <v>548</v>
      </c>
      <c r="J235">
        <v>549</v>
      </c>
      <c r="K235">
        <v>549</v>
      </c>
      <c r="L235">
        <v>650</v>
      </c>
      <c r="M235">
        <v>666</v>
      </c>
      <c r="N235">
        <v>591</v>
      </c>
      <c r="O235" s="173">
        <f t="shared" si="36"/>
        <v>562.91666666666663</v>
      </c>
      <c r="P235" s="173">
        <f t="shared" si="37"/>
        <v>61.166666666666629</v>
      </c>
      <c r="Q235" s="177">
        <f t="shared" si="38"/>
        <v>0.12190666002325187</v>
      </c>
    </row>
    <row r="236" spans="1:17" x14ac:dyDescent="0.2">
      <c r="B236" t="s">
        <v>294</v>
      </c>
      <c r="C236">
        <v>596</v>
      </c>
      <c r="D236">
        <v>617</v>
      </c>
      <c r="E236">
        <v>722</v>
      </c>
      <c r="F236">
        <v>657</v>
      </c>
      <c r="G236">
        <v>723</v>
      </c>
      <c r="H236">
        <v>717</v>
      </c>
      <c r="I236">
        <v>729</v>
      </c>
      <c r="J236">
        <v>730</v>
      </c>
      <c r="K236">
        <v>721</v>
      </c>
      <c r="L236">
        <v>721</v>
      </c>
      <c r="M236">
        <v>754</v>
      </c>
      <c r="N236">
        <v>770</v>
      </c>
      <c r="O236" s="173">
        <f t="shared" si="36"/>
        <v>704.75</v>
      </c>
      <c r="P236" s="173">
        <f t="shared" si="37"/>
        <v>141.83333333333337</v>
      </c>
      <c r="Q236" s="177">
        <f t="shared" si="38"/>
        <v>0.25196150999259814</v>
      </c>
    </row>
    <row r="237" spans="1:17" x14ac:dyDescent="0.2">
      <c r="B237" t="s">
        <v>295</v>
      </c>
      <c r="C237">
        <v>711</v>
      </c>
      <c r="D237">
        <v>710</v>
      </c>
      <c r="E237">
        <v>721</v>
      </c>
      <c r="F237">
        <v>726</v>
      </c>
      <c r="G237">
        <v>736</v>
      </c>
      <c r="H237">
        <v>731</v>
      </c>
      <c r="I237">
        <v>722</v>
      </c>
      <c r="J237">
        <v>719</v>
      </c>
      <c r="K237">
        <v>722</v>
      </c>
      <c r="L237">
        <v>750</v>
      </c>
      <c r="M237">
        <v>759</v>
      </c>
      <c r="N237">
        <v>764</v>
      </c>
      <c r="O237" s="173">
        <f t="shared" si="36"/>
        <v>730.91666666666663</v>
      </c>
      <c r="P237" s="173">
        <f t="shared" si="37"/>
        <v>26.166666666666629</v>
      </c>
      <c r="Q237" s="177">
        <f t="shared" si="38"/>
        <v>3.7129005557526254E-2</v>
      </c>
    </row>
    <row r="238" spans="1:17" x14ac:dyDescent="0.2">
      <c r="B238" t="s">
        <v>335</v>
      </c>
      <c r="C238">
        <v>750</v>
      </c>
      <c r="D238">
        <v>743</v>
      </c>
      <c r="E238">
        <v>732</v>
      </c>
      <c r="F238">
        <v>728</v>
      </c>
      <c r="G238">
        <v>713</v>
      </c>
      <c r="H238">
        <v>774</v>
      </c>
      <c r="I238">
        <v>746</v>
      </c>
      <c r="J238">
        <v>760</v>
      </c>
      <c r="K238">
        <v>768</v>
      </c>
      <c r="L238">
        <v>783</v>
      </c>
      <c r="M238">
        <v>769</v>
      </c>
      <c r="N238">
        <v>766</v>
      </c>
      <c r="O238" s="173">
        <f t="shared" si="36"/>
        <v>752.66666666666663</v>
      </c>
      <c r="P238" s="173">
        <f t="shared" si="37"/>
        <v>21.75</v>
      </c>
      <c r="Q238" s="177">
        <f t="shared" si="38"/>
        <v>2.9757154258351386E-2</v>
      </c>
    </row>
    <row r="239" spans="1:17" x14ac:dyDescent="0.2">
      <c r="B239" t="s">
        <v>358</v>
      </c>
      <c r="C239">
        <v>793</v>
      </c>
      <c r="D239">
        <v>763</v>
      </c>
      <c r="E239">
        <v>771</v>
      </c>
      <c r="F239">
        <v>782</v>
      </c>
      <c r="G239">
        <v>756</v>
      </c>
      <c r="H239">
        <v>768</v>
      </c>
      <c r="I239">
        <v>763</v>
      </c>
      <c r="J239">
        <v>762</v>
      </c>
      <c r="K239">
        <v>773</v>
      </c>
      <c r="L239">
        <v>776</v>
      </c>
      <c r="M239">
        <v>743</v>
      </c>
      <c r="N239">
        <v>744</v>
      </c>
      <c r="O239" s="173">
        <f t="shared" si="36"/>
        <v>766.16666666666663</v>
      </c>
      <c r="P239" s="173">
        <f t="shared" si="37"/>
        <v>13.5</v>
      </c>
      <c r="Q239" s="177">
        <f t="shared" si="38"/>
        <v>1.7936226749335697E-2</v>
      </c>
    </row>
    <row r="240" spans="1:17" x14ac:dyDescent="0.2">
      <c r="B240" t="s">
        <v>437</v>
      </c>
      <c r="C240">
        <v>746</v>
      </c>
      <c r="D240">
        <v>738</v>
      </c>
      <c r="E240">
        <v>726</v>
      </c>
      <c r="F240">
        <v>723</v>
      </c>
      <c r="G240">
        <v>723</v>
      </c>
      <c r="H240">
        <v>711</v>
      </c>
      <c r="I240">
        <v>722</v>
      </c>
      <c r="J240">
        <v>715</v>
      </c>
      <c r="K240">
        <v>701</v>
      </c>
      <c r="L240">
        <v>696</v>
      </c>
      <c r="M240">
        <v>716</v>
      </c>
      <c r="N240">
        <v>722</v>
      </c>
      <c r="O240" s="173">
        <f t="shared" si="36"/>
        <v>719.91666666666663</v>
      </c>
      <c r="P240" s="173">
        <f t="shared" si="37"/>
        <v>-46.25</v>
      </c>
      <c r="Q240" s="177">
        <f t="shared" si="38"/>
        <v>-6.0365455731999133E-2</v>
      </c>
    </row>
    <row r="241" spans="1:18" x14ac:dyDescent="0.2">
      <c r="B241" t="s">
        <v>471</v>
      </c>
      <c r="C241">
        <v>720</v>
      </c>
      <c r="D241">
        <v>754</v>
      </c>
      <c r="E241">
        <v>702</v>
      </c>
      <c r="F241">
        <v>720</v>
      </c>
      <c r="G241">
        <v>705</v>
      </c>
      <c r="H241">
        <v>715</v>
      </c>
      <c r="I241">
        <v>712</v>
      </c>
      <c r="J241">
        <v>720</v>
      </c>
      <c r="K241">
        <v>712</v>
      </c>
      <c r="L241">
        <v>709</v>
      </c>
      <c r="M241">
        <v>704</v>
      </c>
      <c r="N241">
        <v>720</v>
      </c>
      <c r="O241" s="173">
        <f t="shared" si="36"/>
        <v>716.08333333333337</v>
      </c>
      <c r="P241" s="173">
        <f t="shared" si="37"/>
        <v>-3.8333333333332575</v>
      </c>
      <c r="Q241" s="177">
        <f t="shared" si="38"/>
        <v>-5.3246903576801823E-3</v>
      </c>
    </row>
    <row r="242" spans="1:18" x14ac:dyDescent="0.2">
      <c r="B242" t="s">
        <v>537</v>
      </c>
      <c r="C242">
        <v>726</v>
      </c>
      <c r="D242">
        <v>712</v>
      </c>
      <c r="E242">
        <v>724</v>
      </c>
      <c r="F242">
        <v>708</v>
      </c>
      <c r="G242">
        <v>701</v>
      </c>
      <c r="H242">
        <v>715</v>
      </c>
      <c r="I242">
        <v>708</v>
      </c>
      <c r="J242">
        <v>702</v>
      </c>
      <c r="K242">
        <v>695</v>
      </c>
      <c r="L242">
        <v>713</v>
      </c>
      <c r="M242">
        <v>720</v>
      </c>
      <c r="N242">
        <v>732</v>
      </c>
      <c r="O242" s="173">
        <f t="shared" si="36"/>
        <v>713</v>
      </c>
      <c r="P242" s="173">
        <f t="shared" si="37"/>
        <v>-3.0833333333333712</v>
      </c>
      <c r="Q242" s="177">
        <f t="shared" si="38"/>
        <v>-4.3058303270104101E-3</v>
      </c>
    </row>
    <row r="243" spans="1:18" x14ac:dyDescent="0.2">
      <c r="B243" t="s">
        <v>628</v>
      </c>
      <c r="C243">
        <v>712</v>
      </c>
      <c r="D243">
        <v>705</v>
      </c>
      <c r="E243">
        <v>689</v>
      </c>
      <c r="F243">
        <v>668</v>
      </c>
      <c r="G243">
        <v>662</v>
      </c>
      <c r="H243">
        <v>644</v>
      </c>
      <c r="I243">
        <v>641</v>
      </c>
      <c r="J243">
        <v>629</v>
      </c>
      <c r="K243">
        <v>652</v>
      </c>
      <c r="L243">
        <v>643</v>
      </c>
      <c r="M243">
        <v>652</v>
      </c>
      <c r="N243">
        <v>662</v>
      </c>
      <c r="O243" s="173">
        <f t="shared" si="36"/>
        <v>663.25</v>
      </c>
      <c r="P243" s="173">
        <f>SUM(O243-O242)</f>
        <v>-49.75</v>
      </c>
      <c r="Q243" s="177">
        <f>SUM(P243/O242)</f>
        <v>-6.9775596072931281E-2</v>
      </c>
    </row>
    <row r="244" spans="1:18" x14ac:dyDescent="0.2">
      <c r="B244" t="s">
        <v>629</v>
      </c>
      <c r="C244">
        <v>637</v>
      </c>
      <c r="D244">
        <v>640</v>
      </c>
      <c r="E244">
        <v>638</v>
      </c>
      <c r="F244">
        <v>629</v>
      </c>
      <c r="G244">
        <v>627</v>
      </c>
      <c r="H244">
        <v>647</v>
      </c>
      <c r="I244">
        <v>651</v>
      </c>
      <c r="J244">
        <v>655</v>
      </c>
      <c r="K244">
        <v>640</v>
      </c>
      <c r="L244">
        <v>632</v>
      </c>
      <c r="M244">
        <v>641</v>
      </c>
      <c r="N244">
        <v>644</v>
      </c>
      <c r="O244" s="173">
        <f t="shared" si="36"/>
        <v>640.08333333333337</v>
      </c>
      <c r="P244" s="173">
        <f>SUM(O244-O243)</f>
        <v>-23.166666666666629</v>
      </c>
      <c r="Q244" s="177">
        <f>SUM(P244/O243)</f>
        <v>-3.4929011182309282E-2</v>
      </c>
    </row>
    <row r="245" spans="1:18" x14ac:dyDescent="0.2">
      <c r="B245" t="s">
        <v>983</v>
      </c>
      <c r="C245">
        <v>644</v>
      </c>
      <c r="D245">
        <v>637</v>
      </c>
      <c r="E245">
        <v>610</v>
      </c>
      <c r="F245">
        <v>579</v>
      </c>
      <c r="G245">
        <v>646</v>
      </c>
      <c r="H245">
        <v>640</v>
      </c>
      <c r="I245">
        <v>640</v>
      </c>
      <c r="J245">
        <v>610</v>
      </c>
      <c r="K245">
        <v>588</v>
      </c>
      <c r="L245">
        <v>582</v>
      </c>
      <c r="M245">
        <v>580</v>
      </c>
      <c r="N245">
        <v>582</v>
      </c>
      <c r="O245" s="173">
        <f t="shared" si="36"/>
        <v>611.5</v>
      </c>
      <c r="P245" s="173">
        <f>SUM(O245-O244)</f>
        <v>-28.583333333333371</v>
      </c>
      <c r="Q245" s="177">
        <f>SUM(P245/O244)</f>
        <v>-4.4655643796380734E-2</v>
      </c>
    </row>
    <row r="246" spans="1:18" x14ac:dyDescent="0.2">
      <c r="B246" t="s">
        <v>984</v>
      </c>
      <c r="C246">
        <v>581</v>
      </c>
      <c r="D246">
        <v>542</v>
      </c>
      <c r="O246" s="173"/>
      <c r="P246" s="173"/>
      <c r="Q246" s="177"/>
    </row>
    <row r="247" spans="1:18" x14ac:dyDescent="0.2">
      <c r="A247" s="531"/>
      <c r="B247" s="531"/>
      <c r="C247" s="531"/>
      <c r="D247" s="531"/>
      <c r="E247" s="531"/>
      <c r="F247" s="531"/>
      <c r="G247" s="531"/>
      <c r="H247" s="531"/>
      <c r="I247" s="531"/>
      <c r="J247" s="531"/>
      <c r="K247" s="531"/>
      <c r="L247" s="531"/>
      <c r="M247" s="531"/>
      <c r="N247" s="531"/>
      <c r="O247" s="531"/>
      <c r="P247" s="531"/>
      <c r="Q247" s="531"/>
    </row>
    <row r="248" spans="1:18" ht="25.5" x14ac:dyDescent="0.2">
      <c r="A248" s="175" t="s">
        <v>450</v>
      </c>
      <c r="B248" s="176" t="s">
        <v>418</v>
      </c>
      <c r="C248" s="179" t="s">
        <v>419</v>
      </c>
      <c r="D248" s="179" t="s">
        <v>420</v>
      </c>
      <c r="E248" s="179" t="s">
        <v>421</v>
      </c>
      <c r="F248" s="179" t="s">
        <v>422</v>
      </c>
      <c r="G248" s="179" t="s">
        <v>423</v>
      </c>
      <c r="H248" s="179" t="s">
        <v>424</v>
      </c>
      <c r="I248" s="179" t="s">
        <v>425</v>
      </c>
      <c r="J248" s="179" t="s">
        <v>426</v>
      </c>
      <c r="K248" s="179" t="s">
        <v>427</v>
      </c>
      <c r="L248" s="179" t="s">
        <v>428</v>
      </c>
      <c r="M248" s="179" t="s">
        <v>429</v>
      </c>
      <c r="N248" s="179" t="s">
        <v>430</v>
      </c>
    </row>
    <row r="249" spans="1:18" x14ac:dyDescent="0.2">
      <c r="B249" t="s">
        <v>434</v>
      </c>
      <c r="C249">
        <v>51</v>
      </c>
      <c r="D249">
        <v>44</v>
      </c>
      <c r="E249">
        <v>43</v>
      </c>
      <c r="F249">
        <v>39</v>
      </c>
      <c r="G249">
        <v>39</v>
      </c>
      <c r="H249">
        <v>39</v>
      </c>
      <c r="I249">
        <v>43</v>
      </c>
      <c r="J249">
        <v>41</v>
      </c>
      <c r="K249">
        <v>42</v>
      </c>
      <c r="L249">
        <v>42</v>
      </c>
      <c r="M249">
        <v>43</v>
      </c>
      <c r="N249">
        <v>40</v>
      </c>
      <c r="O249" s="173">
        <f t="shared" ref="O249:O266" si="39">SUM(C249:N249)/12</f>
        <v>42.166666666666664</v>
      </c>
      <c r="P249" s="173"/>
    </row>
    <row r="250" spans="1:18" x14ac:dyDescent="0.2">
      <c r="B250" t="s">
        <v>435</v>
      </c>
      <c r="C250">
        <v>43</v>
      </c>
      <c r="D250">
        <v>47</v>
      </c>
      <c r="E250">
        <v>47</v>
      </c>
      <c r="F250">
        <v>51</v>
      </c>
      <c r="G250">
        <v>46</v>
      </c>
      <c r="H250">
        <v>44</v>
      </c>
      <c r="I250">
        <v>48</v>
      </c>
      <c r="J250">
        <v>41</v>
      </c>
      <c r="K250">
        <v>47</v>
      </c>
      <c r="L250">
        <v>44</v>
      </c>
      <c r="M250">
        <v>43</v>
      </c>
      <c r="N250">
        <v>46</v>
      </c>
      <c r="O250" s="173">
        <f t="shared" si="39"/>
        <v>45.583333333333336</v>
      </c>
      <c r="P250" s="173">
        <f t="shared" ref="P250:P263" si="40">SUM(O250-O249)</f>
        <v>3.4166666666666714</v>
      </c>
      <c r="Q250" s="177">
        <f t="shared" ref="Q250:Q263" si="41">SUM(P250/O249)</f>
        <v>8.1027667984189838E-2</v>
      </c>
    </row>
    <row r="251" spans="1:18" x14ac:dyDescent="0.2">
      <c r="B251" t="s">
        <v>436</v>
      </c>
      <c r="C251">
        <v>45</v>
      </c>
      <c r="D251">
        <v>49</v>
      </c>
      <c r="E251">
        <v>48</v>
      </c>
      <c r="F251">
        <v>51</v>
      </c>
      <c r="G251">
        <v>51</v>
      </c>
      <c r="H251">
        <v>46</v>
      </c>
      <c r="I251">
        <v>49</v>
      </c>
      <c r="J251">
        <v>45</v>
      </c>
      <c r="K251">
        <v>46</v>
      </c>
      <c r="L251">
        <v>47</v>
      </c>
      <c r="M251">
        <v>48</v>
      </c>
      <c r="N251">
        <v>49</v>
      </c>
      <c r="O251" s="173">
        <f t="shared" si="39"/>
        <v>47.833333333333336</v>
      </c>
      <c r="P251" s="173">
        <f t="shared" si="40"/>
        <v>2.25</v>
      </c>
      <c r="Q251" s="177">
        <f t="shared" si="41"/>
        <v>4.9360146252285186E-2</v>
      </c>
      <c r="R251" s="177"/>
    </row>
    <row r="252" spans="1:18" x14ac:dyDescent="0.2">
      <c r="B252" t="s">
        <v>260</v>
      </c>
      <c r="C252">
        <v>35</v>
      </c>
      <c r="D252">
        <v>35</v>
      </c>
      <c r="E252">
        <v>36</v>
      </c>
      <c r="F252">
        <v>39</v>
      </c>
      <c r="G252">
        <v>39</v>
      </c>
      <c r="H252">
        <v>43</v>
      </c>
      <c r="I252">
        <v>47</v>
      </c>
      <c r="J252">
        <v>45</v>
      </c>
      <c r="K252">
        <v>47</v>
      </c>
      <c r="L252">
        <v>51</v>
      </c>
      <c r="M252">
        <v>47</v>
      </c>
      <c r="N252">
        <v>45</v>
      </c>
      <c r="O252" s="173">
        <f t="shared" si="39"/>
        <v>42.416666666666664</v>
      </c>
      <c r="P252" s="173">
        <f t="shared" si="40"/>
        <v>-5.4166666666666714</v>
      </c>
      <c r="Q252" s="177">
        <f t="shared" si="41"/>
        <v>-0.113240418118467</v>
      </c>
    </row>
    <row r="253" spans="1:18" x14ac:dyDescent="0.2">
      <c r="B253" t="s">
        <v>259</v>
      </c>
      <c r="C253">
        <v>55</v>
      </c>
      <c r="D253">
        <v>51</v>
      </c>
      <c r="E253">
        <v>49</v>
      </c>
      <c r="F253">
        <v>51</v>
      </c>
      <c r="G253">
        <v>52</v>
      </c>
      <c r="H253">
        <v>54</v>
      </c>
      <c r="I253">
        <v>55</v>
      </c>
      <c r="J253">
        <v>55</v>
      </c>
      <c r="K253">
        <v>42</v>
      </c>
      <c r="L253">
        <v>38</v>
      </c>
      <c r="M253">
        <v>85</v>
      </c>
      <c r="N253">
        <v>81</v>
      </c>
      <c r="O253" s="173">
        <f t="shared" si="39"/>
        <v>55.666666666666664</v>
      </c>
      <c r="P253" s="173">
        <f t="shared" si="40"/>
        <v>13.25</v>
      </c>
      <c r="Q253" s="177">
        <f t="shared" si="41"/>
        <v>0.31237721021611004</v>
      </c>
    </row>
    <row r="254" spans="1:18" x14ac:dyDescent="0.2">
      <c r="B254" t="s">
        <v>280</v>
      </c>
      <c r="C254">
        <v>81</v>
      </c>
      <c r="D254">
        <v>81</v>
      </c>
      <c r="E254">
        <v>74</v>
      </c>
      <c r="F254">
        <v>79</v>
      </c>
      <c r="G254">
        <v>77</v>
      </c>
      <c r="H254">
        <v>77</v>
      </c>
      <c r="I254">
        <v>74</v>
      </c>
      <c r="J254">
        <v>74</v>
      </c>
      <c r="K254">
        <v>74</v>
      </c>
      <c r="L254">
        <v>75</v>
      </c>
      <c r="M254">
        <v>75</v>
      </c>
      <c r="N254">
        <v>76</v>
      </c>
      <c r="O254" s="173">
        <f t="shared" si="39"/>
        <v>76.416666666666671</v>
      </c>
      <c r="P254" s="173">
        <f t="shared" si="40"/>
        <v>20.750000000000007</v>
      </c>
      <c r="Q254" s="177">
        <f t="shared" si="41"/>
        <v>0.37275449101796421</v>
      </c>
    </row>
    <row r="255" spans="1:18" x14ac:dyDescent="0.2">
      <c r="B255" t="s">
        <v>290</v>
      </c>
      <c r="C255">
        <v>78</v>
      </c>
      <c r="D255">
        <v>76</v>
      </c>
      <c r="E255">
        <v>80</v>
      </c>
      <c r="F255">
        <v>81</v>
      </c>
      <c r="G255">
        <v>77</v>
      </c>
      <c r="H255">
        <v>76</v>
      </c>
      <c r="I255">
        <v>74</v>
      </c>
      <c r="J255">
        <v>76</v>
      </c>
      <c r="K255">
        <v>71</v>
      </c>
      <c r="L255">
        <v>71</v>
      </c>
      <c r="M255">
        <v>74</v>
      </c>
      <c r="N255">
        <v>75</v>
      </c>
      <c r="O255" s="173">
        <f t="shared" si="39"/>
        <v>75.75</v>
      </c>
      <c r="P255" s="173">
        <f t="shared" si="40"/>
        <v>-0.6666666666666714</v>
      </c>
      <c r="Q255" s="177">
        <f t="shared" si="41"/>
        <v>-8.7241003271538234E-3</v>
      </c>
    </row>
    <row r="256" spans="1:18" x14ac:dyDescent="0.2">
      <c r="B256" t="s">
        <v>293</v>
      </c>
      <c r="C256">
        <v>75</v>
      </c>
      <c r="D256">
        <v>74</v>
      </c>
      <c r="E256">
        <v>73</v>
      </c>
      <c r="F256">
        <v>72</v>
      </c>
      <c r="G256">
        <v>75</v>
      </c>
      <c r="H256">
        <v>74</v>
      </c>
      <c r="I256">
        <v>73</v>
      </c>
      <c r="J256">
        <v>73</v>
      </c>
      <c r="K256">
        <v>71</v>
      </c>
      <c r="L256">
        <v>84</v>
      </c>
      <c r="M256">
        <v>79</v>
      </c>
      <c r="N256">
        <v>74</v>
      </c>
      <c r="O256" s="173">
        <f t="shared" si="39"/>
        <v>74.75</v>
      </c>
      <c r="P256" s="173">
        <f t="shared" si="40"/>
        <v>-1</v>
      </c>
      <c r="Q256" s="177">
        <f t="shared" si="41"/>
        <v>-1.3201320132013201E-2</v>
      </c>
    </row>
    <row r="257" spans="1:17" x14ac:dyDescent="0.2">
      <c r="B257" t="s">
        <v>294</v>
      </c>
      <c r="C257">
        <v>70</v>
      </c>
      <c r="D257">
        <v>68</v>
      </c>
      <c r="E257">
        <v>80</v>
      </c>
      <c r="F257">
        <v>73</v>
      </c>
      <c r="G257">
        <v>82</v>
      </c>
      <c r="H257">
        <v>81</v>
      </c>
      <c r="I257">
        <v>83</v>
      </c>
      <c r="J257">
        <v>80</v>
      </c>
      <c r="K257">
        <v>78</v>
      </c>
      <c r="L257">
        <v>78</v>
      </c>
      <c r="M257">
        <v>78</v>
      </c>
      <c r="N257">
        <v>86</v>
      </c>
      <c r="O257" s="173">
        <f t="shared" si="39"/>
        <v>78.083333333333329</v>
      </c>
      <c r="P257" s="173">
        <f t="shared" si="40"/>
        <v>3.3333333333333286</v>
      </c>
      <c r="Q257" s="177">
        <f t="shared" si="41"/>
        <v>4.4593088071348874E-2</v>
      </c>
    </row>
    <row r="258" spans="1:17" x14ac:dyDescent="0.2">
      <c r="B258" t="s">
        <v>295</v>
      </c>
      <c r="C258">
        <v>75</v>
      </c>
      <c r="D258">
        <v>74</v>
      </c>
      <c r="E258">
        <v>79</v>
      </c>
      <c r="F258">
        <v>77</v>
      </c>
      <c r="G258">
        <v>75</v>
      </c>
      <c r="H258">
        <v>66</v>
      </c>
      <c r="I258">
        <v>64</v>
      </c>
      <c r="J258">
        <v>64</v>
      </c>
      <c r="K258">
        <v>47</v>
      </c>
      <c r="L258">
        <v>47</v>
      </c>
      <c r="M258">
        <v>45</v>
      </c>
      <c r="N258">
        <v>47</v>
      </c>
      <c r="O258" s="173">
        <f t="shared" si="39"/>
        <v>63.333333333333336</v>
      </c>
      <c r="P258" s="173">
        <f t="shared" si="40"/>
        <v>-14.749999999999993</v>
      </c>
      <c r="Q258" s="177">
        <f t="shared" si="41"/>
        <v>-0.18890074706510132</v>
      </c>
    </row>
    <row r="259" spans="1:17" x14ac:dyDescent="0.2">
      <c r="B259" t="s">
        <v>335</v>
      </c>
      <c r="C259">
        <v>42</v>
      </c>
      <c r="D259">
        <v>43</v>
      </c>
      <c r="E259">
        <v>41</v>
      </c>
      <c r="F259">
        <v>41</v>
      </c>
      <c r="G259">
        <v>38</v>
      </c>
      <c r="H259">
        <v>54</v>
      </c>
      <c r="I259">
        <v>60</v>
      </c>
      <c r="J259">
        <v>53</v>
      </c>
      <c r="K259">
        <v>57</v>
      </c>
      <c r="L259">
        <v>45</v>
      </c>
      <c r="M259">
        <v>48</v>
      </c>
      <c r="N259">
        <v>49</v>
      </c>
      <c r="O259" s="173">
        <f t="shared" si="39"/>
        <v>47.583333333333336</v>
      </c>
      <c r="P259" s="173">
        <f t="shared" si="40"/>
        <v>-15.75</v>
      </c>
      <c r="Q259" s="177">
        <f t="shared" si="41"/>
        <v>-0.24868421052631579</v>
      </c>
    </row>
    <row r="260" spans="1:17" x14ac:dyDescent="0.2">
      <c r="B260" t="s">
        <v>358</v>
      </c>
      <c r="C260">
        <v>49</v>
      </c>
      <c r="D260">
        <v>51</v>
      </c>
      <c r="E260">
        <v>45</v>
      </c>
      <c r="F260">
        <v>54</v>
      </c>
      <c r="G260">
        <v>56</v>
      </c>
      <c r="H260">
        <v>56</v>
      </c>
      <c r="I260">
        <v>53</v>
      </c>
      <c r="J260">
        <v>50</v>
      </c>
      <c r="K260">
        <v>47</v>
      </c>
      <c r="L260">
        <v>44</v>
      </c>
      <c r="M260">
        <v>44</v>
      </c>
      <c r="N260">
        <v>52</v>
      </c>
      <c r="O260" s="173">
        <f t="shared" si="39"/>
        <v>50.083333333333336</v>
      </c>
      <c r="P260" s="173">
        <f>SUM(O260-O259)</f>
        <v>2.5</v>
      </c>
      <c r="Q260" s="177">
        <f>SUM(P260/O259)</f>
        <v>5.2539404553415062E-2</v>
      </c>
    </row>
    <row r="261" spans="1:17" ht="12.75" customHeight="1" x14ac:dyDescent="0.2">
      <c r="B261" t="s">
        <v>437</v>
      </c>
      <c r="C261">
        <v>54</v>
      </c>
      <c r="D261">
        <v>54</v>
      </c>
      <c r="E261">
        <v>51</v>
      </c>
      <c r="F261">
        <v>57</v>
      </c>
      <c r="G261">
        <v>56</v>
      </c>
      <c r="H261">
        <v>64</v>
      </c>
      <c r="I261">
        <v>66</v>
      </c>
      <c r="J261">
        <v>65</v>
      </c>
      <c r="K261">
        <v>65</v>
      </c>
      <c r="L261">
        <v>65</v>
      </c>
      <c r="M261">
        <v>72</v>
      </c>
      <c r="N261">
        <v>63</v>
      </c>
      <c r="O261" s="173">
        <f t="shared" si="39"/>
        <v>61</v>
      </c>
      <c r="P261" s="173">
        <f t="shared" si="40"/>
        <v>10.916666666666664</v>
      </c>
      <c r="Q261" s="177">
        <f t="shared" si="41"/>
        <v>0.21797004991680527</v>
      </c>
    </row>
    <row r="262" spans="1:17" ht="12.75" customHeight="1" x14ac:dyDescent="0.2">
      <c r="B262" t="s">
        <v>471</v>
      </c>
      <c r="C262">
        <v>67</v>
      </c>
      <c r="D262">
        <v>65</v>
      </c>
      <c r="E262">
        <v>65</v>
      </c>
      <c r="F262">
        <v>61</v>
      </c>
      <c r="G262">
        <v>59</v>
      </c>
      <c r="H262">
        <v>58</v>
      </c>
      <c r="I262">
        <v>53</v>
      </c>
      <c r="J262">
        <v>56</v>
      </c>
      <c r="K262">
        <v>57</v>
      </c>
      <c r="L262">
        <v>57</v>
      </c>
      <c r="M262">
        <v>52</v>
      </c>
      <c r="N262">
        <v>58</v>
      </c>
      <c r="O262" s="173">
        <f t="shared" si="39"/>
        <v>59</v>
      </c>
      <c r="P262" s="173">
        <f t="shared" si="40"/>
        <v>-2</v>
      </c>
      <c r="Q262" s="177">
        <f t="shared" si="41"/>
        <v>-3.2786885245901641E-2</v>
      </c>
    </row>
    <row r="263" spans="1:17" x14ac:dyDescent="0.2">
      <c r="B263" t="s">
        <v>537</v>
      </c>
      <c r="C263">
        <v>55</v>
      </c>
      <c r="D263">
        <v>43</v>
      </c>
      <c r="E263">
        <v>45</v>
      </c>
      <c r="F263">
        <v>45</v>
      </c>
      <c r="G263">
        <v>40</v>
      </c>
      <c r="H263">
        <v>45</v>
      </c>
      <c r="I263">
        <v>45</v>
      </c>
      <c r="J263">
        <v>49</v>
      </c>
      <c r="K263">
        <v>53</v>
      </c>
      <c r="L263">
        <v>50</v>
      </c>
      <c r="M263">
        <v>51</v>
      </c>
      <c r="N263">
        <v>50</v>
      </c>
      <c r="O263" s="173">
        <f t="shared" si="39"/>
        <v>47.583333333333336</v>
      </c>
      <c r="P263" s="173">
        <f t="shared" si="40"/>
        <v>-11.416666666666664</v>
      </c>
      <c r="Q263" s="177">
        <f t="shared" si="41"/>
        <v>-0.19350282485875703</v>
      </c>
    </row>
    <row r="264" spans="1:17" x14ac:dyDescent="0.2">
      <c r="B264" t="s">
        <v>628</v>
      </c>
      <c r="C264">
        <v>49</v>
      </c>
      <c r="D264">
        <v>44</v>
      </c>
      <c r="E264">
        <v>44</v>
      </c>
      <c r="F264">
        <v>47</v>
      </c>
      <c r="G264">
        <v>43</v>
      </c>
      <c r="H264">
        <v>42</v>
      </c>
      <c r="I264">
        <v>44</v>
      </c>
      <c r="J264">
        <v>47</v>
      </c>
      <c r="K264">
        <v>38</v>
      </c>
      <c r="L264">
        <v>13</v>
      </c>
      <c r="M264">
        <v>13</v>
      </c>
      <c r="N264">
        <v>11</v>
      </c>
      <c r="O264" s="173">
        <f t="shared" si="39"/>
        <v>36.25</v>
      </c>
      <c r="P264" s="173">
        <f>SUM(O264-O263)</f>
        <v>-11.333333333333336</v>
      </c>
      <c r="Q264" s="177">
        <f>SUM(P264/O263)</f>
        <v>-0.23817863397548164</v>
      </c>
    </row>
    <row r="265" spans="1:17" x14ac:dyDescent="0.2">
      <c r="B265" t="s">
        <v>629</v>
      </c>
      <c r="C265">
        <v>11</v>
      </c>
      <c r="D265">
        <v>11</v>
      </c>
      <c r="E265">
        <v>10</v>
      </c>
      <c r="F265">
        <v>10</v>
      </c>
      <c r="G265">
        <v>11</v>
      </c>
      <c r="H265">
        <v>11</v>
      </c>
      <c r="I265">
        <v>10</v>
      </c>
      <c r="J265">
        <v>8</v>
      </c>
      <c r="K265">
        <v>8</v>
      </c>
      <c r="L265">
        <v>9</v>
      </c>
      <c r="M265">
        <v>58</v>
      </c>
      <c r="N265">
        <v>58</v>
      </c>
      <c r="O265" s="173">
        <f t="shared" si="39"/>
        <v>17.916666666666668</v>
      </c>
      <c r="P265" s="173">
        <f>SUM(O265-O264)</f>
        <v>-18.333333333333332</v>
      </c>
      <c r="Q265" s="177">
        <f>SUM(P265/O264)</f>
        <v>-0.50574712643678155</v>
      </c>
    </row>
    <row r="266" spans="1:17" x14ac:dyDescent="0.2">
      <c r="B266" t="s">
        <v>983</v>
      </c>
      <c r="C266">
        <v>60</v>
      </c>
      <c r="D266">
        <v>55</v>
      </c>
      <c r="E266">
        <v>57</v>
      </c>
      <c r="F266">
        <v>58</v>
      </c>
      <c r="G266">
        <v>55</v>
      </c>
      <c r="H266">
        <v>59</v>
      </c>
      <c r="I266">
        <v>64</v>
      </c>
      <c r="J266">
        <v>57</v>
      </c>
      <c r="K266">
        <v>57</v>
      </c>
      <c r="L266">
        <v>58</v>
      </c>
      <c r="M266">
        <v>61</v>
      </c>
      <c r="N266">
        <v>62</v>
      </c>
      <c r="O266" s="173">
        <f t="shared" si="39"/>
        <v>58.583333333333336</v>
      </c>
      <c r="P266" s="173">
        <f>SUM(O266-O265)</f>
        <v>40.666666666666671</v>
      </c>
      <c r="Q266" s="177">
        <f>SUM(P266/O265)</f>
        <v>2.2697674418604654</v>
      </c>
    </row>
    <row r="267" spans="1:17" x14ac:dyDescent="0.2">
      <c r="B267" t="s">
        <v>984</v>
      </c>
      <c r="C267">
        <v>56</v>
      </c>
      <c r="D267">
        <v>55</v>
      </c>
      <c r="O267" s="173"/>
      <c r="P267" s="173"/>
      <c r="Q267" s="177"/>
    </row>
    <row r="268" spans="1:17" x14ac:dyDescent="0.2">
      <c r="A268" s="603" t="s">
        <v>451</v>
      </c>
      <c r="B268" s="179" t="s">
        <v>418</v>
      </c>
      <c r="C268" s="179" t="s">
        <v>419</v>
      </c>
      <c r="D268" s="179" t="s">
        <v>420</v>
      </c>
      <c r="E268" s="179" t="s">
        <v>421</v>
      </c>
      <c r="F268" s="179" t="s">
        <v>422</v>
      </c>
      <c r="G268" s="179" t="s">
        <v>423</v>
      </c>
      <c r="H268" s="179" t="s">
        <v>424</v>
      </c>
      <c r="I268" s="179" t="s">
        <v>425</v>
      </c>
      <c r="J268" s="179" t="s">
        <v>426</v>
      </c>
      <c r="K268" s="179" t="s">
        <v>427</v>
      </c>
      <c r="L268" s="179" t="s">
        <v>428</v>
      </c>
      <c r="M268" s="179" t="s">
        <v>429</v>
      </c>
      <c r="N268" s="179" t="s">
        <v>430</v>
      </c>
    </row>
    <row r="269" spans="1:17" x14ac:dyDescent="0.2">
      <c r="B269" t="s">
        <v>335</v>
      </c>
      <c r="H269">
        <v>120</v>
      </c>
      <c r="I269">
        <v>96</v>
      </c>
      <c r="J269">
        <v>123</v>
      </c>
      <c r="K269">
        <v>105</v>
      </c>
      <c r="L269">
        <v>122</v>
      </c>
      <c r="M269">
        <v>118</v>
      </c>
      <c r="N269">
        <v>118</v>
      </c>
      <c r="O269" s="173">
        <f>SUM(C269:N269)/7</f>
        <v>114.57142857142857</v>
      </c>
      <c r="P269" s="173"/>
      <c r="Q269" s="177"/>
    </row>
    <row r="270" spans="1:17" x14ac:dyDescent="0.2">
      <c r="B270" t="s">
        <v>358</v>
      </c>
      <c r="C270">
        <v>108</v>
      </c>
      <c r="D270">
        <v>110</v>
      </c>
      <c r="E270">
        <v>105</v>
      </c>
      <c r="F270">
        <v>102</v>
      </c>
      <c r="G270">
        <v>121</v>
      </c>
      <c r="H270">
        <v>133</v>
      </c>
      <c r="I270">
        <v>137</v>
      </c>
      <c r="J270">
        <v>129</v>
      </c>
      <c r="K270">
        <v>137</v>
      </c>
      <c r="L270">
        <v>140</v>
      </c>
      <c r="M270">
        <v>134</v>
      </c>
      <c r="N270">
        <v>128</v>
      </c>
      <c r="O270" s="173">
        <f t="shared" ref="O270:O276" si="42">SUM(C270:N270)/12</f>
        <v>123.66666666666667</v>
      </c>
      <c r="P270" s="173">
        <f t="shared" ref="P270:P275" si="43">SUM(O270-O269)</f>
        <v>9.095238095238102</v>
      </c>
      <c r="Q270" s="177">
        <f t="shared" ref="Q270:Q275" si="44">SUM(P270/O269)</f>
        <v>7.9384871155444778E-2</v>
      </c>
    </row>
    <row r="271" spans="1:17" x14ac:dyDescent="0.2">
      <c r="B271" t="s">
        <v>437</v>
      </c>
      <c r="C271">
        <v>109</v>
      </c>
      <c r="D271">
        <v>111</v>
      </c>
      <c r="E271">
        <v>117</v>
      </c>
      <c r="F271">
        <v>117</v>
      </c>
      <c r="G271">
        <v>122</v>
      </c>
      <c r="H271">
        <v>122</v>
      </c>
      <c r="I271">
        <v>140</v>
      </c>
      <c r="J271">
        <v>138</v>
      </c>
      <c r="K271">
        <v>138</v>
      </c>
      <c r="L271">
        <v>107</v>
      </c>
      <c r="M271">
        <v>109</v>
      </c>
      <c r="N271">
        <v>128</v>
      </c>
      <c r="O271" s="173">
        <f t="shared" si="42"/>
        <v>121.5</v>
      </c>
      <c r="P271" s="173">
        <f t="shared" si="43"/>
        <v>-2.1666666666666714</v>
      </c>
      <c r="Q271" s="177">
        <f t="shared" si="44"/>
        <v>-1.7520215633423219E-2</v>
      </c>
    </row>
    <row r="272" spans="1:17" x14ac:dyDescent="0.2">
      <c r="B272" t="s">
        <v>471</v>
      </c>
      <c r="C272">
        <v>109</v>
      </c>
      <c r="D272">
        <v>116</v>
      </c>
      <c r="E272">
        <v>125</v>
      </c>
      <c r="F272">
        <v>113</v>
      </c>
      <c r="G272">
        <v>99</v>
      </c>
      <c r="H272">
        <v>98</v>
      </c>
      <c r="I272">
        <v>107</v>
      </c>
      <c r="J272">
        <v>113</v>
      </c>
      <c r="K272">
        <v>118</v>
      </c>
      <c r="L272">
        <v>105</v>
      </c>
      <c r="M272">
        <v>107</v>
      </c>
      <c r="N272">
        <v>110</v>
      </c>
      <c r="O272" s="173">
        <f t="shared" si="42"/>
        <v>110</v>
      </c>
      <c r="P272" s="173">
        <f t="shared" si="43"/>
        <v>-11.5</v>
      </c>
      <c r="Q272" s="177">
        <f t="shared" si="44"/>
        <v>-9.4650205761316872E-2</v>
      </c>
    </row>
    <row r="273" spans="1:18" x14ac:dyDescent="0.2">
      <c r="B273" t="s">
        <v>537</v>
      </c>
      <c r="C273">
        <v>111</v>
      </c>
      <c r="D273">
        <v>102</v>
      </c>
      <c r="E273">
        <v>122</v>
      </c>
      <c r="F273">
        <v>144</v>
      </c>
      <c r="G273">
        <v>154</v>
      </c>
      <c r="H273">
        <v>164</v>
      </c>
      <c r="I273">
        <v>164</v>
      </c>
      <c r="J273">
        <v>169</v>
      </c>
      <c r="K273">
        <v>164</v>
      </c>
      <c r="L273">
        <v>165</v>
      </c>
      <c r="M273">
        <v>161</v>
      </c>
      <c r="N273">
        <v>142</v>
      </c>
      <c r="O273" s="173">
        <f t="shared" si="42"/>
        <v>146.83333333333334</v>
      </c>
      <c r="P273" s="173">
        <f t="shared" si="43"/>
        <v>36.833333333333343</v>
      </c>
      <c r="Q273" s="177">
        <f t="shared" si="44"/>
        <v>0.33484848484848495</v>
      </c>
    </row>
    <row r="274" spans="1:18" x14ac:dyDescent="0.2">
      <c r="B274" t="s">
        <v>628</v>
      </c>
      <c r="C274">
        <v>158</v>
      </c>
      <c r="D274">
        <v>164</v>
      </c>
      <c r="E274">
        <v>169</v>
      </c>
      <c r="F274">
        <v>191</v>
      </c>
      <c r="G274">
        <v>185</v>
      </c>
      <c r="H274">
        <v>192</v>
      </c>
      <c r="I274">
        <v>181</v>
      </c>
      <c r="J274">
        <v>162</v>
      </c>
      <c r="K274">
        <v>140</v>
      </c>
      <c r="L274">
        <v>146</v>
      </c>
      <c r="M274">
        <v>154</v>
      </c>
      <c r="N274">
        <v>150</v>
      </c>
      <c r="O274" s="173">
        <f t="shared" si="42"/>
        <v>166</v>
      </c>
      <c r="P274" s="173">
        <f t="shared" si="43"/>
        <v>19.166666666666657</v>
      </c>
      <c r="Q274" s="177">
        <f t="shared" si="44"/>
        <v>0.13053348467650391</v>
      </c>
    </row>
    <row r="275" spans="1:18" x14ac:dyDescent="0.2">
      <c r="B275" t="s">
        <v>629</v>
      </c>
      <c r="C275">
        <v>135</v>
      </c>
      <c r="D275">
        <v>124</v>
      </c>
      <c r="E275">
        <v>138</v>
      </c>
      <c r="F275">
        <v>129</v>
      </c>
      <c r="G275">
        <v>115</v>
      </c>
      <c r="H275">
        <v>99</v>
      </c>
      <c r="I275">
        <v>91</v>
      </c>
      <c r="J275">
        <v>84</v>
      </c>
      <c r="K275">
        <v>90</v>
      </c>
      <c r="L275">
        <v>104</v>
      </c>
      <c r="M275">
        <v>95</v>
      </c>
      <c r="N275">
        <v>97</v>
      </c>
      <c r="O275" s="173">
        <f t="shared" si="42"/>
        <v>108.41666666666667</v>
      </c>
      <c r="P275" s="173">
        <f t="shared" si="43"/>
        <v>-57.583333333333329</v>
      </c>
      <c r="Q275" s="177">
        <f t="shared" si="44"/>
        <v>-0.3468875502008032</v>
      </c>
    </row>
    <row r="276" spans="1:18" x14ac:dyDescent="0.2">
      <c r="B276" t="s">
        <v>983</v>
      </c>
      <c r="C276">
        <v>101</v>
      </c>
      <c r="D276">
        <v>104</v>
      </c>
      <c r="E276">
        <v>121</v>
      </c>
      <c r="F276">
        <v>124</v>
      </c>
      <c r="G276">
        <v>126</v>
      </c>
      <c r="H276">
        <v>125</v>
      </c>
      <c r="I276">
        <v>129</v>
      </c>
      <c r="J276">
        <v>116</v>
      </c>
      <c r="K276">
        <v>116</v>
      </c>
      <c r="L276">
        <v>113</v>
      </c>
      <c r="M276">
        <v>120</v>
      </c>
      <c r="N276">
        <v>112</v>
      </c>
      <c r="O276" s="173">
        <f t="shared" si="42"/>
        <v>117.25</v>
      </c>
      <c r="P276" s="173">
        <f>SUM(O276-O275)</f>
        <v>8.8333333333333286</v>
      </c>
      <c r="Q276" s="177">
        <f>SUM(P276/O275)</f>
        <v>8.1475787855495724E-2</v>
      </c>
    </row>
    <row r="277" spans="1:18" x14ac:dyDescent="0.2">
      <c r="B277" t="s">
        <v>984</v>
      </c>
      <c r="C277">
        <v>96</v>
      </c>
      <c r="D277">
        <v>101</v>
      </c>
      <c r="O277" s="173"/>
      <c r="P277" s="173"/>
      <c r="Q277" s="177"/>
    </row>
    <row r="278" spans="1:18" x14ac:dyDescent="0.2">
      <c r="A278" s="531"/>
      <c r="B278" s="531"/>
      <c r="C278" s="531"/>
      <c r="D278" s="531"/>
      <c r="E278" s="531"/>
      <c r="F278" s="531"/>
      <c r="G278" s="531"/>
      <c r="H278" s="531"/>
      <c r="I278" s="531"/>
      <c r="J278" s="531"/>
      <c r="K278" s="531"/>
      <c r="L278" s="531"/>
      <c r="M278" s="531"/>
      <c r="N278" s="531"/>
      <c r="O278" s="531"/>
      <c r="P278" s="531"/>
      <c r="Q278" s="531"/>
      <c r="R278" s="531"/>
    </row>
    <row r="279" spans="1:18" ht="38.25" x14ac:dyDescent="0.2">
      <c r="A279" s="175" t="s">
        <v>452</v>
      </c>
      <c r="B279" s="1094" t="s">
        <v>418</v>
      </c>
      <c r="C279" s="1095" t="s">
        <v>419</v>
      </c>
      <c r="D279" s="1095" t="s">
        <v>420</v>
      </c>
      <c r="E279" s="1095" t="s">
        <v>421</v>
      </c>
      <c r="F279" s="1095" t="s">
        <v>422</v>
      </c>
      <c r="G279" s="1095" t="s">
        <v>423</v>
      </c>
      <c r="H279" s="1095" t="s">
        <v>424</v>
      </c>
      <c r="I279" s="1095" t="s">
        <v>425</v>
      </c>
      <c r="J279" s="1095" t="s">
        <v>426</v>
      </c>
      <c r="K279" s="1095" t="s">
        <v>427</v>
      </c>
      <c r="L279" s="1095" t="s">
        <v>428</v>
      </c>
      <c r="M279" s="1095" t="s">
        <v>429</v>
      </c>
      <c r="N279" s="1095" t="s">
        <v>430</v>
      </c>
      <c r="O279" s="175" t="s">
        <v>431</v>
      </c>
      <c r="P279" s="1096" t="s">
        <v>432</v>
      </c>
      <c r="Q279" s="1096" t="s">
        <v>433</v>
      </c>
      <c r="R279" s="1096" t="s">
        <v>453</v>
      </c>
    </row>
    <row r="280" spans="1:18" x14ac:dyDescent="0.2">
      <c r="A280" s="1097" t="s">
        <v>470</v>
      </c>
      <c r="B280" s="1098" t="s">
        <v>434</v>
      </c>
      <c r="C280" s="1098">
        <f t="shared" ref="C280:N292" si="45">SUM(C3,C23,C44,C64,C85,C105,C126,C146,C167,C187,C208,C228,C249)</f>
        <v>4476</v>
      </c>
      <c r="D280" s="1098">
        <f t="shared" si="45"/>
        <v>4483</v>
      </c>
      <c r="E280" s="1098">
        <f t="shared" si="45"/>
        <v>4465</v>
      </c>
      <c r="F280" s="1098">
        <f t="shared" si="45"/>
        <v>4430</v>
      </c>
      <c r="G280" s="1098">
        <f t="shared" si="45"/>
        <v>4464</v>
      </c>
      <c r="H280" s="1098">
        <f t="shared" si="45"/>
        <v>4489</v>
      </c>
      <c r="I280" s="1098">
        <f t="shared" si="45"/>
        <v>4483</v>
      </c>
      <c r="J280" s="1098">
        <f t="shared" si="45"/>
        <v>4518</v>
      </c>
      <c r="K280" s="1098">
        <f t="shared" si="45"/>
        <v>4524</v>
      </c>
      <c r="L280" s="1098">
        <f t="shared" si="45"/>
        <v>4527</v>
      </c>
      <c r="M280" s="1098">
        <f t="shared" si="45"/>
        <v>4496</v>
      </c>
      <c r="N280" s="1098">
        <f t="shared" si="45"/>
        <v>4561</v>
      </c>
      <c r="O280" s="1098">
        <f t="shared" ref="O280:O288" si="46">SUM(C280:N280)/12</f>
        <v>4493</v>
      </c>
      <c r="P280" s="1098"/>
      <c r="Q280" s="1098"/>
      <c r="R280" s="1098"/>
    </row>
    <row r="281" spans="1:18" x14ac:dyDescent="0.2">
      <c r="A281" s="1098"/>
      <c r="B281" s="1098" t="s">
        <v>435</v>
      </c>
      <c r="C281" s="1098">
        <f t="shared" si="45"/>
        <v>4520</v>
      </c>
      <c r="D281" s="1098">
        <f t="shared" si="45"/>
        <v>4564</v>
      </c>
      <c r="E281" s="1098">
        <f t="shared" si="45"/>
        <v>4554</v>
      </c>
      <c r="F281" s="1098">
        <f t="shared" si="45"/>
        <v>4570</v>
      </c>
      <c r="G281" s="1098">
        <f t="shared" si="45"/>
        <v>4539</v>
      </c>
      <c r="H281" s="1098">
        <f t="shared" si="45"/>
        <v>4559</v>
      </c>
      <c r="I281" s="1098">
        <f t="shared" si="45"/>
        <v>4522</v>
      </c>
      <c r="J281" s="1098">
        <f t="shared" si="45"/>
        <v>4548</v>
      </c>
      <c r="K281" s="1098">
        <f t="shared" si="45"/>
        <v>4510</v>
      </c>
      <c r="L281" s="1098">
        <f t="shared" si="45"/>
        <v>4548</v>
      </c>
      <c r="M281" s="1098">
        <f t="shared" si="45"/>
        <v>4537</v>
      </c>
      <c r="N281" s="1098">
        <f t="shared" si="45"/>
        <v>4525</v>
      </c>
      <c r="O281" s="1099">
        <f t="shared" si="46"/>
        <v>4541.333333333333</v>
      </c>
      <c r="P281" s="1099">
        <f t="shared" ref="P281:P287" si="47">SUM(O281-N280)</f>
        <v>-19.66666666666697</v>
      </c>
      <c r="Q281" s="1100">
        <f t="shared" ref="Q281:Q289" si="48">SUM(P281/O280)</f>
        <v>-4.3771793159730621E-3</v>
      </c>
      <c r="R281" s="1098"/>
    </row>
    <row r="282" spans="1:18" x14ac:dyDescent="0.2">
      <c r="A282" s="1098"/>
      <c r="B282" s="1098" t="s">
        <v>436</v>
      </c>
      <c r="C282" s="1098">
        <f t="shared" si="45"/>
        <v>4558</v>
      </c>
      <c r="D282" s="1098">
        <f t="shared" si="45"/>
        <v>4615</v>
      </c>
      <c r="E282" s="1098">
        <f t="shared" si="45"/>
        <v>4607</v>
      </c>
      <c r="F282" s="1098">
        <f t="shared" si="45"/>
        <v>4575</v>
      </c>
      <c r="G282" s="1098">
        <f t="shared" si="45"/>
        <v>4575</v>
      </c>
      <c r="H282" s="1098">
        <f t="shared" si="45"/>
        <v>4624</v>
      </c>
      <c r="I282" s="1098">
        <f t="shared" si="45"/>
        <v>4604</v>
      </c>
      <c r="J282" s="1098">
        <f t="shared" si="45"/>
        <v>4666</v>
      </c>
      <c r="K282" s="1098">
        <f t="shared" si="45"/>
        <v>4736</v>
      </c>
      <c r="L282" s="1098">
        <f t="shared" si="45"/>
        <v>4774</v>
      </c>
      <c r="M282" s="1098">
        <f t="shared" si="45"/>
        <v>4832</v>
      </c>
      <c r="N282" s="1098">
        <f t="shared" si="45"/>
        <v>4872</v>
      </c>
      <c r="O282" s="1099">
        <f t="shared" si="46"/>
        <v>4669.833333333333</v>
      </c>
      <c r="P282" s="1099">
        <f t="shared" si="47"/>
        <v>144.83333333333303</v>
      </c>
      <c r="Q282" s="1100">
        <f t="shared" si="48"/>
        <v>3.1892248972401581E-2</v>
      </c>
      <c r="R282" s="1100">
        <f>SUM(Q281:Q282)</f>
        <v>2.7515069656428519E-2</v>
      </c>
    </row>
    <row r="283" spans="1:18" x14ac:dyDescent="0.2">
      <c r="A283" s="1098"/>
      <c r="B283" s="1098" t="s">
        <v>260</v>
      </c>
      <c r="C283" s="1098">
        <f t="shared" si="45"/>
        <v>4823</v>
      </c>
      <c r="D283" s="1098">
        <f t="shared" si="45"/>
        <v>4949</v>
      </c>
      <c r="E283" s="1098">
        <f t="shared" si="45"/>
        <v>4738</v>
      </c>
      <c r="F283" s="1098">
        <f t="shared" si="45"/>
        <v>4753</v>
      </c>
      <c r="G283" s="1098">
        <f t="shared" si="45"/>
        <v>4796</v>
      </c>
      <c r="H283" s="1098">
        <f t="shared" si="45"/>
        <v>4795</v>
      </c>
      <c r="I283" s="1098">
        <f t="shared" si="45"/>
        <v>4787</v>
      </c>
      <c r="J283" s="1098">
        <f t="shared" si="45"/>
        <v>4789</v>
      </c>
      <c r="K283" s="1098">
        <f t="shared" si="45"/>
        <v>4682</v>
      </c>
      <c r="L283" s="1098">
        <f t="shared" si="45"/>
        <v>4694</v>
      </c>
      <c r="M283" s="1098">
        <f t="shared" si="45"/>
        <v>4685</v>
      </c>
      <c r="N283" s="1098">
        <f t="shared" si="45"/>
        <v>4723</v>
      </c>
      <c r="O283" s="1099">
        <f t="shared" si="46"/>
        <v>4767.833333333333</v>
      </c>
      <c r="P283" s="1099">
        <f t="shared" si="47"/>
        <v>-104.16666666666697</v>
      </c>
      <c r="Q283" s="1100">
        <f t="shared" si="48"/>
        <v>-2.2306292158892245E-2</v>
      </c>
      <c r="R283" s="1100">
        <f>SUM(Q281:Q283)</f>
        <v>5.2087774975362738E-3</v>
      </c>
    </row>
    <row r="284" spans="1:18" x14ac:dyDescent="0.2">
      <c r="A284" s="1098"/>
      <c r="B284" s="1098" t="s">
        <v>259</v>
      </c>
      <c r="C284" s="1098">
        <f t="shared" si="45"/>
        <v>4934</v>
      </c>
      <c r="D284" s="1098">
        <f t="shared" si="45"/>
        <v>4681</v>
      </c>
      <c r="E284" s="1098">
        <f t="shared" si="45"/>
        <v>4701</v>
      </c>
      <c r="F284" s="1098">
        <f t="shared" si="45"/>
        <v>4713</v>
      </c>
      <c r="G284" s="1098">
        <f t="shared" si="45"/>
        <v>4644</v>
      </c>
      <c r="H284" s="1098">
        <f t="shared" si="45"/>
        <v>4760</v>
      </c>
      <c r="I284" s="1098">
        <f t="shared" si="45"/>
        <v>4760</v>
      </c>
      <c r="J284" s="1098">
        <f t="shared" si="45"/>
        <v>4753</v>
      </c>
      <c r="K284" s="1098">
        <f t="shared" si="45"/>
        <v>4744</v>
      </c>
      <c r="L284" s="1098">
        <f t="shared" si="45"/>
        <v>4764</v>
      </c>
      <c r="M284" s="1098">
        <f t="shared" si="45"/>
        <v>4810</v>
      </c>
      <c r="N284" s="1098">
        <f t="shared" si="45"/>
        <v>4804</v>
      </c>
      <c r="O284" s="1099">
        <f t="shared" si="46"/>
        <v>4755.666666666667</v>
      </c>
      <c r="P284" s="1099">
        <f t="shared" si="47"/>
        <v>32.66666666666697</v>
      </c>
      <c r="Q284" s="1100">
        <f t="shared" si="48"/>
        <v>6.8514699199497264E-3</v>
      </c>
      <c r="R284" s="1100">
        <f>SUM(Q281:Q284)</f>
        <v>1.2060247417486E-2</v>
      </c>
    </row>
    <row r="285" spans="1:18" x14ac:dyDescent="0.2">
      <c r="A285" s="1098"/>
      <c r="B285" s="1098" t="s">
        <v>280</v>
      </c>
      <c r="C285" s="1098">
        <f t="shared" si="45"/>
        <v>4780</v>
      </c>
      <c r="D285" s="1098">
        <f t="shared" si="45"/>
        <v>4815</v>
      </c>
      <c r="E285" s="1098">
        <f t="shared" si="45"/>
        <v>4843</v>
      </c>
      <c r="F285" s="1098">
        <f t="shared" si="45"/>
        <v>4851</v>
      </c>
      <c r="G285" s="1098">
        <f t="shared" si="45"/>
        <v>4883</v>
      </c>
      <c r="H285" s="1098">
        <f t="shared" si="45"/>
        <v>4792</v>
      </c>
      <c r="I285" s="1098">
        <f t="shared" si="45"/>
        <v>4842</v>
      </c>
      <c r="J285" s="1098">
        <f t="shared" si="45"/>
        <v>4977</v>
      </c>
      <c r="K285" s="1098">
        <f t="shared" si="45"/>
        <v>4949</v>
      </c>
      <c r="L285" s="1098">
        <f t="shared" si="45"/>
        <v>4956</v>
      </c>
      <c r="M285" s="1098">
        <f t="shared" si="45"/>
        <v>5017</v>
      </c>
      <c r="N285" s="1098">
        <f t="shared" si="45"/>
        <v>4991</v>
      </c>
      <c r="O285" s="1099">
        <f t="shared" si="46"/>
        <v>4891.333333333333</v>
      </c>
      <c r="P285" s="1099">
        <f t="shared" si="47"/>
        <v>87.33333333333303</v>
      </c>
      <c r="Q285" s="1100">
        <f t="shared" si="48"/>
        <v>1.8364056914558006E-2</v>
      </c>
      <c r="R285" s="1100">
        <f>SUM(Q281:Q285)</f>
        <v>3.0424304332044006E-2</v>
      </c>
    </row>
    <row r="286" spans="1:18" x14ac:dyDescent="0.2">
      <c r="A286" s="1098"/>
      <c r="B286" s="1098" t="s">
        <v>290</v>
      </c>
      <c r="C286" s="1098">
        <f t="shared" si="45"/>
        <v>5030</v>
      </c>
      <c r="D286" s="1098">
        <f t="shared" si="45"/>
        <v>5070</v>
      </c>
      <c r="E286" s="1098">
        <f t="shared" si="45"/>
        <v>5041</v>
      </c>
      <c r="F286" s="1098">
        <f t="shared" si="45"/>
        <v>5085</v>
      </c>
      <c r="G286" s="1098">
        <f t="shared" si="45"/>
        <v>5067</v>
      </c>
      <c r="H286" s="1098">
        <f t="shared" si="45"/>
        <v>5102</v>
      </c>
      <c r="I286" s="1098">
        <f t="shared" si="45"/>
        <v>5086</v>
      </c>
      <c r="J286" s="1098">
        <f t="shared" si="45"/>
        <v>5164</v>
      </c>
      <c r="K286" s="1098">
        <f t="shared" si="45"/>
        <v>5141</v>
      </c>
      <c r="L286" s="1098">
        <f t="shared" si="45"/>
        <v>5196</v>
      </c>
      <c r="M286" s="1098">
        <f t="shared" si="45"/>
        <v>5262</v>
      </c>
      <c r="N286" s="1098">
        <f t="shared" si="45"/>
        <v>5272</v>
      </c>
      <c r="O286" s="1099">
        <f t="shared" si="46"/>
        <v>5126.333333333333</v>
      </c>
      <c r="P286" s="1099">
        <f t="shared" si="47"/>
        <v>135.33333333333303</v>
      </c>
      <c r="Q286" s="1100">
        <f t="shared" si="48"/>
        <v>2.7667984189723261E-2</v>
      </c>
      <c r="R286" s="1100">
        <f>SUM(Q281:Q286)</f>
        <v>5.8092288521767267E-2</v>
      </c>
    </row>
    <row r="287" spans="1:18" x14ac:dyDescent="0.2">
      <c r="A287" s="1098"/>
      <c r="B287" s="1098" t="s">
        <v>293</v>
      </c>
      <c r="C287" s="1098">
        <f t="shared" si="45"/>
        <v>5300</v>
      </c>
      <c r="D287" s="1098">
        <f t="shared" si="45"/>
        <v>5270</v>
      </c>
      <c r="E287" s="1098">
        <f t="shared" si="45"/>
        <v>5214</v>
      </c>
      <c r="F287" s="1098">
        <f t="shared" si="45"/>
        <v>5280</v>
      </c>
      <c r="G287" s="1098">
        <f t="shared" si="45"/>
        <v>5289</v>
      </c>
      <c r="H287" s="1098">
        <f t="shared" si="45"/>
        <v>5344</v>
      </c>
      <c r="I287" s="1098">
        <f t="shared" si="45"/>
        <v>5315</v>
      </c>
      <c r="J287" s="1098">
        <f t="shared" si="45"/>
        <v>5326</v>
      </c>
      <c r="K287" s="1098">
        <f t="shared" si="45"/>
        <v>5260</v>
      </c>
      <c r="L287" s="1098">
        <f t="shared" si="45"/>
        <v>5801</v>
      </c>
      <c r="M287" s="1098">
        <f t="shared" si="45"/>
        <v>5765</v>
      </c>
      <c r="N287" s="1098">
        <f t="shared" si="45"/>
        <v>5296</v>
      </c>
      <c r="O287" s="1099">
        <f t="shared" si="46"/>
        <v>5371.666666666667</v>
      </c>
      <c r="P287" s="1099">
        <f t="shared" si="47"/>
        <v>99.66666666666697</v>
      </c>
      <c r="Q287" s="1100">
        <f t="shared" si="48"/>
        <v>1.9442096365173349E-2</v>
      </c>
      <c r="R287" s="1100">
        <f t="shared" ref="R287:R297" si="49">SUM(Q281:Q287)</f>
        <v>7.7534384886940616E-2</v>
      </c>
    </row>
    <row r="288" spans="1:18" x14ac:dyDescent="0.2">
      <c r="A288" s="1098"/>
      <c r="B288" s="1098" t="s">
        <v>294</v>
      </c>
      <c r="C288" s="1098">
        <f t="shared" si="45"/>
        <v>5324</v>
      </c>
      <c r="D288" s="1098">
        <f t="shared" si="45"/>
        <v>5413</v>
      </c>
      <c r="E288" s="1098">
        <f t="shared" si="45"/>
        <v>5738</v>
      </c>
      <c r="F288" s="1098">
        <f t="shared" si="45"/>
        <v>5475</v>
      </c>
      <c r="G288" s="1098">
        <f t="shared" si="45"/>
        <v>5231</v>
      </c>
      <c r="H288" s="1098">
        <f t="shared" si="45"/>
        <v>5265</v>
      </c>
      <c r="I288" s="1098">
        <f t="shared" si="45"/>
        <v>5442</v>
      </c>
      <c r="J288" s="1098">
        <f t="shared" si="45"/>
        <v>5402</v>
      </c>
      <c r="K288" s="1098">
        <f t="shared" si="45"/>
        <v>5364</v>
      </c>
      <c r="L288" s="1098">
        <f t="shared" si="45"/>
        <v>5409</v>
      </c>
      <c r="M288" s="1098">
        <f t="shared" si="45"/>
        <v>5790</v>
      </c>
      <c r="N288" s="1098">
        <f t="shared" si="45"/>
        <v>5890</v>
      </c>
      <c r="O288" s="1099">
        <f t="shared" si="46"/>
        <v>5478.583333333333</v>
      </c>
      <c r="P288" s="1099">
        <f t="shared" ref="P288:P293" si="50">SUM(O288-O287)</f>
        <v>106.91666666666606</v>
      </c>
      <c r="Q288" s="1100">
        <f t="shared" si="48"/>
        <v>1.9903816320198459E-2</v>
      </c>
      <c r="R288" s="1100">
        <f t="shared" si="49"/>
        <v>0.10181538052311213</v>
      </c>
    </row>
    <row r="289" spans="1:18" x14ac:dyDescent="0.2">
      <c r="A289" s="1098"/>
      <c r="B289" s="1098" t="s">
        <v>295</v>
      </c>
      <c r="C289" s="1098">
        <f t="shared" si="45"/>
        <v>5636</v>
      </c>
      <c r="D289" s="1098">
        <f t="shared" si="45"/>
        <v>5620</v>
      </c>
      <c r="E289" s="1098">
        <f t="shared" si="45"/>
        <v>5623</v>
      </c>
      <c r="F289" s="1098">
        <f t="shared" si="45"/>
        <v>5600</v>
      </c>
      <c r="G289" s="1098">
        <f t="shared" si="45"/>
        <v>5642</v>
      </c>
      <c r="H289" s="1098">
        <f t="shared" si="45"/>
        <v>5678</v>
      </c>
      <c r="I289" s="1098">
        <f t="shared" si="45"/>
        <v>5668</v>
      </c>
      <c r="J289" s="1098">
        <f t="shared" si="45"/>
        <v>5682</v>
      </c>
      <c r="K289" s="1098">
        <f t="shared" si="45"/>
        <v>5707</v>
      </c>
      <c r="L289" s="1098">
        <f t="shared" si="45"/>
        <v>5751</v>
      </c>
      <c r="M289" s="1098">
        <f t="shared" si="45"/>
        <v>5791</v>
      </c>
      <c r="N289" s="1098">
        <f t="shared" si="45"/>
        <v>5813</v>
      </c>
      <c r="O289" s="1099">
        <f>SUM(C289:N289)/12</f>
        <v>5684.25</v>
      </c>
      <c r="P289" s="1099">
        <f t="shared" si="50"/>
        <v>205.66666666666697</v>
      </c>
      <c r="Q289" s="1100">
        <f t="shared" si="48"/>
        <v>3.7540118339595148E-2</v>
      </c>
      <c r="R289" s="1100">
        <f t="shared" si="49"/>
        <v>0.1074632498903057</v>
      </c>
    </row>
    <row r="290" spans="1:18" x14ac:dyDescent="0.2">
      <c r="A290" s="1098"/>
      <c r="B290" s="1098" t="s">
        <v>335</v>
      </c>
      <c r="C290" s="1098">
        <f t="shared" si="45"/>
        <v>5792</v>
      </c>
      <c r="D290" s="1098">
        <f t="shared" si="45"/>
        <v>5837</v>
      </c>
      <c r="E290" s="1098">
        <f t="shared" si="45"/>
        <v>5783</v>
      </c>
      <c r="F290" s="1098">
        <f t="shared" si="45"/>
        <v>5776</v>
      </c>
      <c r="G290" s="1098">
        <f t="shared" si="45"/>
        <v>5691</v>
      </c>
      <c r="H290" s="1098">
        <f t="shared" si="45"/>
        <v>5868</v>
      </c>
      <c r="I290" s="1098">
        <f t="shared" si="45"/>
        <v>5812</v>
      </c>
      <c r="J290" s="1098">
        <f t="shared" si="45"/>
        <v>5855</v>
      </c>
      <c r="K290" s="1098">
        <f t="shared" si="45"/>
        <v>5867</v>
      </c>
      <c r="L290" s="1098">
        <f t="shared" si="45"/>
        <v>5881</v>
      </c>
      <c r="M290" s="1098">
        <f t="shared" si="45"/>
        <v>5824</v>
      </c>
      <c r="N290" s="1098">
        <f t="shared" si="45"/>
        <v>5846</v>
      </c>
      <c r="O290" s="1099">
        <f>SUM(C290:N290)/12</f>
        <v>5819.333333333333</v>
      </c>
      <c r="P290" s="1099">
        <f t="shared" si="50"/>
        <v>135.08333333333303</v>
      </c>
      <c r="Q290" s="1100">
        <f t="shared" ref="Q290:Q295" si="51">SUM(P290/O289)</f>
        <v>2.3764495462608618E-2</v>
      </c>
      <c r="R290" s="1100">
        <f t="shared" si="49"/>
        <v>0.15353403751180655</v>
      </c>
    </row>
    <row r="291" spans="1:18" x14ac:dyDescent="0.2">
      <c r="A291" s="1098"/>
      <c r="B291" s="1098" t="s">
        <v>358</v>
      </c>
      <c r="C291" s="1098">
        <f t="shared" si="45"/>
        <v>5909</v>
      </c>
      <c r="D291" s="1098">
        <f t="shared" si="45"/>
        <v>5921</v>
      </c>
      <c r="E291" s="1098">
        <f t="shared" si="45"/>
        <v>5881</v>
      </c>
      <c r="F291" s="1098">
        <f t="shared" si="45"/>
        <v>5938</v>
      </c>
      <c r="G291" s="1098">
        <f t="shared" si="45"/>
        <v>5963</v>
      </c>
      <c r="H291" s="1098">
        <f t="shared" si="45"/>
        <v>5986</v>
      </c>
      <c r="I291" s="1098">
        <f t="shared" si="45"/>
        <v>5927</v>
      </c>
      <c r="J291" s="1098">
        <f t="shared" si="45"/>
        <v>5974</v>
      </c>
      <c r="K291" s="1098">
        <f t="shared" si="45"/>
        <v>6009</v>
      </c>
      <c r="L291" s="1098">
        <f t="shared" si="45"/>
        <v>6021</v>
      </c>
      <c r="M291" s="1098">
        <f t="shared" si="45"/>
        <v>5978</v>
      </c>
      <c r="N291" s="1098">
        <f t="shared" si="45"/>
        <v>5883</v>
      </c>
      <c r="O291" s="1099">
        <f>SUM(C291:N291)/12</f>
        <v>5949.166666666667</v>
      </c>
      <c r="P291" s="1099">
        <f t="shared" si="50"/>
        <v>129.83333333333394</v>
      </c>
      <c r="Q291" s="1100">
        <f t="shared" si="51"/>
        <v>2.2310688509565919E-2</v>
      </c>
      <c r="R291" s="1100">
        <f t="shared" si="49"/>
        <v>0.16899325610142274</v>
      </c>
    </row>
    <row r="292" spans="1:18" x14ac:dyDescent="0.2">
      <c r="A292" s="1098"/>
      <c r="B292" s="1098" t="s">
        <v>454</v>
      </c>
      <c r="C292" s="1098">
        <f t="shared" si="45"/>
        <v>5999</v>
      </c>
      <c r="D292" s="1098">
        <f t="shared" si="45"/>
        <v>6010</v>
      </c>
      <c r="E292" s="1098">
        <f t="shared" si="45"/>
        <v>6006</v>
      </c>
      <c r="F292" s="1098">
        <f t="shared" si="45"/>
        <v>6022</v>
      </c>
      <c r="G292" s="1098">
        <f t="shared" si="45"/>
        <v>6027</v>
      </c>
      <c r="H292" s="1098">
        <f t="shared" si="45"/>
        <v>6072</v>
      </c>
      <c r="I292" s="1098">
        <f t="shared" si="45"/>
        <v>6094</v>
      </c>
      <c r="J292" s="1098">
        <f t="shared" si="45"/>
        <v>6090</v>
      </c>
      <c r="K292" s="1098">
        <f t="shared" si="45"/>
        <v>6044</v>
      </c>
      <c r="L292" s="1098">
        <f t="shared" si="45"/>
        <v>6053</v>
      </c>
      <c r="M292" s="1098">
        <f t="shared" si="45"/>
        <v>6097</v>
      </c>
      <c r="N292" s="1098">
        <f t="shared" si="45"/>
        <v>6122</v>
      </c>
      <c r="O292" s="1099">
        <f>SUM(C292:N292)/12</f>
        <v>6053</v>
      </c>
      <c r="P292" s="1099">
        <f t="shared" si="50"/>
        <v>103.83333333333303</v>
      </c>
      <c r="Q292" s="1100">
        <f t="shared" si="51"/>
        <v>1.7453424849418635E-2</v>
      </c>
      <c r="R292" s="1100">
        <f t="shared" si="49"/>
        <v>0.16808262403628338</v>
      </c>
    </row>
    <row r="293" spans="1:18" x14ac:dyDescent="0.2">
      <c r="A293" s="1098"/>
      <c r="B293" s="1098" t="s">
        <v>471</v>
      </c>
      <c r="C293" s="1098">
        <f t="shared" ref="C293:O298" si="52">SUM(C16,C36,C57,C77,C98,C118,C139,C159,C180,C200,C221,C241,C262,C272)</f>
        <v>6219</v>
      </c>
      <c r="D293" s="1098">
        <f t="shared" si="52"/>
        <v>6195</v>
      </c>
      <c r="E293" s="1098">
        <f t="shared" si="52"/>
        <v>6211</v>
      </c>
      <c r="F293" s="1098">
        <f t="shared" si="52"/>
        <v>6268</v>
      </c>
      <c r="G293" s="1098">
        <f t="shared" si="52"/>
        <v>6289</v>
      </c>
      <c r="H293" s="1098">
        <f t="shared" si="52"/>
        <v>6246</v>
      </c>
      <c r="I293" s="1098">
        <f t="shared" si="52"/>
        <v>6283</v>
      </c>
      <c r="J293" s="1098">
        <f t="shared" si="52"/>
        <v>6294</v>
      </c>
      <c r="K293" s="1098">
        <f t="shared" si="52"/>
        <v>6169</v>
      </c>
      <c r="L293" s="1098">
        <f t="shared" si="52"/>
        <v>6109</v>
      </c>
      <c r="M293" s="1098">
        <f t="shared" si="52"/>
        <v>6183</v>
      </c>
      <c r="N293" s="1098">
        <f t="shared" si="52"/>
        <v>6197</v>
      </c>
      <c r="O293" s="1099">
        <f t="shared" si="52"/>
        <v>6221.9166666666652</v>
      </c>
      <c r="P293" s="1099">
        <f t="shared" si="50"/>
        <v>168.91666666666515</v>
      </c>
      <c r="Q293" s="1100">
        <f t="shared" si="51"/>
        <v>2.7906272371826392E-2</v>
      </c>
      <c r="R293" s="1100">
        <f t="shared" si="49"/>
        <v>0.16832091221838652</v>
      </c>
    </row>
    <row r="294" spans="1:18" x14ac:dyDescent="0.2">
      <c r="A294" s="1098"/>
      <c r="B294" s="1098" t="s">
        <v>537</v>
      </c>
      <c r="C294" s="1098">
        <f t="shared" si="52"/>
        <v>6254</v>
      </c>
      <c r="D294" s="1098">
        <f t="shared" si="52"/>
        <v>6195</v>
      </c>
      <c r="E294" s="1098">
        <f t="shared" si="52"/>
        <v>6259</v>
      </c>
      <c r="F294" s="1098">
        <f t="shared" si="52"/>
        <v>6210</v>
      </c>
      <c r="G294" s="1098">
        <f t="shared" si="52"/>
        <v>6164</v>
      </c>
      <c r="H294" s="1098">
        <f t="shared" si="52"/>
        <v>6214</v>
      </c>
      <c r="I294" s="1098">
        <f t="shared" si="52"/>
        <v>6176</v>
      </c>
      <c r="J294" s="1098">
        <f t="shared" si="52"/>
        <v>6172</v>
      </c>
      <c r="K294" s="1098">
        <f t="shared" si="52"/>
        <v>6086</v>
      </c>
      <c r="L294" s="1098">
        <f t="shared" si="52"/>
        <v>6077</v>
      </c>
      <c r="M294" s="1098">
        <f t="shared" si="52"/>
        <v>6086</v>
      </c>
      <c r="N294" s="1098">
        <f t="shared" si="52"/>
        <v>6159</v>
      </c>
      <c r="O294" s="1098">
        <f t="shared" si="52"/>
        <v>6171.0000000000009</v>
      </c>
      <c r="P294" s="1099">
        <f>SUM(O294-O293)</f>
        <v>-50.916666666664241</v>
      </c>
      <c r="Q294" s="1100">
        <f t="shared" si="51"/>
        <v>-8.1834375795236062E-3</v>
      </c>
      <c r="R294" s="1100">
        <f t="shared" si="49"/>
        <v>0.14069537827368955</v>
      </c>
    </row>
    <row r="295" spans="1:18" x14ac:dyDescent="0.2">
      <c r="A295" s="1098"/>
      <c r="B295" s="1098" t="s">
        <v>628</v>
      </c>
      <c r="C295" s="1098">
        <f t="shared" si="52"/>
        <v>6046</v>
      </c>
      <c r="D295" s="1098">
        <f t="shared" si="52"/>
        <v>5977</v>
      </c>
      <c r="E295" s="1098">
        <f t="shared" si="52"/>
        <v>5919</v>
      </c>
      <c r="F295" s="1098">
        <f t="shared" si="52"/>
        <v>5878</v>
      </c>
      <c r="G295" s="1098">
        <f t="shared" si="52"/>
        <v>5876</v>
      </c>
      <c r="H295" s="1098">
        <f t="shared" si="52"/>
        <v>5773</v>
      </c>
      <c r="I295" s="1098">
        <f t="shared" si="52"/>
        <v>5785</v>
      </c>
      <c r="J295" s="1098">
        <f t="shared" si="52"/>
        <v>5754</v>
      </c>
      <c r="K295" s="1098">
        <f t="shared" si="52"/>
        <v>5747</v>
      </c>
      <c r="L295" s="1098">
        <f t="shared" si="52"/>
        <v>5612</v>
      </c>
      <c r="M295" s="1098">
        <f t="shared" si="52"/>
        <v>5667</v>
      </c>
      <c r="N295" s="1098">
        <f t="shared" si="52"/>
        <v>5672</v>
      </c>
      <c r="O295" s="1099">
        <f t="shared" si="52"/>
        <v>5808.833333333333</v>
      </c>
      <c r="P295" s="1099">
        <f>SUM(O295-O294)</f>
        <v>-362.16666666666788</v>
      </c>
      <c r="Q295" s="1100">
        <f t="shared" si="51"/>
        <v>-5.8688489169772783E-2</v>
      </c>
      <c r="R295" s="1100">
        <f t="shared" si="49"/>
        <v>6.2103072783718329E-2</v>
      </c>
    </row>
    <row r="296" spans="1:18" x14ac:dyDescent="0.2">
      <c r="A296" s="1101"/>
      <c r="B296" s="1101" t="s">
        <v>629</v>
      </c>
      <c r="C296" s="1098">
        <f t="shared" si="52"/>
        <v>5433</v>
      </c>
      <c r="D296" s="1098">
        <f t="shared" si="52"/>
        <v>5487</v>
      </c>
      <c r="E296" s="1098">
        <f t="shared" si="52"/>
        <v>5411</v>
      </c>
      <c r="F296" s="1098">
        <f t="shared" si="52"/>
        <v>5423</v>
      </c>
      <c r="G296" s="1098">
        <f t="shared" si="52"/>
        <v>5368</v>
      </c>
      <c r="H296" s="1098">
        <f t="shared" si="52"/>
        <v>5293</v>
      </c>
      <c r="I296" s="1098">
        <f t="shared" si="52"/>
        <v>5267</v>
      </c>
      <c r="J296" s="1098">
        <f t="shared" si="52"/>
        <v>5284</v>
      </c>
      <c r="K296" s="1098">
        <f t="shared" si="52"/>
        <v>5341</v>
      </c>
      <c r="L296" s="1098">
        <f t="shared" si="52"/>
        <v>5347</v>
      </c>
      <c r="M296" s="1098">
        <f t="shared" si="52"/>
        <v>5336</v>
      </c>
      <c r="N296" s="1098">
        <f t="shared" si="52"/>
        <v>5326</v>
      </c>
      <c r="O296" s="1099">
        <f t="shared" si="52"/>
        <v>5359.6666666666661</v>
      </c>
      <c r="P296" s="1099">
        <f>SUM(O296-O295)</f>
        <v>-449.16666666666697</v>
      </c>
      <c r="Q296" s="1100">
        <f>SUM(P296/O295)</f>
        <v>-7.7324764008837171E-2</v>
      </c>
      <c r="R296" s="1100">
        <f t="shared" si="49"/>
        <v>-5.2761809564714011E-2</v>
      </c>
    </row>
    <row r="297" spans="1:18" x14ac:dyDescent="0.2">
      <c r="A297" s="1101"/>
      <c r="B297" s="1101" t="s">
        <v>983</v>
      </c>
      <c r="C297" s="1098">
        <f t="shared" si="52"/>
        <v>5219</v>
      </c>
      <c r="D297" s="1098">
        <f t="shared" si="52"/>
        <v>5269</v>
      </c>
      <c r="E297" s="1098">
        <f t="shared" si="52"/>
        <v>5324</v>
      </c>
      <c r="F297" s="1098">
        <f t="shared" si="52"/>
        <v>5315</v>
      </c>
      <c r="G297" s="1098">
        <f t="shared" si="52"/>
        <v>5268</v>
      </c>
      <c r="H297" s="1098">
        <f t="shared" si="52"/>
        <v>5235</v>
      </c>
      <c r="I297" s="1098">
        <f t="shared" si="52"/>
        <v>5264</v>
      </c>
      <c r="J297" s="1098">
        <f t="shared" si="52"/>
        <v>5178</v>
      </c>
      <c r="K297" s="1098">
        <f t="shared" si="52"/>
        <v>5152</v>
      </c>
      <c r="L297" s="1098">
        <f t="shared" si="52"/>
        <v>5033</v>
      </c>
      <c r="M297" s="1098">
        <f t="shared" si="52"/>
        <v>5006</v>
      </c>
      <c r="N297" s="1098">
        <f t="shared" si="52"/>
        <v>4982</v>
      </c>
      <c r="O297" s="1099">
        <f t="shared" si="52"/>
        <v>5187.0833333333339</v>
      </c>
      <c r="P297" s="1099">
        <f>SUM(O297-O296)</f>
        <v>-172.58333333333212</v>
      </c>
      <c r="Q297" s="1100">
        <f>SUM(P297/O296)</f>
        <v>-3.2200385596118937E-2</v>
      </c>
      <c r="R297" s="1100">
        <f t="shared" si="49"/>
        <v>-0.10872669062344156</v>
      </c>
    </row>
    <row r="298" spans="1:18" x14ac:dyDescent="0.2">
      <c r="A298" s="1101"/>
      <c r="B298" s="1098" t="s">
        <v>984</v>
      </c>
      <c r="C298" s="1098">
        <f t="shared" si="52"/>
        <v>4882</v>
      </c>
      <c r="D298" s="1098">
        <f t="shared" si="52"/>
        <v>4681</v>
      </c>
      <c r="E298" s="1098">
        <f t="shared" si="52"/>
        <v>0</v>
      </c>
      <c r="F298" s="1098">
        <f t="shared" si="52"/>
        <v>0</v>
      </c>
      <c r="G298" s="1098">
        <f t="shared" si="52"/>
        <v>0</v>
      </c>
      <c r="H298" s="1098">
        <f t="shared" si="52"/>
        <v>0</v>
      </c>
      <c r="I298" s="1098">
        <f t="shared" si="52"/>
        <v>0</v>
      </c>
      <c r="J298" s="1098">
        <f t="shared" si="52"/>
        <v>0</v>
      </c>
      <c r="K298" s="1098">
        <f t="shared" si="52"/>
        <v>0</v>
      </c>
      <c r="L298" s="1098">
        <f t="shared" si="52"/>
        <v>0</v>
      </c>
      <c r="M298" s="1098">
        <f t="shared" si="52"/>
        <v>0</v>
      </c>
      <c r="N298" s="1098">
        <f t="shared" si="52"/>
        <v>0</v>
      </c>
      <c r="O298" s="1099">
        <f t="shared" si="52"/>
        <v>0</v>
      </c>
      <c r="P298" s="1099"/>
      <c r="Q298" s="1100"/>
      <c r="R298" s="1100"/>
    </row>
    <row r="299" spans="1:18" x14ac:dyDescent="0.2">
      <c r="A299" s="534" t="s">
        <v>986</v>
      </c>
      <c r="G299" s="978">
        <f>O297</f>
        <v>5187.0833333333339</v>
      </c>
    </row>
    <row r="300" spans="1:18" x14ac:dyDescent="0.2">
      <c r="A300" s="753"/>
      <c r="B300" s="753"/>
      <c r="C300" s="753"/>
      <c r="D300" s="753"/>
      <c r="E300" s="753"/>
      <c r="F300" s="753"/>
      <c r="G300" s="753"/>
      <c r="H300" s="753"/>
      <c r="I300" s="753"/>
      <c r="J300" s="753"/>
      <c r="K300" s="753"/>
      <c r="L300" s="753"/>
      <c r="M300" s="753"/>
      <c r="N300" s="753"/>
      <c r="O300" s="753"/>
      <c r="P300" s="753"/>
      <c r="Q300" s="753"/>
      <c r="R300" s="753"/>
    </row>
    <row r="303" spans="1:18" x14ac:dyDescent="0.2">
      <c r="A303" s="531"/>
      <c r="B303" s="531"/>
      <c r="C303" s="531"/>
      <c r="D303" s="531"/>
      <c r="E303" s="531"/>
      <c r="F303" s="531"/>
      <c r="G303" s="531"/>
      <c r="H303" s="531"/>
      <c r="I303" s="531"/>
      <c r="J303" s="531"/>
      <c r="K303" s="531"/>
      <c r="L303" s="531"/>
      <c r="M303" s="531"/>
      <c r="N303" s="531"/>
      <c r="O303" s="531"/>
      <c r="P303" s="531"/>
      <c r="Q303" s="531"/>
    </row>
    <row r="304" spans="1:18" ht="38.25" x14ac:dyDescent="0.2">
      <c r="A304" s="175" t="s">
        <v>417</v>
      </c>
      <c r="B304" s="176" t="s">
        <v>418</v>
      </c>
      <c r="C304" s="179" t="s">
        <v>419</v>
      </c>
      <c r="D304" s="179" t="s">
        <v>420</v>
      </c>
      <c r="E304" s="179" t="s">
        <v>421</v>
      </c>
      <c r="F304" s="179" t="s">
        <v>422</v>
      </c>
      <c r="G304" s="179" t="s">
        <v>423</v>
      </c>
      <c r="H304" s="179" t="s">
        <v>424</v>
      </c>
      <c r="I304" s="179" t="s">
        <v>425</v>
      </c>
      <c r="J304" s="179" t="s">
        <v>426</v>
      </c>
      <c r="K304" s="179" t="s">
        <v>427</v>
      </c>
      <c r="L304" s="179" t="s">
        <v>428</v>
      </c>
      <c r="M304" s="179" t="s">
        <v>429</v>
      </c>
      <c r="N304" s="179" t="s">
        <v>430</v>
      </c>
      <c r="O304" s="174" t="s">
        <v>431</v>
      </c>
      <c r="P304" s="532" t="s">
        <v>432</v>
      </c>
      <c r="Q304" s="532" t="s">
        <v>433</v>
      </c>
    </row>
    <row r="305" spans="2:17" x14ac:dyDescent="0.2">
      <c r="B305" t="s">
        <v>434</v>
      </c>
      <c r="C305">
        <v>1998</v>
      </c>
      <c r="D305">
        <v>2016</v>
      </c>
      <c r="E305">
        <v>1984</v>
      </c>
      <c r="F305">
        <v>2010</v>
      </c>
      <c r="G305">
        <v>2067</v>
      </c>
      <c r="H305">
        <v>2078</v>
      </c>
      <c r="I305">
        <v>2078</v>
      </c>
      <c r="J305">
        <v>2085</v>
      </c>
      <c r="K305">
        <v>2134</v>
      </c>
      <c r="L305">
        <v>2136</v>
      </c>
      <c r="M305">
        <v>2135</v>
      </c>
      <c r="N305">
        <v>2143</v>
      </c>
      <c r="O305">
        <f>SUM(C305:N305)/12</f>
        <v>2072</v>
      </c>
    </row>
    <row r="306" spans="2:17" x14ac:dyDescent="0.2">
      <c r="B306" t="s">
        <v>435</v>
      </c>
      <c r="C306">
        <v>2155</v>
      </c>
      <c r="D306">
        <v>2157</v>
      </c>
      <c r="E306">
        <v>2172</v>
      </c>
      <c r="F306">
        <v>2180</v>
      </c>
      <c r="G306">
        <v>2183</v>
      </c>
      <c r="H306">
        <v>2205</v>
      </c>
      <c r="I306">
        <v>2192</v>
      </c>
      <c r="J306">
        <v>2191</v>
      </c>
      <c r="K306">
        <v>2183</v>
      </c>
      <c r="L306">
        <v>2183</v>
      </c>
      <c r="M306">
        <v>2191</v>
      </c>
      <c r="N306">
        <v>2189</v>
      </c>
      <c r="O306" s="173">
        <f t="shared" ref="O306:O313" si="53">SUM(C306:N306)/12</f>
        <v>2181.75</v>
      </c>
      <c r="P306" s="173">
        <f t="shared" ref="P306:P320" si="54">SUM(O306-O305)</f>
        <v>109.75</v>
      </c>
      <c r="Q306" s="177">
        <f>SUM(P306/O305)</f>
        <v>5.2968146718146716E-2</v>
      </c>
    </row>
    <row r="307" spans="2:17" x14ac:dyDescent="0.2">
      <c r="B307" t="s">
        <v>436</v>
      </c>
      <c r="C307">
        <v>2201</v>
      </c>
      <c r="D307">
        <v>2233</v>
      </c>
      <c r="E307">
        <v>2235</v>
      </c>
      <c r="F307">
        <v>2252</v>
      </c>
      <c r="G307">
        <v>2259</v>
      </c>
      <c r="H307">
        <v>2271</v>
      </c>
      <c r="I307">
        <v>2271</v>
      </c>
      <c r="J307">
        <v>2307</v>
      </c>
      <c r="K307">
        <v>2319</v>
      </c>
      <c r="L307">
        <v>2331</v>
      </c>
      <c r="M307">
        <v>2343</v>
      </c>
      <c r="N307">
        <v>2355</v>
      </c>
      <c r="O307" s="173">
        <f t="shared" si="53"/>
        <v>2281.4166666666665</v>
      </c>
      <c r="P307" s="173">
        <f t="shared" si="54"/>
        <v>99.666666666666515</v>
      </c>
      <c r="Q307" s="177">
        <f t="shared" ref="Q307:Q318" si="55">SUM(P307/O306)</f>
        <v>4.5681983117527906E-2</v>
      </c>
    </row>
    <row r="308" spans="2:17" x14ac:dyDescent="0.2">
      <c r="B308" t="s">
        <v>260</v>
      </c>
      <c r="C308">
        <v>2324</v>
      </c>
      <c r="D308">
        <v>2433</v>
      </c>
      <c r="E308">
        <v>2266</v>
      </c>
      <c r="F308">
        <v>2266</v>
      </c>
      <c r="G308">
        <v>2306</v>
      </c>
      <c r="H308">
        <v>2306</v>
      </c>
      <c r="I308">
        <v>2306</v>
      </c>
      <c r="J308">
        <v>2334</v>
      </c>
      <c r="K308">
        <v>2230</v>
      </c>
      <c r="L308">
        <v>2230</v>
      </c>
      <c r="M308">
        <v>2230</v>
      </c>
      <c r="N308">
        <v>2230</v>
      </c>
      <c r="O308" s="173">
        <f t="shared" si="53"/>
        <v>2288.4166666666665</v>
      </c>
      <c r="P308" s="173">
        <f t="shared" si="54"/>
        <v>7</v>
      </c>
      <c r="Q308" s="177">
        <f t="shared" si="55"/>
        <v>3.0682689849143444E-3</v>
      </c>
    </row>
    <row r="309" spans="2:17" x14ac:dyDescent="0.2">
      <c r="B309" t="s">
        <v>259</v>
      </c>
      <c r="C309">
        <v>2408</v>
      </c>
      <c r="D309">
        <v>2335</v>
      </c>
      <c r="E309">
        <v>2353</v>
      </c>
      <c r="F309">
        <v>2353</v>
      </c>
      <c r="G309">
        <v>2311</v>
      </c>
      <c r="H309">
        <v>2367</v>
      </c>
      <c r="I309">
        <v>2367</v>
      </c>
      <c r="J309">
        <v>2352</v>
      </c>
      <c r="K309">
        <v>2336</v>
      </c>
      <c r="L309">
        <v>2336</v>
      </c>
      <c r="M309">
        <v>2292</v>
      </c>
      <c r="N309">
        <v>2318</v>
      </c>
      <c r="O309" s="173">
        <f t="shared" si="53"/>
        <v>2344</v>
      </c>
      <c r="P309" s="173">
        <f t="shared" si="54"/>
        <v>55.583333333333485</v>
      </c>
      <c r="Q309" s="177">
        <f t="shared" si="55"/>
        <v>2.4288991660900983E-2</v>
      </c>
    </row>
    <row r="310" spans="2:17" x14ac:dyDescent="0.2">
      <c r="B310" t="s">
        <v>280</v>
      </c>
      <c r="C310">
        <v>2312</v>
      </c>
      <c r="D310">
        <v>2305</v>
      </c>
      <c r="E310">
        <v>2318</v>
      </c>
      <c r="F310">
        <v>2318</v>
      </c>
      <c r="G310">
        <v>2350</v>
      </c>
      <c r="H310">
        <v>2314</v>
      </c>
      <c r="I310">
        <v>2314</v>
      </c>
      <c r="J310">
        <v>2426</v>
      </c>
      <c r="K310">
        <v>2400</v>
      </c>
      <c r="L310">
        <v>2454</v>
      </c>
      <c r="M310">
        <v>2536</v>
      </c>
      <c r="N310">
        <v>2334</v>
      </c>
      <c r="O310" s="173">
        <f t="shared" si="53"/>
        <v>2365.0833333333335</v>
      </c>
      <c r="P310" s="173">
        <f t="shared" si="54"/>
        <v>21.083333333333485</v>
      </c>
      <c r="Q310" s="177">
        <f t="shared" si="55"/>
        <v>8.9945961319682095E-3</v>
      </c>
    </row>
    <row r="311" spans="2:17" x14ac:dyDescent="0.2">
      <c r="B311" t="s">
        <v>290</v>
      </c>
      <c r="C311">
        <v>2357</v>
      </c>
      <c r="D311">
        <v>2384</v>
      </c>
      <c r="E311">
        <v>2387</v>
      </c>
      <c r="F311">
        <v>2410</v>
      </c>
      <c r="G311">
        <v>2414</v>
      </c>
      <c r="H311">
        <v>2444</v>
      </c>
      <c r="I311">
        <v>2444</v>
      </c>
      <c r="J311">
        <v>2433</v>
      </c>
      <c r="K311">
        <v>2417</v>
      </c>
      <c r="L311">
        <v>2424</v>
      </c>
      <c r="M311">
        <v>2443</v>
      </c>
      <c r="N311">
        <v>2445</v>
      </c>
      <c r="O311" s="173">
        <f t="shared" si="53"/>
        <v>2416.8333333333335</v>
      </c>
      <c r="P311" s="173">
        <f t="shared" si="54"/>
        <v>51.75</v>
      </c>
      <c r="Q311" s="177">
        <f t="shared" si="55"/>
        <v>2.1880835770409779E-2</v>
      </c>
    </row>
    <row r="312" spans="2:17" x14ac:dyDescent="0.2">
      <c r="B312" t="s">
        <v>293</v>
      </c>
      <c r="C312">
        <v>2453</v>
      </c>
      <c r="D312">
        <v>2437</v>
      </c>
      <c r="E312">
        <v>2420</v>
      </c>
      <c r="F312">
        <v>2487</v>
      </c>
      <c r="G312">
        <v>2437</v>
      </c>
      <c r="H312">
        <v>2479</v>
      </c>
      <c r="I312">
        <v>2466</v>
      </c>
      <c r="J312">
        <v>2488</v>
      </c>
      <c r="K312">
        <v>2477</v>
      </c>
      <c r="L312">
        <v>2562</v>
      </c>
      <c r="M312">
        <v>2557</v>
      </c>
      <c r="N312">
        <v>2455</v>
      </c>
      <c r="O312" s="173">
        <f t="shared" si="53"/>
        <v>2476.5</v>
      </c>
      <c r="P312" s="173">
        <f t="shared" si="54"/>
        <v>59.666666666666515</v>
      </c>
      <c r="Q312" s="177">
        <f t="shared" si="55"/>
        <v>2.4687952554996142E-2</v>
      </c>
    </row>
    <row r="313" spans="2:17" x14ac:dyDescent="0.2">
      <c r="B313" t="s">
        <v>294</v>
      </c>
      <c r="C313">
        <v>2495</v>
      </c>
      <c r="D313">
        <v>2542</v>
      </c>
      <c r="E313">
        <v>2644</v>
      </c>
      <c r="F313">
        <v>2580</v>
      </c>
      <c r="G313">
        <v>2273</v>
      </c>
      <c r="H313">
        <v>2302</v>
      </c>
      <c r="I313">
        <v>2395</v>
      </c>
      <c r="J313">
        <v>2404</v>
      </c>
      <c r="K313">
        <v>2394</v>
      </c>
      <c r="L313">
        <v>2426</v>
      </c>
      <c r="M313">
        <v>2689</v>
      </c>
      <c r="N313">
        <v>2739</v>
      </c>
      <c r="O313" s="173">
        <f t="shared" si="53"/>
        <v>2490.25</v>
      </c>
      <c r="P313" s="173">
        <f t="shared" si="54"/>
        <v>13.75</v>
      </c>
      <c r="Q313" s="177">
        <f t="shared" si="55"/>
        <v>5.5521905915606705E-3</v>
      </c>
    </row>
    <row r="314" spans="2:17" x14ac:dyDescent="0.2">
      <c r="B314" t="s">
        <v>295</v>
      </c>
      <c r="C314">
        <v>2704</v>
      </c>
      <c r="D314">
        <v>2698</v>
      </c>
      <c r="E314">
        <v>2694</v>
      </c>
      <c r="F314">
        <v>2677</v>
      </c>
      <c r="G314">
        <v>2732</v>
      </c>
      <c r="H314">
        <v>2755</v>
      </c>
      <c r="I314">
        <v>2778</v>
      </c>
      <c r="J314">
        <v>2778</v>
      </c>
      <c r="K314">
        <v>2775</v>
      </c>
      <c r="L314">
        <v>2782</v>
      </c>
      <c r="M314">
        <v>2819</v>
      </c>
      <c r="N314">
        <v>2864</v>
      </c>
      <c r="O314" s="173">
        <f t="shared" ref="O314:O321" si="56">SUM(C314:N314)/12</f>
        <v>2754.6666666666665</v>
      </c>
      <c r="P314" s="173">
        <f t="shared" si="54"/>
        <v>264.41666666666652</v>
      </c>
      <c r="Q314" s="177">
        <f t="shared" si="55"/>
        <v>0.10618077167620379</v>
      </c>
    </row>
    <row r="315" spans="2:17" x14ac:dyDescent="0.2">
      <c r="B315" t="s">
        <v>335</v>
      </c>
      <c r="C315">
        <v>2871</v>
      </c>
      <c r="D315">
        <v>2904</v>
      </c>
      <c r="E315">
        <v>2884</v>
      </c>
      <c r="F315">
        <v>2895</v>
      </c>
      <c r="G315">
        <v>2826</v>
      </c>
      <c r="H315">
        <v>2865</v>
      </c>
      <c r="I315">
        <v>2853</v>
      </c>
      <c r="J315">
        <v>2903</v>
      </c>
      <c r="K315">
        <v>2885</v>
      </c>
      <c r="L315">
        <v>2910</v>
      </c>
      <c r="M315">
        <v>2930</v>
      </c>
      <c r="N315">
        <v>2884</v>
      </c>
      <c r="O315" s="173">
        <f t="shared" si="56"/>
        <v>2884.1666666666665</v>
      </c>
      <c r="P315" s="173">
        <f t="shared" si="54"/>
        <v>129.5</v>
      </c>
      <c r="Q315" s="177">
        <f t="shared" si="55"/>
        <v>4.7011132623426911E-2</v>
      </c>
    </row>
    <row r="316" spans="2:17" x14ac:dyDescent="0.2">
      <c r="B316" t="s">
        <v>358</v>
      </c>
      <c r="C316">
        <v>2896</v>
      </c>
      <c r="D316">
        <v>2980</v>
      </c>
      <c r="E316">
        <v>2969</v>
      </c>
      <c r="F316">
        <v>2961</v>
      </c>
      <c r="G316">
        <v>3022</v>
      </c>
      <c r="H316">
        <v>3037</v>
      </c>
      <c r="I316">
        <v>3049</v>
      </c>
      <c r="J316">
        <v>3076</v>
      </c>
      <c r="K316">
        <v>3088</v>
      </c>
      <c r="L316">
        <v>3074</v>
      </c>
      <c r="M316">
        <v>3058</v>
      </c>
      <c r="N316">
        <v>2954</v>
      </c>
      <c r="O316" s="173">
        <f t="shared" si="56"/>
        <v>3013.6666666666665</v>
      </c>
      <c r="P316" s="173">
        <f t="shared" si="54"/>
        <v>129.5</v>
      </c>
      <c r="Q316" s="177">
        <f t="shared" si="55"/>
        <v>4.4900317827217567E-2</v>
      </c>
    </row>
    <row r="317" spans="2:17" x14ac:dyDescent="0.2">
      <c r="B317" t="s">
        <v>437</v>
      </c>
      <c r="C317">
        <v>3027</v>
      </c>
      <c r="D317">
        <v>3039</v>
      </c>
      <c r="E317">
        <v>3034</v>
      </c>
      <c r="F317">
        <v>3040</v>
      </c>
      <c r="G317">
        <v>3022</v>
      </c>
      <c r="H317">
        <v>3057</v>
      </c>
      <c r="I317">
        <v>3074</v>
      </c>
      <c r="J317">
        <v>3088</v>
      </c>
      <c r="K317">
        <v>3056</v>
      </c>
      <c r="L317">
        <v>3094</v>
      </c>
      <c r="M317">
        <v>3138</v>
      </c>
      <c r="N317">
        <v>3130</v>
      </c>
      <c r="O317" s="173">
        <f t="shared" si="56"/>
        <v>3066.5833333333335</v>
      </c>
      <c r="P317" s="173">
        <f t="shared" si="54"/>
        <v>52.91666666666697</v>
      </c>
      <c r="Q317" s="177">
        <f t="shared" si="55"/>
        <v>1.7558898351952318E-2</v>
      </c>
    </row>
    <row r="318" spans="2:17" x14ac:dyDescent="0.2">
      <c r="B318" t="s">
        <v>471</v>
      </c>
      <c r="C318">
        <v>3123</v>
      </c>
      <c r="D318">
        <v>3065</v>
      </c>
      <c r="E318">
        <v>3115</v>
      </c>
      <c r="F318">
        <v>3134</v>
      </c>
      <c r="G318">
        <v>3160</v>
      </c>
      <c r="H318">
        <v>3165</v>
      </c>
      <c r="I318">
        <v>3166</v>
      </c>
      <c r="J318">
        <v>3187</v>
      </c>
      <c r="K318">
        <v>3069</v>
      </c>
      <c r="L318">
        <v>3020</v>
      </c>
      <c r="M318">
        <v>3040</v>
      </c>
      <c r="N318">
        <v>3070</v>
      </c>
      <c r="O318" s="173">
        <f t="shared" si="56"/>
        <v>3109.5</v>
      </c>
      <c r="P318" s="173">
        <f t="shared" si="54"/>
        <v>42.916666666666515</v>
      </c>
      <c r="Q318" s="177">
        <f t="shared" si="55"/>
        <v>1.3994945514823722E-2</v>
      </c>
    </row>
    <row r="319" spans="2:17" x14ac:dyDescent="0.2">
      <c r="B319" t="s">
        <v>537</v>
      </c>
      <c r="C319">
        <v>3068</v>
      </c>
      <c r="D319">
        <v>3065</v>
      </c>
      <c r="E319">
        <v>3103</v>
      </c>
      <c r="F319">
        <v>3034</v>
      </c>
      <c r="G319">
        <v>3036</v>
      </c>
      <c r="H319">
        <v>3045</v>
      </c>
      <c r="I319">
        <v>3049</v>
      </c>
      <c r="J319">
        <v>3041</v>
      </c>
      <c r="K319">
        <v>2986</v>
      </c>
      <c r="L319">
        <v>2936</v>
      </c>
      <c r="M319">
        <v>2897</v>
      </c>
      <c r="N319">
        <v>2906</v>
      </c>
      <c r="O319" s="173">
        <f t="shared" si="56"/>
        <v>3013.8333333333335</v>
      </c>
      <c r="P319" s="173">
        <f t="shared" si="54"/>
        <v>-95.666666666666515</v>
      </c>
      <c r="Q319" s="177">
        <f>SUM(P319/O318)</f>
        <v>-3.0765932357828114E-2</v>
      </c>
    </row>
    <row r="320" spans="2:17" x14ac:dyDescent="0.2">
      <c r="B320" t="s">
        <v>628</v>
      </c>
      <c r="C320">
        <v>2911</v>
      </c>
      <c r="D320">
        <v>2880</v>
      </c>
      <c r="E320">
        <v>2853</v>
      </c>
      <c r="F320">
        <v>2835</v>
      </c>
      <c r="G320">
        <v>2828</v>
      </c>
      <c r="H320">
        <v>2758</v>
      </c>
      <c r="I320">
        <v>2810</v>
      </c>
      <c r="J320">
        <v>2815</v>
      </c>
      <c r="K320">
        <v>2770</v>
      </c>
      <c r="L320">
        <v>2722</v>
      </c>
      <c r="M320">
        <v>2761</v>
      </c>
      <c r="N320">
        <v>2747</v>
      </c>
      <c r="O320" s="173">
        <f t="shared" si="56"/>
        <v>2807.5</v>
      </c>
      <c r="P320" s="173">
        <f t="shared" si="54"/>
        <v>-206.33333333333348</v>
      </c>
      <c r="Q320" s="177">
        <f>SUM(P320/O319)</f>
        <v>-6.846209146712387E-2</v>
      </c>
    </row>
    <row r="321" spans="1:17" x14ac:dyDescent="0.2">
      <c r="B321" t="s">
        <v>629</v>
      </c>
      <c r="C321">
        <v>2607</v>
      </c>
      <c r="D321">
        <v>2654</v>
      </c>
      <c r="E321">
        <v>2602</v>
      </c>
      <c r="F321">
        <v>2660</v>
      </c>
      <c r="G321">
        <v>2612</v>
      </c>
      <c r="H321">
        <v>2542</v>
      </c>
      <c r="I321">
        <v>2515</v>
      </c>
      <c r="J321">
        <v>2539</v>
      </c>
      <c r="K321">
        <v>2614</v>
      </c>
      <c r="L321">
        <v>2633</v>
      </c>
      <c r="M321">
        <v>2586</v>
      </c>
      <c r="N321">
        <v>2590</v>
      </c>
      <c r="O321" s="173">
        <f t="shared" si="56"/>
        <v>2596.1666666666665</v>
      </c>
      <c r="P321" s="173">
        <f>SUM(O321-O320)</f>
        <v>-211.33333333333348</v>
      </c>
      <c r="Q321" s="177">
        <f>SUM(P321/O320)</f>
        <v>-7.5274562184624569E-2</v>
      </c>
    </row>
    <row r="322" spans="1:17" x14ac:dyDescent="0.2">
      <c r="O322" s="173"/>
      <c r="P322" s="173"/>
      <c r="Q322" s="177"/>
    </row>
    <row r="323" spans="1:17" ht="25.5" x14ac:dyDescent="0.2">
      <c r="A323" s="175" t="s">
        <v>438</v>
      </c>
      <c r="B323" s="176" t="s">
        <v>418</v>
      </c>
      <c r="C323" s="179" t="s">
        <v>419</v>
      </c>
      <c r="D323" s="179" t="s">
        <v>420</v>
      </c>
      <c r="E323" s="179" t="s">
        <v>421</v>
      </c>
      <c r="F323" s="179" t="s">
        <v>422</v>
      </c>
      <c r="G323" s="179" t="s">
        <v>423</v>
      </c>
      <c r="H323" s="179" t="s">
        <v>424</v>
      </c>
      <c r="I323" s="179" t="s">
        <v>425</v>
      </c>
      <c r="J323" s="179" t="s">
        <v>426</v>
      </c>
      <c r="K323" s="179" t="s">
        <v>427</v>
      </c>
      <c r="L323" s="179" t="s">
        <v>428</v>
      </c>
      <c r="M323" s="179" t="s">
        <v>429</v>
      </c>
      <c r="N323" s="179" t="s">
        <v>430</v>
      </c>
    </row>
    <row r="324" spans="1:17" x14ac:dyDescent="0.2">
      <c r="B324" t="s">
        <v>434</v>
      </c>
      <c r="C324">
        <v>83</v>
      </c>
      <c r="D324">
        <v>80</v>
      </c>
      <c r="E324">
        <v>74</v>
      </c>
      <c r="F324">
        <v>78</v>
      </c>
      <c r="G324">
        <v>79</v>
      </c>
      <c r="H324">
        <v>81</v>
      </c>
      <c r="I324">
        <v>82</v>
      </c>
      <c r="J324">
        <v>83</v>
      </c>
      <c r="K324">
        <v>82</v>
      </c>
      <c r="L324">
        <v>83</v>
      </c>
      <c r="M324">
        <v>85</v>
      </c>
      <c r="N324">
        <v>87</v>
      </c>
      <c r="O324" s="173">
        <f t="shared" ref="O324:O332" si="57">SUM(C324:N324)/12</f>
        <v>81.416666666666671</v>
      </c>
      <c r="P324" s="173"/>
    </row>
    <row r="325" spans="1:17" x14ac:dyDescent="0.2">
      <c r="B325" t="s">
        <v>435</v>
      </c>
      <c r="C325">
        <v>92</v>
      </c>
      <c r="D325">
        <v>93</v>
      </c>
      <c r="E325">
        <v>94</v>
      </c>
      <c r="F325">
        <v>97</v>
      </c>
      <c r="G325">
        <v>98</v>
      </c>
      <c r="H325">
        <v>95</v>
      </c>
      <c r="I325">
        <v>89</v>
      </c>
      <c r="J325">
        <v>93</v>
      </c>
      <c r="K325">
        <v>90</v>
      </c>
      <c r="L325">
        <v>97</v>
      </c>
      <c r="M325">
        <v>99</v>
      </c>
      <c r="N325">
        <v>92</v>
      </c>
      <c r="O325" s="173">
        <f t="shared" si="57"/>
        <v>94.083333333333329</v>
      </c>
      <c r="P325" s="173">
        <f t="shared" ref="P325:P338" si="58">SUM(O325-O324)</f>
        <v>12.666666666666657</v>
      </c>
      <c r="Q325" s="177">
        <f t="shared" ref="Q325:Q338" si="59">SUM(P325/O324)</f>
        <v>0.15557830092118718</v>
      </c>
    </row>
    <row r="326" spans="1:17" x14ac:dyDescent="0.2">
      <c r="B326" t="s">
        <v>436</v>
      </c>
      <c r="C326">
        <v>90</v>
      </c>
      <c r="D326">
        <v>91</v>
      </c>
      <c r="E326">
        <v>92</v>
      </c>
      <c r="F326">
        <v>100</v>
      </c>
      <c r="G326">
        <v>99</v>
      </c>
      <c r="H326">
        <v>111</v>
      </c>
      <c r="I326">
        <v>102</v>
      </c>
      <c r="J326">
        <v>94</v>
      </c>
      <c r="K326">
        <v>96</v>
      </c>
      <c r="L326">
        <v>98</v>
      </c>
      <c r="M326">
        <v>93</v>
      </c>
      <c r="N326">
        <v>89</v>
      </c>
      <c r="O326" s="173">
        <f t="shared" si="57"/>
        <v>96.25</v>
      </c>
      <c r="P326" s="173">
        <f t="shared" si="58"/>
        <v>2.1666666666666714</v>
      </c>
      <c r="Q326" s="177">
        <f t="shared" si="59"/>
        <v>2.3029229406554524E-2</v>
      </c>
    </row>
    <row r="327" spans="1:17" x14ac:dyDescent="0.2">
      <c r="B327" t="s">
        <v>260</v>
      </c>
      <c r="C327">
        <v>72</v>
      </c>
      <c r="D327">
        <v>74</v>
      </c>
      <c r="E327">
        <v>73</v>
      </c>
      <c r="F327">
        <v>73</v>
      </c>
      <c r="G327">
        <v>73</v>
      </c>
      <c r="H327">
        <v>73</v>
      </c>
      <c r="I327">
        <v>73</v>
      </c>
      <c r="J327">
        <v>65</v>
      </c>
      <c r="K327">
        <v>65</v>
      </c>
      <c r="L327">
        <v>65</v>
      </c>
      <c r="M327">
        <v>65</v>
      </c>
      <c r="N327">
        <v>60</v>
      </c>
      <c r="O327" s="173">
        <f t="shared" si="57"/>
        <v>69.25</v>
      </c>
      <c r="P327" s="173">
        <f t="shared" si="58"/>
        <v>-27</v>
      </c>
      <c r="Q327" s="177">
        <f t="shared" si="59"/>
        <v>-0.2805194805194805</v>
      </c>
    </row>
    <row r="328" spans="1:17" x14ac:dyDescent="0.2">
      <c r="B328" t="s">
        <v>259</v>
      </c>
      <c r="C328">
        <v>59</v>
      </c>
      <c r="D328">
        <v>58</v>
      </c>
      <c r="E328">
        <v>59</v>
      </c>
      <c r="F328">
        <v>60</v>
      </c>
      <c r="G328">
        <v>56</v>
      </c>
      <c r="H328">
        <v>54</v>
      </c>
      <c r="I328">
        <v>54</v>
      </c>
      <c r="J328">
        <v>51</v>
      </c>
      <c r="K328">
        <v>53</v>
      </c>
      <c r="L328">
        <v>59</v>
      </c>
      <c r="M328">
        <v>64</v>
      </c>
      <c r="N328">
        <v>62</v>
      </c>
      <c r="O328" s="173">
        <f t="shared" si="57"/>
        <v>57.416666666666664</v>
      </c>
      <c r="P328" s="173">
        <f t="shared" si="58"/>
        <v>-11.833333333333336</v>
      </c>
      <c r="Q328" s="177">
        <f t="shared" si="59"/>
        <v>-0.17087845968712398</v>
      </c>
    </row>
    <row r="329" spans="1:17" x14ac:dyDescent="0.2">
      <c r="B329" t="s">
        <v>280</v>
      </c>
      <c r="C329">
        <v>66</v>
      </c>
      <c r="D329">
        <v>68</v>
      </c>
      <c r="E329">
        <v>66</v>
      </c>
      <c r="F329">
        <v>65</v>
      </c>
      <c r="G329">
        <v>63</v>
      </c>
      <c r="H329">
        <v>68</v>
      </c>
      <c r="I329">
        <v>63</v>
      </c>
      <c r="J329">
        <v>57</v>
      </c>
      <c r="K329">
        <v>45</v>
      </c>
      <c r="L329">
        <v>45</v>
      </c>
      <c r="M329">
        <v>47</v>
      </c>
      <c r="N329">
        <v>49</v>
      </c>
      <c r="O329" s="173">
        <f t="shared" si="57"/>
        <v>58.5</v>
      </c>
      <c r="P329" s="173">
        <f t="shared" si="58"/>
        <v>1.0833333333333357</v>
      </c>
      <c r="Q329" s="177">
        <f t="shared" si="59"/>
        <v>1.8867924528301928E-2</v>
      </c>
    </row>
    <row r="330" spans="1:17" x14ac:dyDescent="0.2">
      <c r="B330" t="s">
        <v>290</v>
      </c>
      <c r="C330">
        <v>47</v>
      </c>
      <c r="D330">
        <v>45</v>
      </c>
      <c r="E330">
        <v>45</v>
      </c>
      <c r="F330">
        <v>47</v>
      </c>
      <c r="G330">
        <v>47</v>
      </c>
      <c r="H330">
        <v>42</v>
      </c>
      <c r="I330">
        <v>40</v>
      </c>
      <c r="J330">
        <v>42</v>
      </c>
      <c r="K330">
        <v>47</v>
      </c>
      <c r="L330">
        <v>46</v>
      </c>
      <c r="M330">
        <v>41</v>
      </c>
      <c r="N330">
        <v>39</v>
      </c>
      <c r="O330" s="173">
        <f t="shared" si="57"/>
        <v>44</v>
      </c>
      <c r="P330" s="173">
        <f t="shared" si="58"/>
        <v>-14.5</v>
      </c>
      <c r="Q330" s="177">
        <f t="shared" si="59"/>
        <v>-0.24786324786324787</v>
      </c>
    </row>
    <row r="331" spans="1:17" x14ac:dyDescent="0.2">
      <c r="B331" t="s">
        <v>293</v>
      </c>
      <c r="C331">
        <v>40</v>
      </c>
      <c r="D331">
        <v>40</v>
      </c>
      <c r="E331">
        <v>40</v>
      </c>
      <c r="F331">
        <v>43</v>
      </c>
      <c r="G331">
        <v>37</v>
      </c>
      <c r="H331">
        <v>38</v>
      </c>
      <c r="I331">
        <v>37</v>
      </c>
      <c r="J331">
        <v>39</v>
      </c>
      <c r="K331">
        <v>41</v>
      </c>
      <c r="L331">
        <v>51</v>
      </c>
      <c r="M331">
        <v>50</v>
      </c>
      <c r="N331">
        <v>37</v>
      </c>
      <c r="O331" s="173">
        <f t="shared" si="57"/>
        <v>41.083333333333336</v>
      </c>
      <c r="P331" s="173">
        <f t="shared" si="58"/>
        <v>-2.9166666666666643</v>
      </c>
      <c r="Q331" s="177">
        <f t="shared" si="59"/>
        <v>-6.6287878787878729E-2</v>
      </c>
    </row>
    <row r="332" spans="1:17" x14ac:dyDescent="0.2">
      <c r="B332" t="s">
        <v>294</v>
      </c>
      <c r="C332">
        <v>39</v>
      </c>
      <c r="D332">
        <v>39</v>
      </c>
      <c r="E332">
        <v>44</v>
      </c>
      <c r="F332">
        <v>39</v>
      </c>
      <c r="G332">
        <v>42</v>
      </c>
      <c r="H332">
        <v>41</v>
      </c>
      <c r="I332">
        <v>40</v>
      </c>
      <c r="J332">
        <v>37</v>
      </c>
      <c r="K332">
        <v>36</v>
      </c>
      <c r="L332">
        <v>36</v>
      </c>
      <c r="M332">
        <v>40</v>
      </c>
      <c r="N332">
        <v>41</v>
      </c>
      <c r="O332" s="173">
        <f t="shared" si="57"/>
        <v>39.5</v>
      </c>
      <c r="P332" s="173">
        <f t="shared" si="58"/>
        <v>-1.5833333333333357</v>
      </c>
      <c r="Q332" s="177">
        <f t="shared" si="59"/>
        <v>-3.8539553752535552E-2</v>
      </c>
    </row>
    <row r="333" spans="1:17" x14ac:dyDescent="0.2">
      <c r="B333" t="s">
        <v>295</v>
      </c>
      <c r="C333">
        <v>32</v>
      </c>
      <c r="D333">
        <v>34</v>
      </c>
      <c r="E333">
        <v>31</v>
      </c>
      <c r="F333">
        <v>32</v>
      </c>
      <c r="G333">
        <v>33</v>
      </c>
      <c r="H333">
        <v>31</v>
      </c>
      <c r="I333">
        <v>31</v>
      </c>
      <c r="J333">
        <v>31</v>
      </c>
      <c r="K333">
        <v>34</v>
      </c>
      <c r="L333">
        <v>36</v>
      </c>
      <c r="M333">
        <v>40</v>
      </c>
      <c r="N333">
        <v>39</v>
      </c>
      <c r="O333" s="173">
        <f>SUM(C333:N333)/12</f>
        <v>33.666666666666664</v>
      </c>
      <c r="P333" s="173">
        <f t="shared" si="58"/>
        <v>-5.8333333333333357</v>
      </c>
      <c r="Q333" s="177">
        <f t="shared" si="59"/>
        <v>-0.14767932489451482</v>
      </c>
    </row>
    <row r="334" spans="1:17" x14ac:dyDescent="0.2">
      <c r="B334" t="s">
        <v>335</v>
      </c>
      <c r="C334">
        <v>43</v>
      </c>
      <c r="D334">
        <v>43</v>
      </c>
      <c r="E334">
        <v>41</v>
      </c>
      <c r="F334">
        <v>0</v>
      </c>
      <c r="G334">
        <v>0</v>
      </c>
      <c r="H334">
        <v>0</v>
      </c>
      <c r="I334">
        <v>35</v>
      </c>
      <c r="J334">
        <v>35</v>
      </c>
      <c r="K334">
        <v>38</v>
      </c>
      <c r="L334">
        <v>36</v>
      </c>
      <c r="M334">
        <v>35</v>
      </c>
      <c r="N334">
        <v>32</v>
      </c>
      <c r="O334" s="173">
        <f>SUM(C334:N334)/9</f>
        <v>37.555555555555557</v>
      </c>
      <c r="P334" s="173">
        <f t="shared" si="58"/>
        <v>3.8888888888888928</v>
      </c>
      <c r="Q334" s="177">
        <f t="shared" si="59"/>
        <v>0.11551155115511563</v>
      </c>
    </row>
    <row r="335" spans="1:17" x14ac:dyDescent="0.2">
      <c r="B335" t="s">
        <v>358</v>
      </c>
      <c r="C335">
        <v>32</v>
      </c>
      <c r="D335">
        <v>33</v>
      </c>
      <c r="E335">
        <v>46</v>
      </c>
      <c r="F335">
        <v>60</v>
      </c>
      <c r="G335">
        <v>63</v>
      </c>
      <c r="H335">
        <v>62</v>
      </c>
      <c r="I335">
        <v>63</v>
      </c>
      <c r="J335">
        <v>64</v>
      </c>
      <c r="K335">
        <v>61</v>
      </c>
      <c r="L335">
        <v>60</v>
      </c>
      <c r="M335">
        <v>67</v>
      </c>
      <c r="N335">
        <v>70</v>
      </c>
      <c r="O335" s="173">
        <f t="shared" ref="O335:O340" si="60">SUM(C335:N335)/12</f>
        <v>56.75</v>
      </c>
      <c r="P335" s="173">
        <f t="shared" si="58"/>
        <v>19.194444444444443</v>
      </c>
      <c r="Q335" s="177">
        <f t="shared" si="59"/>
        <v>0.51109467455621294</v>
      </c>
    </row>
    <row r="336" spans="1:17" x14ac:dyDescent="0.2">
      <c r="B336" t="s">
        <v>437</v>
      </c>
      <c r="C336">
        <v>68</v>
      </c>
      <c r="D336">
        <v>65</v>
      </c>
      <c r="E336">
        <v>62</v>
      </c>
      <c r="F336">
        <v>61</v>
      </c>
      <c r="G336">
        <v>65</v>
      </c>
      <c r="H336">
        <v>66</v>
      </c>
      <c r="I336">
        <v>68</v>
      </c>
      <c r="J336">
        <v>66</v>
      </c>
      <c r="K336">
        <v>70</v>
      </c>
      <c r="L336">
        <v>68</v>
      </c>
      <c r="M336">
        <v>65</v>
      </c>
      <c r="N336">
        <v>68</v>
      </c>
      <c r="O336" s="173">
        <f t="shared" si="60"/>
        <v>66</v>
      </c>
      <c r="P336" s="173">
        <f t="shared" si="58"/>
        <v>9.25</v>
      </c>
      <c r="Q336" s="177">
        <f t="shared" si="59"/>
        <v>0.16299559471365638</v>
      </c>
    </row>
    <row r="337" spans="1:17" x14ac:dyDescent="0.2">
      <c r="B337" t="s">
        <v>471</v>
      </c>
      <c r="C337">
        <v>70</v>
      </c>
      <c r="D337">
        <v>71</v>
      </c>
      <c r="E337">
        <v>74</v>
      </c>
      <c r="F337">
        <v>74</v>
      </c>
      <c r="G337">
        <v>74</v>
      </c>
      <c r="H337">
        <v>79</v>
      </c>
      <c r="I337">
        <v>77</v>
      </c>
      <c r="J337">
        <v>80</v>
      </c>
      <c r="K337">
        <v>70</v>
      </c>
      <c r="L337">
        <v>66</v>
      </c>
      <c r="M337">
        <v>65</v>
      </c>
      <c r="N337">
        <v>57</v>
      </c>
      <c r="O337" s="173">
        <f t="shared" si="60"/>
        <v>71.416666666666671</v>
      </c>
      <c r="P337" s="173">
        <f t="shared" si="58"/>
        <v>5.4166666666666714</v>
      </c>
      <c r="Q337" s="177">
        <f t="shared" si="59"/>
        <v>8.2070707070707141E-2</v>
      </c>
    </row>
    <row r="338" spans="1:17" x14ac:dyDescent="0.2">
      <c r="B338" t="s">
        <v>537</v>
      </c>
      <c r="C338">
        <v>55</v>
      </c>
      <c r="D338">
        <v>70</v>
      </c>
      <c r="E338">
        <v>75</v>
      </c>
      <c r="F338">
        <v>77</v>
      </c>
      <c r="G338">
        <v>78</v>
      </c>
      <c r="H338">
        <v>51</v>
      </c>
      <c r="I338">
        <v>46</v>
      </c>
      <c r="J338">
        <v>50</v>
      </c>
      <c r="K338">
        <v>52</v>
      </c>
      <c r="L338">
        <v>52</v>
      </c>
      <c r="M338">
        <v>53</v>
      </c>
      <c r="N338">
        <v>59</v>
      </c>
      <c r="O338" s="173">
        <f t="shared" si="60"/>
        <v>59.833333333333336</v>
      </c>
      <c r="P338" s="173">
        <f t="shared" si="58"/>
        <v>-11.583333333333336</v>
      </c>
      <c r="Q338" s="177">
        <f t="shared" si="59"/>
        <v>-0.16219369894982499</v>
      </c>
    </row>
    <row r="339" spans="1:17" x14ac:dyDescent="0.2">
      <c r="B339" t="s">
        <v>628</v>
      </c>
      <c r="C339">
        <v>56</v>
      </c>
      <c r="D339">
        <v>56</v>
      </c>
      <c r="E339">
        <v>56</v>
      </c>
      <c r="F339">
        <v>60</v>
      </c>
      <c r="G339">
        <v>51</v>
      </c>
      <c r="H339">
        <v>50</v>
      </c>
      <c r="I339">
        <v>54</v>
      </c>
      <c r="J339">
        <v>54</v>
      </c>
      <c r="K339">
        <v>7</v>
      </c>
      <c r="L339">
        <v>7</v>
      </c>
      <c r="M339">
        <v>8</v>
      </c>
      <c r="N339">
        <v>8</v>
      </c>
      <c r="O339" s="173">
        <f t="shared" si="60"/>
        <v>38.916666666666664</v>
      </c>
      <c r="P339" s="173">
        <f>SUM(O339-O338)</f>
        <v>-20.916666666666671</v>
      </c>
      <c r="Q339" s="177">
        <f>SUM(P339/O338)</f>
        <v>-0.34958217270194991</v>
      </c>
    </row>
    <row r="340" spans="1:17" x14ac:dyDescent="0.2">
      <c r="B340" t="s">
        <v>629</v>
      </c>
      <c r="C340">
        <v>8</v>
      </c>
      <c r="D340">
        <v>7</v>
      </c>
      <c r="E340">
        <v>7</v>
      </c>
      <c r="F340">
        <v>6</v>
      </c>
      <c r="G340">
        <v>4</v>
      </c>
      <c r="H340">
        <v>4</v>
      </c>
      <c r="I340">
        <v>5</v>
      </c>
      <c r="J340">
        <v>5</v>
      </c>
      <c r="K340">
        <v>5</v>
      </c>
      <c r="L340">
        <v>5</v>
      </c>
      <c r="M340">
        <v>32</v>
      </c>
      <c r="N340">
        <v>29</v>
      </c>
      <c r="O340" s="173">
        <f t="shared" si="60"/>
        <v>9.75</v>
      </c>
      <c r="P340" s="173">
        <f>SUM(O340-O339)</f>
        <v>-29.166666666666664</v>
      </c>
      <c r="Q340" s="177">
        <f>SUM(P340/O339)</f>
        <v>-0.74946466809421841</v>
      </c>
    </row>
    <row r="341" spans="1:17" x14ac:dyDescent="0.2">
      <c r="O341" s="173"/>
      <c r="P341" s="173"/>
      <c r="Q341" s="177"/>
    </row>
    <row r="342" spans="1:17" ht="25.5" x14ac:dyDescent="0.2">
      <c r="A342" s="175" t="s">
        <v>439</v>
      </c>
      <c r="B342" s="176" t="s">
        <v>418</v>
      </c>
      <c r="C342" s="179" t="s">
        <v>419</v>
      </c>
      <c r="D342" s="179" t="s">
        <v>420</v>
      </c>
      <c r="E342" s="179" t="s">
        <v>421</v>
      </c>
      <c r="F342" s="179" t="s">
        <v>422</v>
      </c>
      <c r="G342" s="179" t="s">
        <v>423</v>
      </c>
      <c r="H342" s="179" t="s">
        <v>424</v>
      </c>
      <c r="I342" s="179" t="s">
        <v>425</v>
      </c>
      <c r="J342" s="179" t="s">
        <v>426</v>
      </c>
      <c r="K342" s="179" t="s">
        <v>427</v>
      </c>
      <c r="L342" s="179" t="s">
        <v>428</v>
      </c>
      <c r="M342" s="179" t="s">
        <v>429</v>
      </c>
      <c r="N342" s="179" t="s">
        <v>430</v>
      </c>
    </row>
    <row r="343" spans="1:17" x14ac:dyDescent="0.2">
      <c r="B343" t="s">
        <v>434</v>
      </c>
      <c r="C343">
        <v>305</v>
      </c>
      <c r="D343">
        <v>299</v>
      </c>
      <c r="E343">
        <v>289</v>
      </c>
      <c r="F343">
        <v>276</v>
      </c>
      <c r="G343">
        <v>277</v>
      </c>
      <c r="H343">
        <v>295</v>
      </c>
      <c r="I343">
        <v>283</v>
      </c>
      <c r="J343">
        <v>273</v>
      </c>
      <c r="K343">
        <v>259</v>
      </c>
      <c r="L343">
        <v>249</v>
      </c>
      <c r="M343">
        <v>241</v>
      </c>
      <c r="N343">
        <v>237</v>
      </c>
      <c r="O343" s="173">
        <f t="shared" ref="O343:O359" si="61">SUM(C343:N343)/12</f>
        <v>273.58333333333331</v>
      </c>
      <c r="P343" s="173"/>
    </row>
    <row r="344" spans="1:17" x14ac:dyDescent="0.2">
      <c r="B344" t="s">
        <v>435</v>
      </c>
      <c r="C344">
        <v>237</v>
      </c>
      <c r="D344">
        <v>230</v>
      </c>
      <c r="E344">
        <v>230</v>
      </c>
      <c r="F344">
        <v>230</v>
      </c>
      <c r="G344">
        <v>231</v>
      </c>
      <c r="H344">
        <v>215</v>
      </c>
      <c r="I344">
        <v>218</v>
      </c>
      <c r="J344">
        <v>212</v>
      </c>
      <c r="K344">
        <v>214</v>
      </c>
      <c r="L344">
        <v>217</v>
      </c>
      <c r="M344">
        <v>220</v>
      </c>
      <c r="N344">
        <v>218</v>
      </c>
      <c r="O344" s="173">
        <f t="shared" si="61"/>
        <v>222.66666666666666</v>
      </c>
      <c r="P344" s="173">
        <f t="shared" ref="P344:P357" si="62">SUM(O344-O343)</f>
        <v>-50.916666666666657</v>
      </c>
      <c r="Q344" s="177">
        <f t="shared" ref="Q344:Q357" si="63">SUM(P344/O343)</f>
        <v>-0.18611026500152297</v>
      </c>
    </row>
    <row r="345" spans="1:17" x14ac:dyDescent="0.2">
      <c r="B345" t="s">
        <v>436</v>
      </c>
      <c r="C345">
        <v>231</v>
      </c>
      <c r="D345">
        <v>230</v>
      </c>
      <c r="E345">
        <v>234</v>
      </c>
      <c r="F345">
        <v>229</v>
      </c>
      <c r="G345">
        <v>230</v>
      </c>
      <c r="H345">
        <v>240</v>
      </c>
      <c r="I345">
        <v>245</v>
      </c>
      <c r="J345">
        <v>250</v>
      </c>
      <c r="K345">
        <v>255</v>
      </c>
      <c r="L345">
        <v>260</v>
      </c>
      <c r="M345">
        <v>265</v>
      </c>
      <c r="N345">
        <v>270</v>
      </c>
      <c r="O345" s="173">
        <f t="shared" si="61"/>
        <v>244.91666666666666</v>
      </c>
      <c r="P345" s="173">
        <f t="shared" si="62"/>
        <v>22.25</v>
      </c>
      <c r="Q345" s="177">
        <f t="shared" si="63"/>
        <v>9.9925149700598806E-2</v>
      </c>
    </row>
    <row r="346" spans="1:17" x14ac:dyDescent="0.2">
      <c r="B346" t="s">
        <v>260</v>
      </c>
      <c r="C346">
        <v>280</v>
      </c>
      <c r="D346">
        <v>237</v>
      </c>
      <c r="E346">
        <v>253</v>
      </c>
      <c r="F346">
        <v>253</v>
      </c>
      <c r="G346">
        <v>253</v>
      </c>
      <c r="H346">
        <v>253</v>
      </c>
      <c r="I346">
        <v>253</v>
      </c>
      <c r="J346">
        <v>253</v>
      </c>
      <c r="K346">
        <v>253</v>
      </c>
      <c r="L346">
        <v>260</v>
      </c>
      <c r="M346">
        <v>265</v>
      </c>
      <c r="N346">
        <v>270</v>
      </c>
      <c r="O346" s="173">
        <f t="shared" si="61"/>
        <v>256.91666666666669</v>
      </c>
      <c r="P346" s="173">
        <f t="shared" si="62"/>
        <v>12.000000000000028</v>
      </c>
      <c r="Q346" s="177">
        <f t="shared" si="63"/>
        <v>4.899625723035058E-2</v>
      </c>
    </row>
    <row r="347" spans="1:17" x14ac:dyDescent="0.2">
      <c r="B347" t="s">
        <v>259</v>
      </c>
      <c r="C347">
        <v>288</v>
      </c>
      <c r="D347">
        <v>261</v>
      </c>
      <c r="E347">
        <v>258</v>
      </c>
      <c r="F347">
        <v>267</v>
      </c>
      <c r="G347">
        <v>259</v>
      </c>
      <c r="H347">
        <v>267</v>
      </c>
      <c r="I347">
        <v>272</v>
      </c>
      <c r="J347">
        <v>273</v>
      </c>
      <c r="K347">
        <v>300</v>
      </c>
      <c r="L347">
        <v>296</v>
      </c>
      <c r="M347">
        <v>319</v>
      </c>
      <c r="N347">
        <v>317</v>
      </c>
      <c r="O347" s="173">
        <f t="shared" si="61"/>
        <v>281.41666666666669</v>
      </c>
      <c r="P347" s="173">
        <f t="shared" si="62"/>
        <v>24.5</v>
      </c>
      <c r="Q347" s="177">
        <f t="shared" si="63"/>
        <v>9.5361660720077845E-2</v>
      </c>
    </row>
    <row r="348" spans="1:17" x14ac:dyDescent="0.2">
      <c r="B348" t="s">
        <v>280</v>
      </c>
      <c r="C348">
        <v>297</v>
      </c>
      <c r="D348">
        <v>306</v>
      </c>
      <c r="E348">
        <v>312</v>
      </c>
      <c r="F348">
        <v>311</v>
      </c>
      <c r="G348">
        <v>312</v>
      </c>
      <c r="H348">
        <v>252</v>
      </c>
      <c r="I348">
        <v>312</v>
      </c>
      <c r="J348">
        <v>314</v>
      </c>
      <c r="K348">
        <v>316</v>
      </c>
      <c r="L348">
        <v>235</v>
      </c>
      <c r="M348">
        <v>248</v>
      </c>
      <c r="N348">
        <v>323</v>
      </c>
      <c r="O348" s="173">
        <f t="shared" si="61"/>
        <v>294.83333333333331</v>
      </c>
      <c r="P348" s="173">
        <f t="shared" si="62"/>
        <v>13.416666666666629</v>
      </c>
      <c r="Q348" s="177">
        <f t="shared" si="63"/>
        <v>4.7675451584246235E-2</v>
      </c>
    </row>
    <row r="349" spans="1:17" x14ac:dyDescent="0.2">
      <c r="B349" t="s">
        <v>290</v>
      </c>
      <c r="C349">
        <v>322</v>
      </c>
      <c r="D349">
        <v>318</v>
      </c>
      <c r="E349">
        <v>302</v>
      </c>
      <c r="F349">
        <v>299</v>
      </c>
      <c r="G349">
        <v>301</v>
      </c>
      <c r="H349">
        <v>296</v>
      </c>
      <c r="I349">
        <v>286</v>
      </c>
      <c r="J349">
        <v>290</v>
      </c>
      <c r="K349">
        <v>283</v>
      </c>
      <c r="L349">
        <v>284</v>
      </c>
      <c r="M349">
        <v>289</v>
      </c>
      <c r="N349">
        <v>279</v>
      </c>
      <c r="O349" s="173">
        <f t="shared" si="61"/>
        <v>295.75</v>
      </c>
      <c r="P349" s="173">
        <f t="shared" si="62"/>
        <v>0.91666666666668561</v>
      </c>
      <c r="Q349" s="177">
        <f t="shared" si="63"/>
        <v>3.109101187111427E-3</v>
      </c>
    </row>
    <row r="350" spans="1:17" x14ac:dyDescent="0.2">
      <c r="B350" t="s">
        <v>293</v>
      </c>
      <c r="C350">
        <v>278</v>
      </c>
      <c r="D350">
        <v>270</v>
      </c>
      <c r="E350">
        <v>262</v>
      </c>
      <c r="F350">
        <v>253</v>
      </c>
      <c r="G350">
        <v>261</v>
      </c>
      <c r="H350">
        <v>259</v>
      </c>
      <c r="I350">
        <v>254</v>
      </c>
      <c r="J350">
        <v>255</v>
      </c>
      <c r="K350">
        <v>249</v>
      </c>
      <c r="L350">
        <v>267</v>
      </c>
      <c r="M350">
        <v>263</v>
      </c>
      <c r="N350">
        <v>250</v>
      </c>
      <c r="O350" s="173">
        <f t="shared" si="61"/>
        <v>260.08333333333331</v>
      </c>
      <c r="P350" s="173">
        <f t="shared" si="62"/>
        <v>-35.666666666666686</v>
      </c>
      <c r="Q350" s="177">
        <f t="shared" si="63"/>
        <v>-0.1205973513665822</v>
      </c>
    </row>
    <row r="351" spans="1:17" x14ac:dyDescent="0.2">
      <c r="B351" t="s">
        <v>294</v>
      </c>
      <c r="C351">
        <v>247</v>
      </c>
      <c r="D351">
        <v>250</v>
      </c>
      <c r="E351">
        <v>240</v>
      </c>
      <c r="F351">
        <v>238</v>
      </c>
      <c r="G351">
        <v>230</v>
      </c>
      <c r="H351">
        <v>228</v>
      </c>
      <c r="I351">
        <v>230</v>
      </c>
      <c r="J351">
        <v>228</v>
      </c>
      <c r="K351">
        <v>226</v>
      </c>
      <c r="L351">
        <v>224</v>
      </c>
      <c r="M351">
        <v>228</v>
      </c>
      <c r="N351">
        <v>233</v>
      </c>
      <c r="O351" s="173">
        <f t="shared" si="61"/>
        <v>233.5</v>
      </c>
      <c r="P351" s="173">
        <f t="shared" si="62"/>
        <v>-26.583333333333314</v>
      </c>
      <c r="Q351" s="177">
        <f t="shared" si="63"/>
        <v>-0.10221082986222359</v>
      </c>
    </row>
    <row r="352" spans="1:17" x14ac:dyDescent="0.2">
      <c r="B352" t="s">
        <v>295</v>
      </c>
      <c r="C352">
        <v>212</v>
      </c>
      <c r="D352">
        <v>216</v>
      </c>
      <c r="E352">
        <v>221</v>
      </c>
      <c r="F352">
        <v>228</v>
      </c>
      <c r="G352">
        <v>226</v>
      </c>
      <c r="H352">
        <v>230</v>
      </c>
      <c r="I352">
        <v>222</v>
      </c>
      <c r="J352">
        <v>225</v>
      </c>
      <c r="K352">
        <v>236</v>
      </c>
      <c r="L352">
        <v>242</v>
      </c>
      <c r="M352">
        <v>246</v>
      </c>
      <c r="N352">
        <v>252</v>
      </c>
      <c r="O352" s="173">
        <f t="shared" si="61"/>
        <v>229.66666666666666</v>
      </c>
      <c r="P352" s="173">
        <f t="shared" si="62"/>
        <v>-3.8333333333333428</v>
      </c>
      <c r="Q352" s="177">
        <f t="shared" si="63"/>
        <v>-1.6416845110635302E-2</v>
      </c>
    </row>
    <row r="353" spans="1:18" x14ac:dyDescent="0.2">
      <c r="B353" t="s">
        <v>335</v>
      </c>
      <c r="C353">
        <v>247</v>
      </c>
      <c r="D353">
        <v>248</v>
      </c>
      <c r="E353">
        <v>247</v>
      </c>
      <c r="F353">
        <v>247</v>
      </c>
      <c r="G353">
        <v>254</v>
      </c>
      <c r="H353">
        <v>258</v>
      </c>
      <c r="I353">
        <v>257</v>
      </c>
      <c r="J353">
        <v>255</v>
      </c>
      <c r="K353">
        <v>252</v>
      </c>
      <c r="L353">
        <v>251</v>
      </c>
      <c r="M353">
        <v>249</v>
      </c>
      <c r="N353">
        <v>259</v>
      </c>
      <c r="O353" s="173">
        <f t="shared" si="61"/>
        <v>252</v>
      </c>
      <c r="P353" s="173">
        <f t="shared" si="62"/>
        <v>22.333333333333343</v>
      </c>
      <c r="Q353" s="177">
        <f t="shared" si="63"/>
        <v>9.7242380261248235E-2</v>
      </c>
    </row>
    <row r="354" spans="1:18" x14ac:dyDescent="0.2">
      <c r="B354" t="s">
        <v>358</v>
      </c>
      <c r="C354">
        <v>264</v>
      </c>
      <c r="D354">
        <v>260</v>
      </c>
      <c r="E354">
        <v>262</v>
      </c>
      <c r="F354">
        <v>259</v>
      </c>
      <c r="G354">
        <v>247</v>
      </c>
      <c r="H354">
        <v>238</v>
      </c>
      <c r="I354">
        <v>224</v>
      </c>
      <c r="J354">
        <v>232</v>
      </c>
      <c r="K354">
        <v>239</v>
      </c>
      <c r="L354">
        <v>243</v>
      </c>
      <c r="M354">
        <v>246</v>
      </c>
      <c r="N354">
        <v>247</v>
      </c>
      <c r="O354" s="173">
        <f t="shared" si="61"/>
        <v>246.75</v>
      </c>
      <c r="P354" s="173">
        <f t="shared" si="62"/>
        <v>-5.25</v>
      </c>
      <c r="Q354" s="177">
        <f t="shared" si="63"/>
        <v>-2.0833333333333332E-2</v>
      </c>
      <c r="R354" t="s">
        <v>440</v>
      </c>
    </row>
    <row r="355" spans="1:18" x14ac:dyDescent="0.2">
      <c r="B355" t="s">
        <v>437</v>
      </c>
      <c r="C355">
        <v>257</v>
      </c>
      <c r="D355">
        <v>248</v>
      </c>
      <c r="E355">
        <v>250</v>
      </c>
      <c r="F355">
        <v>264</v>
      </c>
      <c r="G355">
        <v>265</v>
      </c>
      <c r="H355">
        <v>270</v>
      </c>
      <c r="I355">
        <v>279</v>
      </c>
      <c r="J355">
        <v>279</v>
      </c>
      <c r="K355">
        <v>266</v>
      </c>
      <c r="L355">
        <v>260</v>
      </c>
      <c r="M355">
        <v>260</v>
      </c>
      <c r="N355">
        <v>272</v>
      </c>
      <c r="O355" s="173">
        <f t="shared" si="61"/>
        <v>264.16666666666669</v>
      </c>
      <c r="P355" s="173">
        <f t="shared" si="62"/>
        <v>17.416666666666686</v>
      </c>
      <c r="Q355" s="177">
        <f t="shared" si="63"/>
        <v>7.0584262073623852E-2</v>
      </c>
    </row>
    <row r="356" spans="1:18" x14ac:dyDescent="0.2">
      <c r="B356" t="s">
        <v>471</v>
      </c>
      <c r="C356">
        <v>276</v>
      </c>
      <c r="D356">
        <v>277</v>
      </c>
      <c r="E356">
        <v>283</v>
      </c>
      <c r="F356">
        <v>298</v>
      </c>
      <c r="G356">
        <v>294</v>
      </c>
      <c r="H356">
        <v>295</v>
      </c>
      <c r="I356">
        <v>289</v>
      </c>
      <c r="J356">
        <v>284</v>
      </c>
      <c r="K356">
        <v>288</v>
      </c>
      <c r="L356">
        <v>290</v>
      </c>
      <c r="M356">
        <v>303</v>
      </c>
      <c r="N356">
        <v>300</v>
      </c>
      <c r="O356" s="173">
        <f t="shared" si="61"/>
        <v>289.75</v>
      </c>
      <c r="P356" s="173">
        <f t="shared" si="62"/>
        <v>25.583333333333314</v>
      </c>
      <c r="Q356" s="177">
        <f t="shared" si="63"/>
        <v>9.6845425867507814E-2</v>
      </c>
    </row>
    <row r="357" spans="1:18" x14ac:dyDescent="0.2">
      <c r="B357" t="s">
        <v>537</v>
      </c>
      <c r="C357">
        <v>305</v>
      </c>
      <c r="D357">
        <v>296</v>
      </c>
      <c r="E357">
        <v>293</v>
      </c>
      <c r="F357">
        <v>294</v>
      </c>
      <c r="G357">
        <v>286</v>
      </c>
      <c r="H357">
        <v>283</v>
      </c>
      <c r="I357">
        <v>274</v>
      </c>
      <c r="J357">
        <v>260</v>
      </c>
      <c r="K357">
        <v>259</v>
      </c>
      <c r="L357">
        <v>266</v>
      </c>
      <c r="M357">
        <v>259</v>
      </c>
      <c r="N357">
        <v>266</v>
      </c>
      <c r="O357" s="173">
        <f t="shared" si="61"/>
        <v>278.41666666666669</v>
      </c>
      <c r="P357" s="173">
        <f t="shared" si="62"/>
        <v>-11.333333333333314</v>
      </c>
      <c r="Q357" s="177">
        <f t="shared" si="63"/>
        <v>-3.9114178889847508E-2</v>
      </c>
    </row>
    <row r="358" spans="1:18" x14ac:dyDescent="0.2">
      <c r="B358" t="s">
        <v>628</v>
      </c>
      <c r="C358">
        <v>256</v>
      </c>
      <c r="D358">
        <v>252</v>
      </c>
      <c r="E358">
        <v>248</v>
      </c>
      <c r="F358">
        <v>249</v>
      </c>
      <c r="G358">
        <v>253</v>
      </c>
      <c r="H358">
        <v>244</v>
      </c>
      <c r="I358">
        <v>234</v>
      </c>
      <c r="J358">
        <v>221</v>
      </c>
      <c r="K358">
        <v>233</v>
      </c>
      <c r="L358">
        <v>230</v>
      </c>
      <c r="M358">
        <v>238</v>
      </c>
      <c r="N358">
        <v>251</v>
      </c>
      <c r="O358" s="173">
        <f t="shared" si="61"/>
        <v>242.41666666666666</v>
      </c>
      <c r="P358" s="173">
        <f>SUM(O358-O357)</f>
        <v>-36.000000000000028</v>
      </c>
      <c r="Q358" s="177">
        <f>SUM(P358/O357)</f>
        <v>-0.12930260401077531</v>
      </c>
    </row>
    <row r="359" spans="1:18" x14ac:dyDescent="0.2">
      <c r="B359" t="s">
        <v>629</v>
      </c>
      <c r="C359">
        <v>254</v>
      </c>
      <c r="D359">
        <v>242</v>
      </c>
      <c r="E359">
        <v>239</v>
      </c>
      <c r="F359">
        <v>236</v>
      </c>
      <c r="G359">
        <v>231</v>
      </c>
      <c r="H359">
        <v>238</v>
      </c>
      <c r="I359">
        <v>229</v>
      </c>
      <c r="J359">
        <v>248</v>
      </c>
      <c r="K359">
        <v>244</v>
      </c>
      <c r="L359">
        <v>254</v>
      </c>
      <c r="M359">
        <v>257</v>
      </c>
      <c r="N359">
        <v>258</v>
      </c>
      <c r="O359" s="173">
        <f t="shared" si="61"/>
        <v>244.16666666666666</v>
      </c>
      <c r="P359" s="173">
        <f>SUM(O359-O358)</f>
        <v>1.75</v>
      </c>
      <c r="Q359" s="177">
        <f>SUM(P359/O358)</f>
        <v>7.2189755929872815E-3</v>
      </c>
    </row>
    <row r="360" spans="1:18" x14ac:dyDescent="0.2">
      <c r="O360" s="173"/>
      <c r="P360" s="173"/>
      <c r="Q360" s="177"/>
    </row>
    <row r="361" spans="1:18" x14ac:dyDescent="0.2">
      <c r="A361" s="178"/>
      <c r="B361" s="178"/>
      <c r="C361" s="178"/>
      <c r="D361" s="178"/>
      <c r="E361" s="178"/>
      <c r="F361" s="178"/>
      <c r="G361" s="178"/>
      <c r="H361" s="178"/>
      <c r="I361" s="178"/>
      <c r="J361" s="178"/>
      <c r="K361" s="178"/>
      <c r="L361" s="178"/>
      <c r="M361" s="178"/>
      <c r="N361" s="178"/>
      <c r="O361" s="178"/>
      <c r="P361" s="178"/>
      <c r="Q361" s="178"/>
    </row>
    <row r="362" spans="1:18" ht="25.5" x14ac:dyDescent="0.2">
      <c r="A362" s="175" t="s">
        <v>441</v>
      </c>
      <c r="B362" s="176" t="s">
        <v>418</v>
      </c>
      <c r="C362" s="179" t="s">
        <v>419</v>
      </c>
      <c r="D362" s="179" t="s">
        <v>420</v>
      </c>
      <c r="E362" s="179" t="s">
        <v>421</v>
      </c>
      <c r="F362" s="179" t="s">
        <v>422</v>
      </c>
      <c r="G362" s="179" t="s">
        <v>423</v>
      </c>
      <c r="H362" s="179" t="s">
        <v>424</v>
      </c>
      <c r="I362" s="179" t="s">
        <v>425</v>
      </c>
      <c r="J362" s="179" t="s">
        <v>426</v>
      </c>
      <c r="K362" s="179" t="s">
        <v>427</v>
      </c>
      <c r="L362" s="179" t="s">
        <v>428</v>
      </c>
      <c r="M362" s="179" t="s">
        <v>429</v>
      </c>
      <c r="N362" s="179" t="s">
        <v>430</v>
      </c>
    </row>
    <row r="363" spans="1:18" x14ac:dyDescent="0.2">
      <c r="B363" t="s">
        <v>434</v>
      </c>
      <c r="C363">
        <v>65</v>
      </c>
      <c r="D363">
        <v>62</v>
      </c>
      <c r="E363">
        <v>57</v>
      </c>
      <c r="F363">
        <v>56</v>
      </c>
      <c r="G363">
        <v>52</v>
      </c>
      <c r="H363">
        <v>51</v>
      </c>
      <c r="I363">
        <v>49</v>
      </c>
      <c r="J363">
        <v>55</v>
      </c>
      <c r="K363">
        <v>59</v>
      </c>
      <c r="L363">
        <v>55</v>
      </c>
      <c r="M363">
        <v>54</v>
      </c>
      <c r="N363">
        <v>66</v>
      </c>
      <c r="O363" s="173">
        <f t="shared" ref="O363:O379" si="64">SUM(C363:N363)/12</f>
        <v>56.75</v>
      </c>
      <c r="P363" s="173"/>
    </row>
    <row r="364" spans="1:18" x14ac:dyDescent="0.2">
      <c r="B364" t="s">
        <v>435</v>
      </c>
      <c r="C364">
        <v>67</v>
      </c>
      <c r="D364">
        <v>72</v>
      </c>
      <c r="E364">
        <v>72</v>
      </c>
      <c r="F364">
        <v>73</v>
      </c>
      <c r="G364">
        <v>71</v>
      </c>
      <c r="H364">
        <v>74</v>
      </c>
      <c r="I364">
        <v>74</v>
      </c>
      <c r="J364">
        <v>74</v>
      </c>
      <c r="K364">
        <v>70</v>
      </c>
      <c r="L364">
        <v>66</v>
      </c>
      <c r="M364">
        <v>62</v>
      </c>
      <c r="N364">
        <v>63</v>
      </c>
      <c r="O364" s="173">
        <f t="shared" si="64"/>
        <v>69.833333333333329</v>
      </c>
      <c r="P364" s="173">
        <f t="shared" ref="P364:P377" si="65">SUM(O364-O363)</f>
        <v>13.083333333333329</v>
      </c>
      <c r="Q364" s="177">
        <f t="shared" ref="Q364:Q377" si="66">SUM(P364/O363)</f>
        <v>0.23054331864904543</v>
      </c>
    </row>
    <row r="365" spans="1:18" x14ac:dyDescent="0.2">
      <c r="B365" t="s">
        <v>436</v>
      </c>
      <c r="C365">
        <v>68</v>
      </c>
      <c r="D365">
        <v>75</v>
      </c>
      <c r="E365">
        <v>74</v>
      </c>
      <c r="F365">
        <v>79</v>
      </c>
      <c r="G365">
        <v>75</v>
      </c>
      <c r="H365">
        <v>74</v>
      </c>
      <c r="I365">
        <v>64</v>
      </c>
      <c r="J365">
        <v>75</v>
      </c>
      <c r="K365">
        <v>76</v>
      </c>
      <c r="L365">
        <v>78</v>
      </c>
      <c r="M365">
        <v>79</v>
      </c>
      <c r="N365">
        <v>81</v>
      </c>
      <c r="O365" s="173">
        <f t="shared" si="64"/>
        <v>74.833333333333329</v>
      </c>
      <c r="P365" s="173">
        <f t="shared" si="65"/>
        <v>5</v>
      </c>
      <c r="Q365" s="177">
        <f t="shared" si="66"/>
        <v>7.1599045346062054E-2</v>
      </c>
    </row>
    <row r="366" spans="1:18" x14ac:dyDescent="0.2">
      <c r="B366" t="s">
        <v>260</v>
      </c>
      <c r="C366">
        <v>76</v>
      </c>
      <c r="D366">
        <v>79</v>
      </c>
      <c r="E366">
        <v>76</v>
      </c>
      <c r="F366">
        <v>74</v>
      </c>
      <c r="G366">
        <v>72</v>
      </c>
      <c r="H366">
        <v>70</v>
      </c>
      <c r="I366">
        <v>68</v>
      </c>
      <c r="J366">
        <v>59</v>
      </c>
      <c r="K366">
        <v>67</v>
      </c>
      <c r="L366">
        <v>66</v>
      </c>
      <c r="M366">
        <v>67</v>
      </c>
      <c r="N366">
        <v>64</v>
      </c>
      <c r="O366" s="173">
        <f t="shared" si="64"/>
        <v>69.833333333333329</v>
      </c>
      <c r="P366" s="173">
        <f t="shared" si="65"/>
        <v>-5</v>
      </c>
      <c r="Q366" s="177">
        <f t="shared" si="66"/>
        <v>-6.6815144766147E-2</v>
      </c>
    </row>
    <row r="367" spans="1:18" x14ac:dyDescent="0.2">
      <c r="B367" t="s">
        <v>259</v>
      </c>
      <c r="C367">
        <v>67</v>
      </c>
      <c r="D367">
        <v>57</v>
      </c>
      <c r="E367">
        <v>57</v>
      </c>
      <c r="F367">
        <v>58</v>
      </c>
      <c r="G367">
        <v>57</v>
      </c>
      <c r="H367">
        <v>60</v>
      </c>
      <c r="I367">
        <v>55</v>
      </c>
      <c r="J367">
        <v>55</v>
      </c>
      <c r="K367">
        <v>64</v>
      </c>
      <c r="L367">
        <v>61</v>
      </c>
      <c r="M367">
        <v>68</v>
      </c>
      <c r="N367">
        <v>67</v>
      </c>
      <c r="O367" s="173">
        <f t="shared" si="64"/>
        <v>60.5</v>
      </c>
      <c r="P367" s="173">
        <f t="shared" si="65"/>
        <v>-9.3333333333333286</v>
      </c>
      <c r="Q367" s="177">
        <f t="shared" si="66"/>
        <v>-0.13365155131264911</v>
      </c>
    </row>
    <row r="368" spans="1:18" x14ac:dyDescent="0.2">
      <c r="B368" t="s">
        <v>280</v>
      </c>
      <c r="C368">
        <v>71</v>
      </c>
      <c r="D368">
        <v>62</v>
      </c>
      <c r="E368">
        <v>61</v>
      </c>
      <c r="F368">
        <v>59</v>
      </c>
      <c r="G368">
        <v>54</v>
      </c>
      <c r="H368">
        <v>56</v>
      </c>
      <c r="I368">
        <v>56</v>
      </c>
      <c r="J368">
        <v>58</v>
      </c>
      <c r="K368">
        <v>60</v>
      </c>
      <c r="L368">
        <v>65</v>
      </c>
      <c r="M368">
        <v>72</v>
      </c>
      <c r="N368">
        <v>75</v>
      </c>
      <c r="O368" s="173">
        <f t="shared" si="64"/>
        <v>62.416666666666664</v>
      </c>
      <c r="P368" s="173">
        <f t="shared" si="65"/>
        <v>1.9166666666666643</v>
      </c>
      <c r="Q368" s="177">
        <f t="shared" si="66"/>
        <v>3.1680440771349822E-2</v>
      </c>
    </row>
    <row r="369" spans="1:17" x14ac:dyDescent="0.2">
      <c r="B369" t="s">
        <v>290</v>
      </c>
      <c r="C369">
        <v>76</v>
      </c>
      <c r="D369">
        <v>73</v>
      </c>
      <c r="E369">
        <v>67</v>
      </c>
      <c r="F369">
        <v>66</v>
      </c>
      <c r="G369">
        <v>66</v>
      </c>
      <c r="H369">
        <v>68</v>
      </c>
      <c r="I369">
        <v>69</v>
      </c>
      <c r="J369">
        <v>72</v>
      </c>
      <c r="K369">
        <v>69</v>
      </c>
      <c r="L369">
        <v>75</v>
      </c>
      <c r="M369">
        <v>73</v>
      </c>
      <c r="N369">
        <v>74</v>
      </c>
      <c r="O369" s="173">
        <f t="shared" si="64"/>
        <v>70.666666666666671</v>
      </c>
      <c r="P369" s="173">
        <f t="shared" si="65"/>
        <v>8.2500000000000071</v>
      </c>
      <c r="Q369" s="177">
        <f t="shared" si="66"/>
        <v>0.13217623497997341</v>
      </c>
    </row>
    <row r="370" spans="1:17" x14ac:dyDescent="0.2">
      <c r="B370" t="s">
        <v>293</v>
      </c>
      <c r="C370">
        <v>72</v>
      </c>
      <c r="D370">
        <v>72</v>
      </c>
      <c r="E370">
        <v>71</v>
      </c>
      <c r="F370">
        <v>73</v>
      </c>
      <c r="G370">
        <v>77</v>
      </c>
      <c r="H370">
        <v>76</v>
      </c>
      <c r="I370">
        <v>76</v>
      </c>
      <c r="J370">
        <v>78</v>
      </c>
      <c r="K370">
        <v>74</v>
      </c>
      <c r="L370">
        <v>88</v>
      </c>
      <c r="M370">
        <v>92</v>
      </c>
      <c r="N370">
        <v>76</v>
      </c>
      <c r="O370" s="173">
        <f t="shared" si="64"/>
        <v>77.083333333333329</v>
      </c>
      <c r="P370" s="173">
        <f t="shared" si="65"/>
        <v>6.4166666666666572</v>
      </c>
      <c r="Q370" s="177">
        <f t="shared" si="66"/>
        <v>9.0801886792452685E-2</v>
      </c>
    </row>
    <row r="371" spans="1:17" x14ac:dyDescent="0.2">
      <c r="B371" t="s">
        <v>294</v>
      </c>
      <c r="C371">
        <v>76</v>
      </c>
      <c r="D371">
        <v>79</v>
      </c>
      <c r="E371">
        <v>94</v>
      </c>
      <c r="F371">
        <v>75</v>
      </c>
      <c r="G371">
        <v>79</v>
      </c>
      <c r="H371">
        <v>77</v>
      </c>
      <c r="I371">
        <v>83</v>
      </c>
      <c r="J371">
        <v>83</v>
      </c>
      <c r="K371">
        <v>86</v>
      </c>
      <c r="L371">
        <v>85</v>
      </c>
      <c r="M371">
        <v>82</v>
      </c>
      <c r="N371">
        <v>89</v>
      </c>
      <c r="O371" s="173">
        <f t="shared" si="64"/>
        <v>82.333333333333329</v>
      </c>
      <c r="P371" s="173">
        <f t="shared" si="65"/>
        <v>5.25</v>
      </c>
      <c r="Q371" s="177">
        <f t="shared" si="66"/>
        <v>6.8108108108108106E-2</v>
      </c>
    </row>
    <row r="372" spans="1:17" x14ac:dyDescent="0.2">
      <c r="B372" t="s">
        <v>295</v>
      </c>
      <c r="C372">
        <v>92</v>
      </c>
      <c r="D372">
        <v>91</v>
      </c>
      <c r="E372">
        <v>95</v>
      </c>
      <c r="F372">
        <v>93</v>
      </c>
      <c r="G372">
        <v>96</v>
      </c>
      <c r="H372">
        <v>94</v>
      </c>
      <c r="I372">
        <v>91</v>
      </c>
      <c r="J372">
        <v>90</v>
      </c>
      <c r="K372">
        <v>91</v>
      </c>
      <c r="L372">
        <v>95</v>
      </c>
      <c r="M372">
        <v>96</v>
      </c>
      <c r="N372">
        <v>73</v>
      </c>
      <c r="O372" s="173">
        <f t="shared" si="64"/>
        <v>91.416666666666671</v>
      </c>
      <c r="P372" s="173">
        <f t="shared" si="65"/>
        <v>9.0833333333333428</v>
      </c>
      <c r="Q372" s="177">
        <f t="shared" si="66"/>
        <v>0.11032388663967624</v>
      </c>
    </row>
    <row r="373" spans="1:17" x14ac:dyDescent="0.2">
      <c r="B373" t="s">
        <v>335</v>
      </c>
      <c r="C373">
        <v>72</v>
      </c>
      <c r="D373">
        <v>72</v>
      </c>
      <c r="E373">
        <v>65</v>
      </c>
      <c r="F373">
        <v>62</v>
      </c>
      <c r="G373">
        <v>61</v>
      </c>
      <c r="H373">
        <v>65</v>
      </c>
      <c r="I373">
        <v>68</v>
      </c>
      <c r="J373">
        <v>70</v>
      </c>
      <c r="K373">
        <v>68</v>
      </c>
      <c r="L373">
        <v>70</v>
      </c>
      <c r="M373">
        <v>71</v>
      </c>
      <c r="N373">
        <v>73</v>
      </c>
      <c r="O373" s="173">
        <f t="shared" si="64"/>
        <v>68.083333333333329</v>
      </c>
      <c r="P373" s="173">
        <f t="shared" si="65"/>
        <v>-23.333333333333343</v>
      </c>
      <c r="Q373" s="177">
        <f t="shared" si="66"/>
        <v>-0.2552415679124887</v>
      </c>
    </row>
    <row r="374" spans="1:17" x14ac:dyDescent="0.2">
      <c r="B374" t="s">
        <v>358</v>
      </c>
      <c r="C374">
        <v>72</v>
      </c>
      <c r="D374">
        <v>70</v>
      </c>
      <c r="E374">
        <v>73</v>
      </c>
      <c r="F374">
        <v>77</v>
      </c>
      <c r="G374">
        <v>74</v>
      </c>
      <c r="H374">
        <v>74</v>
      </c>
      <c r="I374">
        <v>76</v>
      </c>
      <c r="J374">
        <v>75</v>
      </c>
      <c r="K374">
        <v>77</v>
      </c>
      <c r="L374">
        <v>82</v>
      </c>
      <c r="M374">
        <v>85</v>
      </c>
      <c r="N374">
        <v>88</v>
      </c>
      <c r="O374" s="173">
        <f t="shared" si="64"/>
        <v>76.916666666666671</v>
      </c>
      <c r="P374" s="173">
        <f t="shared" si="65"/>
        <v>8.8333333333333428</v>
      </c>
      <c r="Q374" s="177">
        <f t="shared" si="66"/>
        <v>0.1297429620563037</v>
      </c>
    </row>
    <row r="375" spans="1:17" x14ac:dyDescent="0.2">
      <c r="B375" t="s">
        <v>437</v>
      </c>
      <c r="C375">
        <v>88</v>
      </c>
      <c r="D375">
        <v>84</v>
      </c>
      <c r="E375">
        <v>81</v>
      </c>
      <c r="F375">
        <v>81</v>
      </c>
      <c r="G375">
        <v>79</v>
      </c>
      <c r="H375">
        <v>79</v>
      </c>
      <c r="I375">
        <v>77</v>
      </c>
      <c r="J375">
        <v>82</v>
      </c>
      <c r="K375">
        <v>80</v>
      </c>
      <c r="L375">
        <v>73</v>
      </c>
      <c r="M375">
        <v>76</v>
      </c>
      <c r="N375">
        <v>76</v>
      </c>
      <c r="O375" s="173">
        <f t="shared" si="64"/>
        <v>79.666666666666671</v>
      </c>
      <c r="P375" s="173">
        <f t="shared" si="65"/>
        <v>2.75</v>
      </c>
      <c r="Q375" s="177">
        <f t="shared" si="66"/>
        <v>3.5752979414951244E-2</v>
      </c>
    </row>
    <row r="376" spans="1:17" x14ac:dyDescent="0.2">
      <c r="B376" t="s">
        <v>471</v>
      </c>
      <c r="C376">
        <v>75</v>
      </c>
      <c r="D376">
        <v>77</v>
      </c>
      <c r="E376">
        <v>75</v>
      </c>
      <c r="F376">
        <v>75</v>
      </c>
      <c r="G376">
        <v>79</v>
      </c>
      <c r="H376">
        <v>74</v>
      </c>
      <c r="I376">
        <v>75</v>
      </c>
      <c r="J376">
        <v>77</v>
      </c>
      <c r="K376">
        <v>74</v>
      </c>
      <c r="L376">
        <v>70</v>
      </c>
      <c r="M376">
        <v>70</v>
      </c>
      <c r="N376">
        <v>72</v>
      </c>
      <c r="O376" s="173">
        <f t="shared" si="64"/>
        <v>74.416666666666671</v>
      </c>
      <c r="P376" s="173">
        <f t="shared" si="65"/>
        <v>-5.25</v>
      </c>
      <c r="Q376" s="177">
        <f t="shared" si="66"/>
        <v>-6.5899581589958151E-2</v>
      </c>
    </row>
    <row r="377" spans="1:17" x14ac:dyDescent="0.2">
      <c r="B377" t="s">
        <v>537</v>
      </c>
      <c r="C377">
        <v>74</v>
      </c>
      <c r="D377">
        <v>71</v>
      </c>
      <c r="E377">
        <v>73</v>
      </c>
      <c r="F377">
        <v>76</v>
      </c>
      <c r="G377">
        <v>72</v>
      </c>
      <c r="H377">
        <v>70</v>
      </c>
      <c r="I377">
        <v>73</v>
      </c>
      <c r="J377">
        <v>73</v>
      </c>
      <c r="K377">
        <v>72</v>
      </c>
      <c r="L377">
        <v>73</v>
      </c>
      <c r="M377">
        <v>76</v>
      </c>
      <c r="N377">
        <v>77</v>
      </c>
      <c r="O377" s="173">
        <f t="shared" si="64"/>
        <v>73.333333333333329</v>
      </c>
      <c r="P377" s="173">
        <f t="shared" si="65"/>
        <v>-1.0833333333333428</v>
      </c>
      <c r="Q377" s="177">
        <f t="shared" si="66"/>
        <v>-1.4557670772676497E-2</v>
      </c>
    </row>
    <row r="378" spans="1:17" x14ac:dyDescent="0.2">
      <c r="B378" t="s">
        <v>628</v>
      </c>
      <c r="C378">
        <v>71</v>
      </c>
      <c r="D378">
        <v>70</v>
      </c>
      <c r="E378">
        <v>68</v>
      </c>
      <c r="F378">
        <v>71</v>
      </c>
      <c r="G378">
        <v>69</v>
      </c>
      <c r="H378">
        <v>69</v>
      </c>
      <c r="I378">
        <v>67</v>
      </c>
      <c r="J378">
        <v>70</v>
      </c>
      <c r="K378">
        <v>69</v>
      </c>
      <c r="L378">
        <v>69</v>
      </c>
      <c r="M378">
        <v>69</v>
      </c>
      <c r="N378">
        <v>65</v>
      </c>
      <c r="O378" s="173">
        <f t="shared" si="64"/>
        <v>68.916666666666671</v>
      </c>
      <c r="P378" s="173">
        <f>SUM(O378-O377)</f>
        <v>-4.4166666666666572</v>
      </c>
      <c r="Q378" s="177">
        <f>SUM(P378/O377)</f>
        <v>-6.0227272727272602E-2</v>
      </c>
    </row>
    <row r="379" spans="1:17" x14ac:dyDescent="0.2">
      <c r="B379" t="s">
        <v>629</v>
      </c>
      <c r="C379">
        <v>69</v>
      </c>
      <c r="D379">
        <v>66</v>
      </c>
      <c r="E379">
        <v>63</v>
      </c>
      <c r="F379">
        <v>62</v>
      </c>
      <c r="G379">
        <v>65</v>
      </c>
      <c r="H379">
        <v>62</v>
      </c>
      <c r="I379">
        <v>64</v>
      </c>
      <c r="J379">
        <v>63</v>
      </c>
      <c r="K379">
        <v>57</v>
      </c>
      <c r="L379">
        <v>57</v>
      </c>
      <c r="M379">
        <v>57</v>
      </c>
      <c r="N379">
        <v>58</v>
      </c>
      <c r="O379" s="173">
        <f t="shared" si="64"/>
        <v>61.916666666666664</v>
      </c>
      <c r="P379" s="173">
        <f>SUM(O379-O378)</f>
        <v>-7.0000000000000071</v>
      </c>
      <c r="Q379" s="177">
        <f>SUM(P379/O378)</f>
        <v>-0.10157194679564702</v>
      </c>
    </row>
    <row r="380" spans="1:17" x14ac:dyDescent="0.2">
      <c r="O380" s="173"/>
      <c r="P380" s="173"/>
      <c r="Q380" s="177"/>
    </row>
    <row r="381" spans="1:17" ht="25.5" x14ac:dyDescent="0.2">
      <c r="A381" s="175" t="s">
        <v>442</v>
      </c>
      <c r="B381" s="176" t="s">
        <v>418</v>
      </c>
      <c r="C381" s="179" t="s">
        <v>419</v>
      </c>
      <c r="D381" s="179" t="s">
        <v>420</v>
      </c>
      <c r="E381" s="179" t="s">
        <v>421</v>
      </c>
      <c r="F381" s="179" t="s">
        <v>422</v>
      </c>
      <c r="G381" s="179" t="s">
        <v>423</v>
      </c>
      <c r="H381" s="179" t="s">
        <v>424</v>
      </c>
      <c r="I381" s="179" t="s">
        <v>425</v>
      </c>
      <c r="J381" s="179" t="s">
        <v>426</v>
      </c>
      <c r="K381" s="179" t="s">
        <v>427</v>
      </c>
      <c r="L381" s="179" t="s">
        <v>428</v>
      </c>
      <c r="M381" s="179" t="s">
        <v>429</v>
      </c>
      <c r="N381" s="179" t="s">
        <v>430</v>
      </c>
    </row>
    <row r="382" spans="1:17" x14ac:dyDescent="0.2">
      <c r="B382" t="s">
        <v>434</v>
      </c>
      <c r="C382">
        <v>683</v>
      </c>
      <c r="D382">
        <v>675</v>
      </c>
      <c r="E382">
        <v>696</v>
      </c>
      <c r="F382">
        <v>659</v>
      </c>
      <c r="G382">
        <v>661</v>
      </c>
      <c r="H382">
        <v>650</v>
      </c>
      <c r="I382">
        <v>666</v>
      </c>
      <c r="J382">
        <v>688</v>
      </c>
      <c r="K382">
        <v>667</v>
      </c>
      <c r="L382">
        <v>670</v>
      </c>
      <c r="M382">
        <v>639</v>
      </c>
      <c r="N382">
        <v>653</v>
      </c>
      <c r="O382" s="173">
        <f t="shared" ref="O382:O398" si="67">SUM(C382:N382)/12</f>
        <v>667.25</v>
      </c>
      <c r="P382" s="173"/>
    </row>
    <row r="383" spans="1:17" x14ac:dyDescent="0.2">
      <c r="B383" t="s">
        <v>435</v>
      </c>
      <c r="C383">
        <v>624</v>
      </c>
      <c r="D383">
        <v>643</v>
      </c>
      <c r="E383">
        <v>636</v>
      </c>
      <c r="F383">
        <v>670</v>
      </c>
      <c r="G383">
        <v>642</v>
      </c>
      <c r="H383">
        <v>655</v>
      </c>
      <c r="I383">
        <v>650</v>
      </c>
      <c r="J383">
        <v>660</v>
      </c>
      <c r="K383">
        <v>644</v>
      </c>
      <c r="L383">
        <v>672</v>
      </c>
      <c r="M383">
        <v>658</v>
      </c>
      <c r="N383">
        <v>659</v>
      </c>
      <c r="O383" s="173">
        <f t="shared" si="67"/>
        <v>651.08333333333337</v>
      </c>
      <c r="P383" s="173">
        <f t="shared" ref="P383:P396" si="68">SUM(O383-O382)</f>
        <v>-16.166666666666629</v>
      </c>
      <c r="Q383" s="177">
        <f t="shared" ref="Q383:Q396" si="69">SUM(P383/O382)</f>
        <v>-2.422879980017479E-2</v>
      </c>
    </row>
    <row r="384" spans="1:17" x14ac:dyDescent="0.2">
      <c r="B384" t="s">
        <v>436</v>
      </c>
      <c r="C384">
        <v>661</v>
      </c>
      <c r="D384">
        <v>673</v>
      </c>
      <c r="E384">
        <v>672</v>
      </c>
      <c r="F384">
        <v>632</v>
      </c>
      <c r="G384">
        <v>611</v>
      </c>
      <c r="H384">
        <v>620</v>
      </c>
      <c r="I384">
        <v>633</v>
      </c>
      <c r="J384">
        <v>653</v>
      </c>
      <c r="K384">
        <v>659</v>
      </c>
      <c r="L384">
        <v>665</v>
      </c>
      <c r="M384">
        <v>671</v>
      </c>
      <c r="N384">
        <v>677</v>
      </c>
      <c r="O384" s="173">
        <f t="shared" si="67"/>
        <v>652.25</v>
      </c>
      <c r="P384" s="173">
        <f t="shared" si="68"/>
        <v>1.1666666666666288</v>
      </c>
      <c r="Q384" s="177">
        <f t="shared" si="69"/>
        <v>1.7918853193395041E-3</v>
      </c>
    </row>
    <row r="385" spans="1:17" x14ac:dyDescent="0.2">
      <c r="B385" t="s">
        <v>260</v>
      </c>
      <c r="C385">
        <v>561</v>
      </c>
      <c r="D385">
        <v>574</v>
      </c>
      <c r="E385">
        <v>593</v>
      </c>
      <c r="F385">
        <v>589</v>
      </c>
      <c r="G385">
        <v>589</v>
      </c>
      <c r="H385">
        <v>589</v>
      </c>
      <c r="I385">
        <v>589</v>
      </c>
      <c r="J385">
        <v>589</v>
      </c>
      <c r="K385">
        <v>589</v>
      </c>
      <c r="L385">
        <v>589</v>
      </c>
      <c r="M385">
        <v>589</v>
      </c>
      <c r="N385">
        <v>623</v>
      </c>
      <c r="O385" s="173">
        <f t="shared" si="67"/>
        <v>588.58333333333337</v>
      </c>
      <c r="P385" s="173">
        <f t="shared" si="68"/>
        <v>-63.666666666666629</v>
      </c>
      <c r="Q385" s="177">
        <f t="shared" si="69"/>
        <v>-9.7610834291554816E-2</v>
      </c>
    </row>
    <row r="386" spans="1:17" x14ac:dyDescent="0.2">
      <c r="B386" t="s">
        <v>259</v>
      </c>
      <c r="C386">
        <v>585</v>
      </c>
      <c r="D386">
        <v>542</v>
      </c>
      <c r="E386">
        <v>535</v>
      </c>
      <c r="F386">
        <v>545</v>
      </c>
      <c r="G386">
        <v>547</v>
      </c>
      <c r="H386">
        <v>584</v>
      </c>
      <c r="I386">
        <v>608</v>
      </c>
      <c r="J386">
        <v>604</v>
      </c>
      <c r="K386">
        <v>592</v>
      </c>
      <c r="L386">
        <v>599</v>
      </c>
      <c r="M386">
        <v>628</v>
      </c>
      <c r="N386">
        <v>595</v>
      </c>
      <c r="O386" s="173">
        <f t="shared" si="67"/>
        <v>580.33333333333337</v>
      </c>
      <c r="P386" s="173">
        <f t="shared" si="68"/>
        <v>-8.25</v>
      </c>
      <c r="Q386" s="177">
        <f t="shared" si="69"/>
        <v>-1.4016706781820756E-2</v>
      </c>
    </row>
    <row r="387" spans="1:17" x14ac:dyDescent="0.2">
      <c r="B387" t="s">
        <v>280</v>
      </c>
      <c r="C387">
        <v>601</v>
      </c>
      <c r="D387">
        <v>626</v>
      </c>
      <c r="E387">
        <v>662</v>
      </c>
      <c r="F387">
        <v>646</v>
      </c>
      <c r="G387">
        <v>635</v>
      </c>
      <c r="H387">
        <v>634</v>
      </c>
      <c r="I387">
        <v>628</v>
      </c>
      <c r="J387">
        <v>656</v>
      </c>
      <c r="K387">
        <v>666</v>
      </c>
      <c r="L387">
        <v>657</v>
      </c>
      <c r="M387">
        <v>576</v>
      </c>
      <c r="N387">
        <v>650</v>
      </c>
      <c r="O387" s="173">
        <f t="shared" si="67"/>
        <v>636.41666666666663</v>
      </c>
      <c r="P387" s="173">
        <f t="shared" si="68"/>
        <v>56.083333333333258</v>
      </c>
      <c r="Q387" s="177">
        <f t="shared" si="69"/>
        <v>9.6639862148190564E-2</v>
      </c>
    </row>
    <row r="388" spans="1:17" x14ac:dyDescent="0.2">
      <c r="B388" t="s">
        <v>290</v>
      </c>
      <c r="C388">
        <v>648</v>
      </c>
      <c r="D388">
        <v>660</v>
      </c>
      <c r="E388">
        <v>652</v>
      </c>
      <c r="F388">
        <v>651</v>
      </c>
      <c r="G388">
        <v>646</v>
      </c>
      <c r="H388">
        <v>659</v>
      </c>
      <c r="I388">
        <v>646</v>
      </c>
      <c r="J388">
        <v>702</v>
      </c>
      <c r="K388">
        <v>699</v>
      </c>
      <c r="L388">
        <v>703</v>
      </c>
      <c r="M388">
        <v>711</v>
      </c>
      <c r="N388">
        <v>718</v>
      </c>
      <c r="O388" s="173">
        <f t="shared" si="67"/>
        <v>674.58333333333337</v>
      </c>
      <c r="P388" s="173">
        <f t="shared" si="68"/>
        <v>38.166666666666742</v>
      </c>
      <c r="Q388" s="177">
        <f t="shared" si="69"/>
        <v>5.99711928767842E-2</v>
      </c>
    </row>
    <row r="389" spans="1:17" x14ac:dyDescent="0.2">
      <c r="B389" t="s">
        <v>293</v>
      </c>
      <c r="C389">
        <v>731</v>
      </c>
      <c r="D389">
        <v>726</v>
      </c>
      <c r="E389">
        <v>720</v>
      </c>
      <c r="F389">
        <v>696</v>
      </c>
      <c r="G389">
        <v>731</v>
      </c>
      <c r="H389">
        <v>721</v>
      </c>
      <c r="I389">
        <v>713</v>
      </c>
      <c r="J389">
        <v>701</v>
      </c>
      <c r="K389">
        <v>691</v>
      </c>
      <c r="L389">
        <v>789</v>
      </c>
      <c r="M389">
        <v>764</v>
      </c>
      <c r="N389">
        <v>691</v>
      </c>
      <c r="O389" s="173">
        <f t="shared" si="67"/>
        <v>722.83333333333337</v>
      </c>
      <c r="P389" s="173">
        <f t="shared" si="68"/>
        <v>48.25</v>
      </c>
      <c r="Q389" s="177">
        <f t="shared" si="69"/>
        <v>7.1525633106856085E-2</v>
      </c>
    </row>
    <row r="390" spans="1:17" x14ac:dyDescent="0.2">
      <c r="B390" t="s">
        <v>294</v>
      </c>
      <c r="C390">
        <v>684</v>
      </c>
      <c r="D390">
        <v>691</v>
      </c>
      <c r="E390">
        <v>716</v>
      </c>
      <c r="F390">
        <v>676</v>
      </c>
      <c r="G390">
        <v>671</v>
      </c>
      <c r="H390">
        <v>676</v>
      </c>
      <c r="I390">
        <v>674</v>
      </c>
      <c r="J390">
        <v>667</v>
      </c>
      <c r="K390">
        <v>669</v>
      </c>
      <c r="L390">
        <v>676</v>
      </c>
      <c r="M390">
        <v>714</v>
      </c>
      <c r="N390">
        <v>718</v>
      </c>
      <c r="O390" s="173">
        <f t="shared" si="67"/>
        <v>686</v>
      </c>
      <c r="P390" s="173">
        <f t="shared" si="68"/>
        <v>-36.833333333333371</v>
      </c>
      <c r="Q390" s="177">
        <f t="shared" si="69"/>
        <v>-5.095688263776809E-2</v>
      </c>
    </row>
    <row r="391" spans="1:17" x14ac:dyDescent="0.2">
      <c r="B391" t="s">
        <v>295</v>
      </c>
      <c r="C391">
        <v>681</v>
      </c>
      <c r="D391">
        <v>689</v>
      </c>
      <c r="E391">
        <v>680</v>
      </c>
      <c r="F391">
        <v>661</v>
      </c>
      <c r="G391">
        <v>661</v>
      </c>
      <c r="H391">
        <v>678</v>
      </c>
      <c r="I391">
        <v>672</v>
      </c>
      <c r="J391">
        <v>687</v>
      </c>
      <c r="K391">
        <v>677</v>
      </c>
      <c r="L391">
        <v>674</v>
      </c>
      <c r="M391">
        <v>674</v>
      </c>
      <c r="N391">
        <v>691</v>
      </c>
      <c r="O391" s="173">
        <f t="shared" si="67"/>
        <v>677.08333333333337</v>
      </c>
      <c r="P391" s="173">
        <f t="shared" si="68"/>
        <v>-8.9166666666666288</v>
      </c>
      <c r="Q391" s="177">
        <f t="shared" si="69"/>
        <v>-1.2998056365403248E-2</v>
      </c>
    </row>
    <row r="392" spans="1:17" x14ac:dyDescent="0.2">
      <c r="B392" t="s">
        <v>335</v>
      </c>
      <c r="C392">
        <v>685</v>
      </c>
      <c r="D392">
        <v>703</v>
      </c>
      <c r="E392">
        <v>697</v>
      </c>
      <c r="F392">
        <v>714</v>
      </c>
      <c r="G392">
        <v>713</v>
      </c>
      <c r="H392">
        <v>746</v>
      </c>
      <c r="I392">
        <v>722</v>
      </c>
      <c r="J392">
        <v>724</v>
      </c>
      <c r="K392">
        <v>728</v>
      </c>
      <c r="L392">
        <v>696</v>
      </c>
      <c r="M392">
        <v>695</v>
      </c>
      <c r="N392">
        <v>676</v>
      </c>
      <c r="O392" s="173">
        <f t="shared" si="67"/>
        <v>708.25</v>
      </c>
      <c r="P392" s="173">
        <f t="shared" si="68"/>
        <v>31.166666666666629</v>
      </c>
      <c r="Q392" s="177">
        <f t="shared" si="69"/>
        <v>4.6030769230769174E-2</v>
      </c>
    </row>
    <row r="393" spans="1:17" x14ac:dyDescent="0.2">
      <c r="B393" t="s">
        <v>358</v>
      </c>
      <c r="C393">
        <v>691</v>
      </c>
      <c r="D393">
        <v>666</v>
      </c>
      <c r="E393">
        <v>624</v>
      </c>
      <c r="F393">
        <v>670</v>
      </c>
      <c r="G393">
        <v>672</v>
      </c>
      <c r="H393">
        <v>675</v>
      </c>
      <c r="I393">
        <v>651</v>
      </c>
      <c r="J393">
        <v>642</v>
      </c>
      <c r="K393">
        <v>588</v>
      </c>
      <c r="L393">
        <v>663</v>
      </c>
      <c r="M393">
        <v>660</v>
      </c>
      <c r="N393">
        <v>646</v>
      </c>
      <c r="O393" s="173">
        <f t="shared" si="67"/>
        <v>654</v>
      </c>
      <c r="P393" s="173">
        <f t="shared" si="68"/>
        <v>-54.25</v>
      </c>
      <c r="Q393" s="177">
        <f t="shared" si="69"/>
        <v>-7.6597246734909988E-2</v>
      </c>
    </row>
    <row r="394" spans="1:17" x14ac:dyDescent="0.2">
      <c r="B394" t="s">
        <v>437</v>
      </c>
      <c r="C394">
        <v>652</v>
      </c>
      <c r="D394">
        <v>655</v>
      </c>
      <c r="E394">
        <v>667</v>
      </c>
      <c r="F394">
        <v>658</v>
      </c>
      <c r="G394">
        <v>671</v>
      </c>
      <c r="H394">
        <v>681</v>
      </c>
      <c r="I394">
        <v>677</v>
      </c>
      <c r="J394">
        <v>673</v>
      </c>
      <c r="K394">
        <v>663</v>
      </c>
      <c r="L394">
        <v>656</v>
      </c>
      <c r="M394">
        <v>662</v>
      </c>
      <c r="N394">
        <v>679</v>
      </c>
      <c r="O394" s="173">
        <f t="shared" si="67"/>
        <v>666.16666666666663</v>
      </c>
      <c r="P394" s="173">
        <f t="shared" si="68"/>
        <v>12.166666666666629</v>
      </c>
      <c r="Q394" s="177">
        <f t="shared" si="69"/>
        <v>1.8603465851172216E-2</v>
      </c>
    </row>
    <row r="395" spans="1:17" x14ac:dyDescent="0.2">
      <c r="B395" t="s">
        <v>471</v>
      </c>
      <c r="C395">
        <v>674</v>
      </c>
      <c r="D395">
        <v>675</v>
      </c>
      <c r="E395">
        <v>693</v>
      </c>
      <c r="F395">
        <v>708</v>
      </c>
      <c r="G395">
        <v>741</v>
      </c>
      <c r="H395">
        <v>687</v>
      </c>
      <c r="I395">
        <v>729</v>
      </c>
      <c r="J395">
        <v>690</v>
      </c>
      <c r="K395">
        <v>701</v>
      </c>
      <c r="L395">
        <v>693</v>
      </c>
      <c r="M395">
        <v>738</v>
      </c>
      <c r="N395">
        <v>729</v>
      </c>
      <c r="O395" s="173">
        <f t="shared" si="67"/>
        <v>704.83333333333337</v>
      </c>
      <c r="P395" s="173">
        <f t="shared" si="68"/>
        <v>38.666666666666742</v>
      </c>
      <c r="Q395" s="177">
        <f t="shared" si="69"/>
        <v>5.804353264948723E-2</v>
      </c>
    </row>
    <row r="396" spans="1:17" x14ac:dyDescent="0.2">
      <c r="B396" t="s">
        <v>537</v>
      </c>
      <c r="C396">
        <v>722</v>
      </c>
      <c r="D396">
        <v>713</v>
      </c>
      <c r="E396">
        <v>717</v>
      </c>
      <c r="F396">
        <v>696</v>
      </c>
      <c r="G396">
        <v>673</v>
      </c>
      <c r="H396">
        <v>688</v>
      </c>
      <c r="I396">
        <v>676</v>
      </c>
      <c r="J396">
        <v>681</v>
      </c>
      <c r="K396">
        <v>670</v>
      </c>
      <c r="L396">
        <v>672</v>
      </c>
      <c r="M396">
        <v>697</v>
      </c>
      <c r="N396">
        <v>744</v>
      </c>
      <c r="O396" s="173">
        <f t="shared" si="67"/>
        <v>695.75</v>
      </c>
      <c r="P396" s="173">
        <f t="shared" si="68"/>
        <v>-9.0833333333333712</v>
      </c>
      <c r="Q396" s="177">
        <f t="shared" si="69"/>
        <v>-1.2887207377630699E-2</v>
      </c>
    </row>
    <row r="397" spans="1:17" x14ac:dyDescent="0.2">
      <c r="B397" t="s">
        <v>628</v>
      </c>
      <c r="C397">
        <v>681</v>
      </c>
      <c r="D397">
        <v>668</v>
      </c>
      <c r="E397">
        <v>662</v>
      </c>
      <c r="F397">
        <v>638</v>
      </c>
      <c r="G397">
        <v>665</v>
      </c>
      <c r="H397">
        <v>654</v>
      </c>
      <c r="I397">
        <v>640</v>
      </c>
      <c r="J397">
        <v>628</v>
      </c>
      <c r="K397">
        <v>699</v>
      </c>
      <c r="L397">
        <v>611</v>
      </c>
      <c r="M397">
        <v>605</v>
      </c>
      <c r="N397">
        <v>589</v>
      </c>
      <c r="O397" s="173">
        <f t="shared" si="67"/>
        <v>645</v>
      </c>
      <c r="P397" s="173">
        <f>SUM(O397-O396)</f>
        <v>-50.75</v>
      </c>
      <c r="Q397" s="177">
        <f>SUM(P397/O396)</f>
        <v>-7.294286740927057E-2</v>
      </c>
    </row>
    <row r="398" spans="1:17" x14ac:dyDescent="0.2">
      <c r="B398" t="s">
        <v>629</v>
      </c>
      <c r="C398">
        <v>578</v>
      </c>
      <c r="D398">
        <v>579</v>
      </c>
      <c r="E398">
        <v>577</v>
      </c>
      <c r="F398">
        <v>568</v>
      </c>
      <c r="G398">
        <v>572</v>
      </c>
      <c r="H398">
        <v>550</v>
      </c>
      <c r="I398">
        <v>554</v>
      </c>
      <c r="J398">
        <v>550</v>
      </c>
      <c r="K398">
        <v>559</v>
      </c>
      <c r="L398">
        <v>576</v>
      </c>
      <c r="M398">
        <v>548</v>
      </c>
      <c r="N398">
        <v>537</v>
      </c>
      <c r="O398" s="173">
        <f t="shared" si="67"/>
        <v>562.33333333333337</v>
      </c>
      <c r="P398" s="173">
        <f>SUM(O398-O397)</f>
        <v>-82.666666666666629</v>
      </c>
      <c r="Q398" s="177">
        <f>SUM(P398/O397)</f>
        <v>-0.12816537467700254</v>
      </c>
    </row>
    <row r="399" spans="1:17" x14ac:dyDescent="0.2">
      <c r="O399" s="173"/>
      <c r="P399" s="173"/>
      <c r="Q399" s="177"/>
    </row>
    <row r="400" spans="1:17" ht="25.5" x14ac:dyDescent="0.2">
      <c r="A400" s="175" t="s">
        <v>443</v>
      </c>
      <c r="B400" s="176" t="s">
        <v>418</v>
      </c>
      <c r="C400" s="179" t="s">
        <v>419</v>
      </c>
      <c r="D400" s="179" t="s">
        <v>420</v>
      </c>
      <c r="E400" s="179" t="s">
        <v>421</v>
      </c>
      <c r="F400" s="179" t="s">
        <v>422</v>
      </c>
      <c r="G400" s="179" t="s">
        <v>423</v>
      </c>
      <c r="H400" s="179" t="s">
        <v>424</v>
      </c>
      <c r="I400" s="179" t="s">
        <v>425</v>
      </c>
      <c r="J400" s="179" t="s">
        <v>426</v>
      </c>
      <c r="K400" s="179" t="s">
        <v>427</v>
      </c>
      <c r="L400" s="179" t="s">
        <v>428</v>
      </c>
      <c r="M400" s="179" t="s">
        <v>429</v>
      </c>
      <c r="N400" s="179" t="s">
        <v>430</v>
      </c>
    </row>
    <row r="401" spans="2:17" x14ac:dyDescent="0.2">
      <c r="B401" t="s">
        <v>434</v>
      </c>
      <c r="C401">
        <v>227</v>
      </c>
      <c r="D401">
        <v>238</v>
      </c>
      <c r="E401">
        <v>241</v>
      </c>
      <c r="F401">
        <v>237</v>
      </c>
      <c r="G401">
        <v>237</v>
      </c>
      <c r="H401">
        <v>245</v>
      </c>
      <c r="I401">
        <v>239</v>
      </c>
      <c r="J401">
        <v>232</v>
      </c>
      <c r="K401">
        <v>228</v>
      </c>
      <c r="L401">
        <v>226</v>
      </c>
      <c r="M401">
        <v>226</v>
      </c>
      <c r="N401">
        <v>238</v>
      </c>
      <c r="O401" s="173">
        <f t="shared" ref="O401:O417" si="70">SUM(C401:N401)/12</f>
        <v>234.5</v>
      </c>
      <c r="P401" s="173"/>
    </row>
    <row r="402" spans="2:17" x14ac:dyDescent="0.2">
      <c r="B402" t="s">
        <v>435</v>
      </c>
      <c r="C402">
        <v>227</v>
      </c>
      <c r="D402">
        <v>234</v>
      </c>
      <c r="E402">
        <v>235</v>
      </c>
      <c r="F402">
        <v>220</v>
      </c>
      <c r="G402">
        <v>231</v>
      </c>
      <c r="H402">
        <v>222</v>
      </c>
      <c r="I402">
        <v>209</v>
      </c>
      <c r="J402">
        <v>216</v>
      </c>
      <c r="K402">
        <v>219</v>
      </c>
      <c r="L402">
        <v>212</v>
      </c>
      <c r="M402">
        <v>211</v>
      </c>
      <c r="N402">
        <v>211</v>
      </c>
      <c r="O402" s="173">
        <f t="shared" si="70"/>
        <v>220.58333333333334</v>
      </c>
      <c r="P402" s="173">
        <f t="shared" ref="P402:P415" si="71">SUM(O402-O401)</f>
        <v>-13.916666666666657</v>
      </c>
      <c r="Q402" s="177">
        <f t="shared" ref="Q402:Q415" si="72">SUM(P402/O401)</f>
        <v>-5.9346126510305575E-2</v>
      </c>
    </row>
    <row r="403" spans="2:17" x14ac:dyDescent="0.2">
      <c r="B403" t="s">
        <v>436</v>
      </c>
      <c r="C403">
        <v>210</v>
      </c>
      <c r="D403">
        <v>212</v>
      </c>
      <c r="E403">
        <v>205</v>
      </c>
      <c r="F403">
        <v>205</v>
      </c>
      <c r="G403">
        <v>220</v>
      </c>
      <c r="H403">
        <v>221</v>
      </c>
      <c r="I403">
        <v>223</v>
      </c>
      <c r="J403">
        <v>227</v>
      </c>
      <c r="K403">
        <v>230</v>
      </c>
      <c r="L403">
        <v>204</v>
      </c>
      <c r="M403">
        <v>178</v>
      </c>
      <c r="N403">
        <v>152</v>
      </c>
      <c r="O403" s="173">
        <f t="shared" si="70"/>
        <v>207.25</v>
      </c>
      <c r="P403" s="173">
        <f t="shared" si="71"/>
        <v>-13.333333333333343</v>
      </c>
      <c r="Q403" s="177">
        <f t="shared" si="72"/>
        <v>-6.0445787684170797E-2</v>
      </c>
    </row>
    <row r="404" spans="2:17" x14ac:dyDescent="0.2">
      <c r="B404" t="s">
        <v>260</v>
      </c>
      <c r="C404">
        <v>257</v>
      </c>
      <c r="D404">
        <v>269</v>
      </c>
      <c r="E404">
        <v>265</v>
      </c>
      <c r="F404">
        <v>244</v>
      </c>
      <c r="G404">
        <v>244</v>
      </c>
      <c r="H404">
        <v>244</v>
      </c>
      <c r="I404">
        <v>244</v>
      </c>
      <c r="J404">
        <v>244</v>
      </c>
      <c r="K404">
        <v>244</v>
      </c>
      <c r="L404">
        <v>244</v>
      </c>
      <c r="M404">
        <v>244</v>
      </c>
      <c r="N404">
        <v>244</v>
      </c>
      <c r="O404" s="173">
        <f t="shared" si="70"/>
        <v>248.91666666666666</v>
      </c>
      <c r="P404" s="173">
        <f t="shared" si="71"/>
        <v>41.666666666666657</v>
      </c>
      <c r="Q404" s="177">
        <f t="shared" si="72"/>
        <v>0.20104543626859667</v>
      </c>
    </row>
    <row r="405" spans="2:17" x14ac:dyDescent="0.2">
      <c r="B405" t="s">
        <v>259</v>
      </c>
      <c r="C405">
        <v>239</v>
      </c>
      <c r="D405">
        <v>224</v>
      </c>
      <c r="E405">
        <v>226</v>
      </c>
      <c r="F405">
        <v>219</v>
      </c>
      <c r="G405">
        <v>227</v>
      </c>
      <c r="H405">
        <v>220</v>
      </c>
      <c r="I405">
        <v>214</v>
      </c>
      <c r="J405">
        <v>214</v>
      </c>
      <c r="K405">
        <v>205</v>
      </c>
      <c r="L405">
        <v>216</v>
      </c>
      <c r="M405">
        <v>210</v>
      </c>
      <c r="N405">
        <v>213</v>
      </c>
      <c r="O405" s="173">
        <f t="shared" si="70"/>
        <v>218.91666666666666</v>
      </c>
      <c r="P405" s="173">
        <f t="shared" si="71"/>
        <v>-30</v>
      </c>
      <c r="Q405" s="177">
        <f t="shared" si="72"/>
        <v>-0.12052226314027453</v>
      </c>
    </row>
    <row r="406" spans="2:17" x14ac:dyDescent="0.2">
      <c r="B406" t="s">
        <v>280</v>
      </c>
      <c r="C406">
        <v>214</v>
      </c>
      <c r="D406">
        <v>211</v>
      </c>
      <c r="E406">
        <v>207</v>
      </c>
      <c r="F406">
        <v>229</v>
      </c>
      <c r="G406">
        <v>243</v>
      </c>
      <c r="H406">
        <v>240</v>
      </c>
      <c r="I406">
        <v>243</v>
      </c>
      <c r="J406">
        <v>245</v>
      </c>
      <c r="K406">
        <v>245</v>
      </c>
      <c r="L406">
        <v>259</v>
      </c>
      <c r="M406">
        <v>261</v>
      </c>
      <c r="N406">
        <v>263</v>
      </c>
      <c r="O406" s="173">
        <f t="shared" si="70"/>
        <v>238.33333333333334</v>
      </c>
      <c r="P406" s="173">
        <f t="shared" si="71"/>
        <v>19.416666666666686</v>
      </c>
      <c r="Q406" s="177">
        <f t="shared" si="72"/>
        <v>8.8694328130947936E-2</v>
      </c>
    </row>
    <row r="407" spans="2:17" x14ac:dyDescent="0.2">
      <c r="B407" t="s">
        <v>290</v>
      </c>
      <c r="C407">
        <v>264</v>
      </c>
      <c r="D407">
        <v>263</v>
      </c>
      <c r="E407">
        <v>264</v>
      </c>
      <c r="F407">
        <v>259</v>
      </c>
      <c r="G407">
        <v>262</v>
      </c>
      <c r="H407">
        <v>259</v>
      </c>
      <c r="I407">
        <v>244</v>
      </c>
      <c r="J407">
        <v>246</v>
      </c>
      <c r="K407">
        <v>253</v>
      </c>
      <c r="L407">
        <v>249</v>
      </c>
      <c r="M407">
        <v>248</v>
      </c>
      <c r="N407">
        <v>256</v>
      </c>
      <c r="O407" s="173">
        <f t="shared" si="70"/>
        <v>255.58333333333334</v>
      </c>
      <c r="P407" s="173">
        <f t="shared" si="71"/>
        <v>17.25</v>
      </c>
      <c r="Q407" s="177">
        <f t="shared" si="72"/>
        <v>7.237762237762238E-2</v>
      </c>
    </row>
    <row r="408" spans="2:17" x14ac:dyDescent="0.2">
      <c r="B408" t="s">
        <v>293</v>
      </c>
      <c r="C408">
        <v>259</v>
      </c>
      <c r="D408">
        <v>269</v>
      </c>
      <c r="E408">
        <v>262</v>
      </c>
      <c r="F408">
        <v>281</v>
      </c>
      <c r="G408">
        <v>292</v>
      </c>
      <c r="H408">
        <v>287</v>
      </c>
      <c r="I408">
        <v>285</v>
      </c>
      <c r="J408">
        <v>271</v>
      </c>
      <c r="K408">
        <v>263</v>
      </c>
      <c r="L408">
        <v>304</v>
      </c>
      <c r="M408">
        <v>301</v>
      </c>
      <c r="N408">
        <v>256</v>
      </c>
      <c r="O408" s="173">
        <f t="shared" si="70"/>
        <v>277.5</v>
      </c>
      <c r="P408" s="173">
        <f t="shared" si="71"/>
        <v>21.916666666666657</v>
      </c>
      <c r="Q408" s="177">
        <f t="shared" si="72"/>
        <v>8.5751548744701617E-2</v>
      </c>
    </row>
    <row r="409" spans="2:17" x14ac:dyDescent="0.2">
      <c r="B409" t="s">
        <v>294</v>
      </c>
      <c r="C409">
        <v>263</v>
      </c>
      <c r="D409">
        <v>269</v>
      </c>
      <c r="E409">
        <v>260</v>
      </c>
      <c r="F409">
        <v>254</v>
      </c>
      <c r="G409">
        <v>247</v>
      </c>
      <c r="H409">
        <v>251</v>
      </c>
      <c r="I409">
        <v>244</v>
      </c>
      <c r="J409">
        <v>235</v>
      </c>
      <c r="K409">
        <v>233</v>
      </c>
      <c r="L409">
        <v>251</v>
      </c>
      <c r="M409">
        <v>278</v>
      </c>
      <c r="N409">
        <v>279</v>
      </c>
      <c r="O409" s="173">
        <f t="shared" si="70"/>
        <v>255.33333333333334</v>
      </c>
      <c r="P409" s="173">
        <f t="shared" si="71"/>
        <v>-22.166666666666657</v>
      </c>
      <c r="Q409" s="177">
        <f t="shared" si="72"/>
        <v>-7.987987987987985E-2</v>
      </c>
    </row>
    <row r="410" spans="2:17" x14ac:dyDescent="0.2">
      <c r="B410" t="s">
        <v>295</v>
      </c>
      <c r="C410">
        <v>271</v>
      </c>
      <c r="D410">
        <v>264</v>
      </c>
      <c r="E410">
        <v>264</v>
      </c>
      <c r="F410">
        <v>265</v>
      </c>
      <c r="G410">
        <v>260</v>
      </c>
      <c r="H410">
        <v>261</v>
      </c>
      <c r="I410">
        <v>266</v>
      </c>
      <c r="J410">
        <v>257</v>
      </c>
      <c r="K410">
        <v>261</v>
      </c>
      <c r="L410">
        <v>270</v>
      </c>
      <c r="M410">
        <v>273</v>
      </c>
      <c r="N410">
        <v>267</v>
      </c>
      <c r="O410" s="173">
        <f t="shared" si="70"/>
        <v>264.91666666666669</v>
      </c>
      <c r="P410" s="173">
        <f t="shared" si="71"/>
        <v>9.5833333333333428</v>
      </c>
      <c r="Q410" s="177">
        <f t="shared" si="72"/>
        <v>3.7532637075718051E-2</v>
      </c>
    </row>
    <row r="411" spans="2:17" x14ac:dyDescent="0.2">
      <c r="B411" t="s">
        <v>335</v>
      </c>
      <c r="C411">
        <v>267</v>
      </c>
      <c r="D411">
        <v>266</v>
      </c>
      <c r="E411">
        <v>268</v>
      </c>
      <c r="F411">
        <v>273</v>
      </c>
      <c r="G411">
        <v>266</v>
      </c>
      <c r="H411">
        <v>255</v>
      </c>
      <c r="I411">
        <v>256</v>
      </c>
      <c r="J411">
        <v>248</v>
      </c>
      <c r="K411">
        <v>253</v>
      </c>
      <c r="L411">
        <v>255</v>
      </c>
      <c r="M411">
        <v>251</v>
      </c>
      <c r="N411">
        <v>255</v>
      </c>
      <c r="O411" s="173">
        <f t="shared" si="70"/>
        <v>259.41666666666669</v>
      </c>
      <c r="P411" s="173">
        <f t="shared" si="71"/>
        <v>-5.5</v>
      </c>
      <c r="Q411" s="177">
        <f t="shared" si="72"/>
        <v>-2.0761245674740483E-2</v>
      </c>
    </row>
    <row r="412" spans="2:17" x14ac:dyDescent="0.2">
      <c r="B412" t="s">
        <v>358</v>
      </c>
      <c r="C412">
        <v>260</v>
      </c>
      <c r="D412">
        <v>250</v>
      </c>
      <c r="E412">
        <v>251</v>
      </c>
      <c r="F412">
        <v>257</v>
      </c>
      <c r="G412">
        <v>258</v>
      </c>
      <c r="H412">
        <v>252</v>
      </c>
      <c r="I412">
        <v>247</v>
      </c>
      <c r="J412">
        <v>244</v>
      </c>
      <c r="K412">
        <v>299</v>
      </c>
      <c r="L412">
        <v>242</v>
      </c>
      <c r="M412">
        <v>246</v>
      </c>
      <c r="N412">
        <v>247</v>
      </c>
      <c r="O412" s="173">
        <f t="shared" si="70"/>
        <v>254.41666666666666</v>
      </c>
      <c r="P412" s="173">
        <f t="shared" si="71"/>
        <v>-5.0000000000000284</v>
      </c>
      <c r="Q412" s="177">
        <f t="shared" si="72"/>
        <v>-1.9274012206874507E-2</v>
      </c>
    </row>
    <row r="413" spans="2:17" x14ac:dyDescent="0.2">
      <c r="B413" t="s">
        <v>437</v>
      </c>
      <c r="C413">
        <v>247</v>
      </c>
      <c r="D413">
        <v>250</v>
      </c>
      <c r="E413">
        <v>259</v>
      </c>
      <c r="F413">
        <v>259</v>
      </c>
      <c r="G413">
        <v>260</v>
      </c>
      <c r="H413">
        <v>269</v>
      </c>
      <c r="I413">
        <v>253</v>
      </c>
      <c r="J413">
        <v>246</v>
      </c>
      <c r="K413">
        <v>259</v>
      </c>
      <c r="L413">
        <v>253</v>
      </c>
      <c r="M413">
        <v>236</v>
      </c>
      <c r="N413">
        <v>227</v>
      </c>
      <c r="O413" s="173">
        <f t="shared" si="70"/>
        <v>251.5</v>
      </c>
      <c r="P413" s="173">
        <f t="shared" si="71"/>
        <v>-2.9166666666666572</v>
      </c>
      <c r="Q413" s="177">
        <f t="shared" si="72"/>
        <v>-1.1464133639043526E-2</v>
      </c>
    </row>
    <row r="414" spans="2:17" x14ac:dyDescent="0.2">
      <c r="B414" t="s">
        <v>471</v>
      </c>
      <c r="C414">
        <v>230</v>
      </c>
      <c r="D414">
        <v>228</v>
      </c>
      <c r="E414">
        <v>245</v>
      </c>
      <c r="F414">
        <v>241</v>
      </c>
      <c r="G414">
        <v>241</v>
      </c>
      <c r="H414">
        <v>233</v>
      </c>
      <c r="I414">
        <v>245</v>
      </c>
      <c r="J414">
        <v>265</v>
      </c>
      <c r="K414">
        <v>258</v>
      </c>
      <c r="L414">
        <v>261</v>
      </c>
      <c r="M414">
        <v>241</v>
      </c>
      <c r="N414">
        <v>231</v>
      </c>
      <c r="O414" s="173">
        <f t="shared" si="70"/>
        <v>243.25</v>
      </c>
      <c r="P414" s="173">
        <f t="shared" si="71"/>
        <v>-8.25</v>
      </c>
      <c r="Q414" s="177">
        <f t="shared" si="72"/>
        <v>-3.2803180914512925E-2</v>
      </c>
    </row>
    <row r="415" spans="2:17" x14ac:dyDescent="0.2">
      <c r="B415" t="s">
        <v>537</v>
      </c>
      <c r="C415">
        <v>265</v>
      </c>
      <c r="D415">
        <v>253</v>
      </c>
      <c r="E415">
        <v>234</v>
      </c>
      <c r="F415">
        <v>254</v>
      </c>
      <c r="G415">
        <v>242</v>
      </c>
      <c r="H415">
        <v>256</v>
      </c>
      <c r="I415">
        <v>262</v>
      </c>
      <c r="J415">
        <v>264</v>
      </c>
      <c r="K415">
        <v>253</v>
      </c>
      <c r="L415">
        <v>262</v>
      </c>
      <c r="M415">
        <v>274</v>
      </c>
      <c r="N415">
        <v>288</v>
      </c>
      <c r="O415" s="173">
        <f t="shared" si="70"/>
        <v>258.91666666666669</v>
      </c>
      <c r="P415" s="173">
        <f t="shared" si="71"/>
        <v>15.666666666666686</v>
      </c>
      <c r="Q415" s="177">
        <f t="shared" si="72"/>
        <v>6.4405618362452968E-2</v>
      </c>
    </row>
    <row r="416" spans="2:17" x14ac:dyDescent="0.2">
      <c r="B416" t="s">
        <v>628</v>
      </c>
      <c r="C416">
        <v>270</v>
      </c>
      <c r="D416">
        <v>256</v>
      </c>
      <c r="E416">
        <v>264</v>
      </c>
      <c r="F416">
        <v>262</v>
      </c>
      <c r="G416">
        <v>273</v>
      </c>
      <c r="H416">
        <v>282</v>
      </c>
      <c r="I416">
        <v>278</v>
      </c>
      <c r="J416">
        <v>289</v>
      </c>
      <c r="K416">
        <v>303</v>
      </c>
      <c r="L416">
        <v>332</v>
      </c>
      <c r="M416">
        <v>335</v>
      </c>
      <c r="N416">
        <v>367</v>
      </c>
      <c r="O416" s="173">
        <f t="shared" si="70"/>
        <v>292.58333333333331</v>
      </c>
      <c r="P416" s="173">
        <f>SUM(O416-O415)</f>
        <v>33.666666666666629</v>
      </c>
      <c r="Q416" s="177">
        <f>SUM(P416/O415)</f>
        <v>0.13002896684905038</v>
      </c>
    </row>
    <row r="417" spans="1:17" x14ac:dyDescent="0.2">
      <c r="B417" t="s">
        <v>629</v>
      </c>
      <c r="C417">
        <v>331</v>
      </c>
      <c r="D417">
        <v>343</v>
      </c>
      <c r="E417">
        <v>340</v>
      </c>
      <c r="F417">
        <v>322</v>
      </c>
      <c r="G417">
        <v>332</v>
      </c>
      <c r="H417">
        <v>340</v>
      </c>
      <c r="I417">
        <v>347</v>
      </c>
      <c r="J417">
        <v>325</v>
      </c>
      <c r="K417">
        <v>319</v>
      </c>
      <c r="L417">
        <v>275</v>
      </c>
      <c r="M417">
        <v>268</v>
      </c>
      <c r="N417">
        <v>268</v>
      </c>
      <c r="O417" s="173">
        <f t="shared" si="70"/>
        <v>317.5</v>
      </c>
      <c r="P417" s="173">
        <f>SUM(O417-O416)</f>
        <v>24.916666666666686</v>
      </c>
      <c r="Q417" s="177">
        <f>SUM(P417/O416)</f>
        <v>8.5160922814013176E-2</v>
      </c>
    </row>
    <row r="418" spans="1:17" x14ac:dyDescent="0.2">
      <c r="O418" s="173"/>
      <c r="P418" s="173"/>
      <c r="Q418" s="177"/>
    </row>
    <row r="419" spans="1:17" x14ac:dyDescent="0.2">
      <c r="A419" s="178"/>
      <c r="B419" s="178"/>
      <c r="C419" s="178"/>
      <c r="D419" s="178"/>
      <c r="E419" s="178"/>
      <c r="F419" s="178"/>
      <c r="G419" s="178"/>
      <c r="H419" s="178"/>
      <c r="I419" s="178"/>
      <c r="J419" s="178"/>
      <c r="K419" s="178"/>
      <c r="L419" s="178"/>
      <c r="M419" s="178"/>
      <c r="N419" s="178"/>
      <c r="O419" s="178"/>
      <c r="P419" s="178"/>
      <c r="Q419" s="178"/>
    </row>
    <row r="420" spans="1:17" ht="25.5" x14ac:dyDescent="0.2">
      <c r="A420" s="175" t="s">
        <v>444</v>
      </c>
      <c r="B420" s="176" t="s">
        <v>418</v>
      </c>
      <c r="C420" s="179" t="s">
        <v>419</v>
      </c>
      <c r="D420" s="179" t="s">
        <v>420</v>
      </c>
      <c r="E420" s="179" t="s">
        <v>421</v>
      </c>
      <c r="F420" s="179" t="s">
        <v>422</v>
      </c>
      <c r="G420" s="179" t="s">
        <v>423</v>
      </c>
      <c r="H420" s="179" t="s">
        <v>424</v>
      </c>
      <c r="I420" s="179" t="s">
        <v>425</v>
      </c>
      <c r="J420" s="179" t="s">
        <v>426</v>
      </c>
      <c r="K420" s="179" t="s">
        <v>427</v>
      </c>
      <c r="L420" s="179" t="s">
        <v>428</v>
      </c>
      <c r="M420" s="179" t="s">
        <v>429</v>
      </c>
      <c r="N420" s="179" t="s">
        <v>430</v>
      </c>
    </row>
    <row r="421" spans="1:17" x14ac:dyDescent="0.2">
      <c r="B421" t="s">
        <v>434</v>
      </c>
      <c r="C421">
        <v>204</v>
      </c>
      <c r="D421">
        <v>210</v>
      </c>
      <c r="E421">
        <v>215</v>
      </c>
      <c r="F421">
        <v>213</v>
      </c>
      <c r="G421">
        <v>212</v>
      </c>
      <c r="H421">
        <v>207</v>
      </c>
      <c r="I421">
        <v>200</v>
      </c>
      <c r="J421">
        <v>199</v>
      </c>
      <c r="K421">
        <v>192</v>
      </c>
      <c r="L421">
        <v>192</v>
      </c>
      <c r="M421">
        <v>181</v>
      </c>
      <c r="N421">
        <v>189</v>
      </c>
      <c r="O421" s="173">
        <f t="shared" ref="O421:O437" si="73">SUM(C421:N421)/12</f>
        <v>201.16666666666666</v>
      </c>
      <c r="P421" s="173"/>
    </row>
    <row r="422" spans="1:17" x14ac:dyDescent="0.2">
      <c r="B422" t="s">
        <v>435</v>
      </c>
      <c r="C422">
        <v>191</v>
      </c>
      <c r="D422">
        <v>194</v>
      </c>
      <c r="E422">
        <v>194</v>
      </c>
      <c r="F422">
        <v>191</v>
      </c>
      <c r="G422">
        <v>191</v>
      </c>
      <c r="H422">
        <v>198</v>
      </c>
      <c r="I422">
        <v>185</v>
      </c>
      <c r="J422">
        <v>192</v>
      </c>
      <c r="K422">
        <v>188</v>
      </c>
      <c r="L422">
        <v>198</v>
      </c>
      <c r="M422">
        <v>203</v>
      </c>
      <c r="N422">
        <v>203</v>
      </c>
      <c r="O422" s="173">
        <f t="shared" si="73"/>
        <v>194</v>
      </c>
      <c r="P422" s="173">
        <f t="shared" ref="P422:P435" si="74">SUM(O422-O421)</f>
        <v>-7.1666666666666572</v>
      </c>
      <c r="Q422" s="177">
        <f t="shared" ref="Q422:Q435" si="75">SUM(P422/O421)</f>
        <v>-3.5625517812758863E-2</v>
      </c>
    </row>
    <row r="423" spans="1:17" x14ac:dyDescent="0.2">
      <c r="B423" t="s">
        <v>436</v>
      </c>
      <c r="C423">
        <v>201</v>
      </c>
      <c r="D423">
        <v>196</v>
      </c>
      <c r="E423">
        <v>198</v>
      </c>
      <c r="F423">
        <v>188</v>
      </c>
      <c r="G423">
        <v>188</v>
      </c>
      <c r="H423">
        <v>192</v>
      </c>
      <c r="I423">
        <v>189</v>
      </c>
      <c r="J423">
        <v>200</v>
      </c>
      <c r="K423">
        <v>219</v>
      </c>
      <c r="L423">
        <v>228</v>
      </c>
      <c r="M423">
        <v>234</v>
      </c>
      <c r="N423">
        <v>237</v>
      </c>
      <c r="O423" s="173">
        <f t="shared" si="73"/>
        <v>205.83333333333334</v>
      </c>
      <c r="P423" s="173">
        <f t="shared" si="74"/>
        <v>11.833333333333343</v>
      </c>
      <c r="Q423" s="177">
        <f t="shared" si="75"/>
        <v>6.0996563573883208E-2</v>
      </c>
    </row>
    <row r="424" spans="1:17" x14ac:dyDescent="0.2">
      <c r="B424" t="s">
        <v>260</v>
      </c>
      <c r="C424">
        <v>246</v>
      </c>
      <c r="D424">
        <v>242</v>
      </c>
      <c r="E424">
        <v>245</v>
      </c>
      <c r="F424">
        <v>245</v>
      </c>
      <c r="G424">
        <v>245</v>
      </c>
      <c r="H424">
        <v>245</v>
      </c>
      <c r="I424">
        <v>245</v>
      </c>
      <c r="J424">
        <v>245</v>
      </c>
      <c r="K424">
        <v>245</v>
      </c>
      <c r="L424">
        <v>245</v>
      </c>
      <c r="M424">
        <v>245</v>
      </c>
      <c r="N424">
        <v>245</v>
      </c>
      <c r="O424" s="173">
        <f t="shared" si="73"/>
        <v>244.83333333333334</v>
      </c>
      <c r="P424" s="173">
        <f t="shared" si="74"/>
        <v>39</v>
      </c>
      <c r="Q424" s="177">
        <f t="shared" si="75"/>
        <v>0.18947368421052629</v>
      </c>
    </row>
    <row r="425" spans="1:17" x14ac:dyDescent="0.2">
      <c r="B425" t="s">
        <v>259</v>
      </c>
      <c r="C425">
        <v>219</v>
      </c>
      <c r="D425">
        <v>239</v>
      </c>
      <c r="E425">
        <v>239</v>
      </c>
      <c r="F425">
        <v>242</v>
      </c>
      <c r="G425">
        <v>237</v>
      </c>
      <c r="H425">
        <v>248</v>
      </c>
      <c r="I425">
        <v>255</v>
      </c>
      <c r="J425">
        <v>262</v>
      </c>
      <c r="K425">
        <v>263</v>
      </c>
      <c r="L425">
        <v>274</v>
      </c>
      <c r="M425">
        <v>266</v>
      </c>
      <c r="N425">
        <v>278</v>
      </c>
      <c r="O425" s="173">
        <f t="shared" si="73"/>
        <v>251.83333333333334</v>
      </c>
      <c r="P425" s="173">
        <f t="shared" si="74"/>
        <v>7</v>
      </c>
      <c r="Q425" s="177">
        <f t="shared" si="75"/>
        <v>2.8590878148400271E-2</v>
      </c>
    </row>
    <row r="426" spans="1:17" x14ac:dyDescent="0.2">
      <c r="B426" t="s">
        <v>280</v>
      </c>
      <c r="C426">
        <v>278</v>
      </c>
      <c r="D426">
        <v>279</v>
      </c>
      <c r="E426">
        <v>277</v>
      </c>
      <c r="F426">
        <v>279</v>
      </c>
      <c r="G426">
        <v>282</v>
      </c>
      <c r="H426">
        <v>282</v>
      </c>
      <c r="I426">
        <v>287</v>
      </c>
      <c r="J426">
        <v>293</v>
      </c>
      <c r="K426">
        <v>299</v>
      </c>
      <c r="L426">
        <v>299</v>
      </c>
      <c r="M426">
        <v>316</v>
      </c>
      <c r="N426">
        <v>325</v>
      </c>
      <c r="O426" s="173">
        <f t="shared" si="73"/>
        <v>291.33333333333331</v>
      </c>
      <c r="P426" s="173">
        <f t="shared" si="74"/>
        <v>39.499999999999972</v>
      </c>
      <c r="Q426" s="177">
        <f t="shared" si="75"/>
        <v>0.15684976836532086</v>
      </c>
    </row>
    <row r="427" spans="1:17" x14ac:dyDescent="0.2">
      <c r="B427" t="s">
        <v>290</v>
      </c>
      <c r="C427">
        <v>335</v>
      </c>
      <c r="D427">
        <v>349</v>
      </c>
      <c r="E427">
        <v>352</v>
      </c>
      <c r="F427">
        <v>352</v>
      </c>
      <c r="G427">
        <v>348</v>
      </c>
      <c r="H427">
        <v>363</v>
      </c>
      <c r="I427">
        <v>362</v>
      </c>
      <c r="J427">
        <v>370</v>
      </c>
      <c r="K427">
        <v>376</v>
      </c>
      <c r="L427">
        <v>393</v>
      </c>
      <c r="M427">
        <v>401</v>
      </c>
      <c r="N427">
        <v>400</v>
      </c>
      <c r="O427" s="173">
        <f t="shared" si="73"/>
        <v>366.75</v>
      </c>
      <c r="P427" s="173">
        <f t="shared" si="74"/>
        <v>75.416666666666686</v>
      </c>
      <c r="Q427" s="177">
        <f t="shared" si="75"/>
        <v>0.25886727688787192</v>
      </c>
    </row>
    <row r="428" spans="1:17" x14ac:dyDescent="0.2">
      <c r="B428" t="s">
        <v>293</v>
      </c>
      <c r="C428">
        <v>397</v>
      </c>
      <c r="D428">
        <v>402</v>
      </c>
      <c r="E428">
        <v>398</v>
      </c>
      <c r="F428">
        <v>408</v>
      </c>
      <c r="G428">
        <v>409</v>
      </c>
      <c r="H428">
        <v>416</v>
      </c>
      <c r="I428">
        <v>415</v>
      </c>
      <c r="J428">
        <v>414</v>
      </c>
      <c r="K428">
        <v>405</v>
      </c>
      <c r="L428">
        <v>486</v>
      </c>
      <c r="M428">
        <v>472</v>
      </c>
      <c r="N428">
        <v>409</v>
      </c>
      <c r="O428" s="173">
        <f t="shared" si="73"/>
        <v>419.25</v>
      </c>
      <c r="P428" s="173">
        <f t="shared" si="74"/>
        <v>52.5</v>
      </c>
      <c r="Q428" s="177">
        <f t="shared" si="75"/>
        <v>0.14314928425357873</v>
      </c>
    </row>
    <row r="429" spans="1:17" x14ac:dyDescent="0.2">
      <c r="B429" t="s">
        <v>294</v>
      </c>
      <c r="C429">
        <v>426</v>
      </c>
      <c r="D429">
        <v>431</v>
      </c>
      <c r="E429">
        <v>506</v>
      </c>
      <c r="F429">
        <v>455</v>
      </c>
      <c r="G429">
        <v>489</v>
      </c>
      <c r="H429">
        <v>513</v>
      </c>
      <c r="I429">
        <v>514</v>
      </c>
      <c r="J429">
        <v>518</v>
      </c>
      <c r="K429">
        <v>505</v>
      </c>
      <c r="L429">
        <v>502</v>
      </c>
      <c r="M429">
        <v>516</v>
      </c>
      <c r="N429">
        <v>530</v>
      </c>
      <c r="O429" s="173">
        <f t="shared" si="73"/>
        <v>492.08333333333331</v>
      </c>
      <c r="P429" s="173">
        <f t="shared" si="74"/>
        <v>72.833333333333314</v>
      </c>
      <c r="Q429" s="177">
        <f t="shared" si="75"/>
        <v>0.17372291790896438</v>
      </c>
    </row>
    <row r="430" spans="1:17" x14ac:dyDescent="0.2">
      <c r="B430" t="s">
        <v>295</v>
      </c>
      <c r="C430">
        <v>482</v>
      </c>
      <c r="D430">
        <v>466</v>
      </c>
      <c r="E430">
        <v>463</v>
      </c>
      <c r="F430">
        <v>466</v>
      </c>
      <c r="G430">
        <v>455</v>
      </c>
      <c r="H430">
        <v>458</v>
      </c>
      <c r="I430">
        <v>448</v>
      </c>
      <c r="J430">
        <v>451</v>
      </c>
      <c r="K430">
        <v>454</v>
      </c>
      <c r="L430">
        <v>449</v>
      </c>
      <c r="M430">
        <v>443</v>
      </c>
      <c r="N430">
        <v>447</v>
      </c>
      <c r="O430" s="173">
        <f t="shared" si="73"/>
        <v>456.83333333333331</v>
      </c>
      <c r="P430" s="173">
        <f t="shared" si="74"/>
        <v>-35.25</v>
      </c>
      <c r="Q430" s="177">
        <f t="shared" si="75"/>
        <v>-7.1634208298052504E-2</v>
      </c>
    </row>
    <row r="431" spans="1:17" x14ac:dyDescent="0.2">
      <c r="B431" t="s">
        <v>335</v>
      </c>
      <c r="C431">
        <v>441</v>
      </c>
      <c r="D431">
        <v>439</v>
      </c>
      <c r="E431">
        <v>439</v>
      </c>
      <c r="F431">
        <v>426</v>
      </c>
      <c r="G431">
        <v>432</v>
      </c>
      <c r="H431">
        <v>465</v>
      </c>
      <c r="I431">
        <v>452</v>
      </c>
      <c r="J431">
        <v>441</v>
      </c>
      <c r="K431">
        <v>443</v>
      </c>
      <c r="L431">
        <v>462</v>
      </c>
      <c r="M431">
        <v>480</v>
      </c>
      <c r="N431">
        <v>467</v>
      </c>
      <c r="O431" s="173">
        <f t="shared" si="73"/>
        <v>448.91666666666669</v>
      </c>
      <c r="P431" s="173">
        <f t="shared" si="74"/>
        <v>-7.9166666666666288</v>
      </c>
      <c r="Q431" s="177">
        <f t="shared" si="75"/>
        <v>-1.7329441809558473E-2</v>
      </c>
    </row>
    <row r="432" spans="1:17" x14ac:dyDescent="0.2">
      <c r="B432" t="s">
        <v>358</v>
      </c>
      <c r="C432">
        <v>465</v>
      </c>
      <c r="D432">
        <v>456</v>
      </c>
      <c r="E432">
        <v>455</v>
      </c>
      <c r="F432">
        <v>464</v>
      </c>
      <c r="G432">
        <v>461</v>
      </c>
      <c r="H432">
        <v>470</v>
      </c>
      <c r="I432">
        <v>443</v>
      </c>
      <c r="J432">
        <v>469</v>
      </c>
      <c r="K432">
        <v>478</v>
      </c>
      <c r="L432">
        <v>471</v>
      </c>
      <c r="M432">
        <v>457</v>
      </c>
      <c r="N432">
        <v>468</v>
      </c>
      <c r="O432" s="173">
        <f t="shared" si="73"/>
        <v>463.08333333333331</v>
      </c>
      <c r="P432" s="173">
        <f t="shared" si="74"/>
        <v>14.166666666666629</v>
      </c>
      <c r="Q432" s="177">
        <f t="shared" si="75"/>
        <v>3.1557453127900419E-2</v>
      </c>
    </row>
    <row r="433" spans="1:17" x14ac:dyDescent="0.2">
      <c r="B433" t="s">
        <v>437</v>
      </c>
      <c r="C433">
        <v>486</v>
      </c>
      <c r="D433">
        <v>496</v>
      </c>
      <c r="E433">
        <v>489</v>
      </c>
      <c r="F433">
        <v>495</v>
      </c>
      <c r="G433">
        <v>495</v>
      </c>
      <c r="H433">
        <v>495</v>
      </c>
      <c r="I433">
        <v>495</v>
      </c>
      <c r="J433">
        <v>500</v>
      </c>
      <c r="K433">
        <v>502</v>
      </c>
      <c r="L433">
        <v>508</v>
      </c>
      <c r="M433">
        <v>497</v>
      </c>
      <c r="N433">
        <v>504</v>
      </c>
      <c r="O433" s="173">
        <f t="shared" si="73"/>
        <v>496.83333333333331</v>
      </c>
      <c r="P433" s="173">
        <f t="shared" si="74"/>
        <v>33.75</v>
      </c>
      <c r="Q433" s="177">
        <f t="shared" si="75"/>
        <v>7.2881050926759047E-2</v>
      </c>
    </row>
    <row r="434" spans="1:17" x14ac:dyDescent="0.2">
      <c r="B434" t="s">
        <v>471</v>
      </c>
      <c r="C434">
        <v>496</v>
      </c>
      <c r="D434">
        <v>494</v>
      </c>
      <c r="E434">
        <v>478</v>
      </c>
      <c r="F434">
        <v>497</v>
      </c>
      <c r="G434">
        <v>499</v>
      </c>
      <c r="H434">
        <v>494</v>
      </c>
      <c r="I434">
        <v>489</v>
      </c>
      <c r="J434">
        <v>495</v>
      </c>
      <c r="K434">
        <v>490</v>
      </c>
      <c r="L434">
        <v>488</v>
      </c>
      <c r="M434">
        <v>497</v>
      </c>
      <c r="N434">
        <v>488</v>
      </c>
      <c r="O434" s="173">
        <f t="shared" si="73"/>
        <v>492.08333333333331</v>
      </c>
      <c r="P434" s="173">
        <f t="shared" si="74"/>
        <v>-4.75</v>
      </c>
      <c r="Q434" s="177">
        <f t="shared" si="75"/>
        <v>-9.5605501509560559E-3</v>
      </c>
    </row>
    <row r="435" spans="1:17" x14ac:dyDescent="0.2">
      <c r="B435" t="s">
        <v>537</v>
      </c>
      <c r="C435">
        <v>487</v>
      </c>
      <c r="D435">
        <v>474</v>
      </c>
      <c r="E435">
        <v>466</v>
      </c>
      <c r="F435">
        <v>470</v>
      </c>
      <c r="G435">
        <v>464</v>
      </c>
      <c r="H435">
        <v>474</v>
      </c>
      <c r="I435">
        <v>469</v>
      </c>
      <c r="J435">
        <v>478</v>
      </c>
      <c r="K435">
        <v>472</v>
      </c>
      <c r="L435">
        <v>468</v>
      </c>
      <c r="M435">
        <v>474</v>
      </c>
      <c r="N435">
        <v>471</v>
      </c>
      <c r="O435" s="173">
        <f t="shared" si="73"/>
        <v>472.25</v>
      </c>
      <c r="P435" s="173">
        <f t="shared" si="74"/>
        <v>-19.833333333333314</v>
      </c>
      <c r="Q435" s="177">
        <f t="shared" si="75"/>
        <v>-4.0304826418289551E-2</v>
      </c>
    </row>
    <row r="436" spans="1:17" x14ac:dyDescent="0.2">
      <c r="B436" t="s">
        <v>628</v>
      </c>
      <c r="C436">
        <v>468</v>
      </c>
      <c r="D436">
        <v>469</v>
      </c>
      <c r="E436">
        <v>451</v>
      </c>
      <c r="F436">
        <v>438</v>
      </c>
      <c r="G436">
        <v>433</v>
      </c>
      <c r="H436">
        <v>425</v>
      </c>
      <c r="I436">
        <v>420</v>
      </c>
      <c r="J436">
        <v>419</v>
      </c>
      <c r="K436">
        <v>418</v>
      </c>
      <c r="L436">
        <v>421</v>
      </c>
      <c r="M436">
        <v>413</v>
      </c>
      <c r="N436">
        <v>411</v>
      </c>
      <c r="O436" s="173">
        <f t="shared" si="73"/>
        <v>432.16666666666669</v>
      </c>
      <c r="P436" s="173">
        <f>SUM(O436-O435)</f>
        <v>-40.083333333333314</v>
      </c>
      <c r="Q436" s="177">
        <f>SUM(P436/O435)</f>
        <v>-8.4877360155284937E-2</v>
      </c>
    </row>
    <row r="437" spans="1:17" x14ac:dyDescent="0.2">
      <c r="B437" t="s">
        <v>629</v>
      </c>
      <c r="C437">
        <v>402</v>
      </c>
      <c r="D437">
        <v>427</v>
      </c>
      <c r="E437">
        <v>427</v>
      </c>
      <c r="F437">
        <v>429</v>
      </c>
      <c r="G437">
        <v>429</v>
      </c>
      <c r="H437">
        <v>433</v>
      </c>
      <c r="I437">
        <v>429</v>
      </c>
      <c r="J437">
        <v>440</v>
      </c>
      <c r="K437">
        <v>435</v>
      </c>
      <c r="L437">
        <v>433</v>
      </c>
      <c r="M437">
        <v>428</v>
      </c>
      <c r="N437">
        <v>425</v>
      </c>
      <c r="O437" s="173">
        <f t="shared" si="73"/>
        <v>428.08333333333331</v>
      </c>
      <c r="P437" s="173">
        <f>SUM(O437-O436)</f>
        <v>-4.0833333333333712</v>
      </c>
      <c r="Q437" s="177">
        <f>SUM(P437/O436)</f>
        <v>-9.4485152333205653E-3</v>
      </c>
    </row>
    <row r="438" spans="1:17" x14ac:dyDescent="0.2">
      <c r="O438" s="173"/>
      <c r="P438" s="173"/>
      <c r="Q438" s="177"/>
    </row>
    <row r="439" spans="1:17" ht="25.5" x14ac:dyDescent="0.2">
      <c r="A439" s="175" t="s">
        <v>445</v>
      </c>
      <c r="B439" s="176" t="s">
        <v>418</v>
      </c>
      <c r="C439" s="179" t="s">
        <v>419</v>
      </c>
      <c r="D439" s="179" t="s">
        <v>420</v>
      </c>
      <c r="E439" s="179" t="s">
        <v>421</v>
      </c>
      <c r="F439" s="179" t="s">
        <v>422</v>
      </c>
      <c r="G439" s="179" t="s">
        <v>423</v>
      </c>
      <c r="H439" s="179" t="s">
        <v>424</v>
      </c>
      <c r="I439" s="179" t="s">
        <v>425</v>
      </c>
      <c r="J439" s="179" t="s">
        <v>426</v>
      </c>
      <c r="K439" s="179" t="s">
        <v>427</v>
      </c>
      <c r="L439" s="179" t="s">
        <v>428</v>
      </c>
      <c r="M439" s="179" t="s">
        <v>429</v>
      </c>
      <c r="N439" s="179" t="s">
        <v>430</v>
      </c>
    </row>
    <row r="440" spans="1:17" x14ac:dyDescent="0.2">
      <c r="B440" t="s">
        <v>434</v>
      </c>
      <c r="C440">
        <v>173</v>
      </c>
      <c r="D440">
        <v>167</v>
      </c>
      <c r="E440">
        <v>163</v>
      </c>
      <c r="F440">
        <v>169</v>
      </c>
      <c r="G440">
        <v>161</v>
      </c>
      <c r="H440">
        <v>164</v>
      </c>
      <c r="I440">
        <v>156</v>
      </c>
      <c r="J440">
        <v>157</v>
      </c>
      <c r="K440">
        <v>148</v>
      </c>
      <c r="L440">
        <v>156</v>
      </c>
      <c r="M440">
        <v>171</v>
      </c>
      <c r="N440">
        <v>177</v>
      </c>
      <c r="O440" s="173">
        <f t="shared" ref="O440:O456" si="76">SUM(C440:N440)/12</f>
        <v>163.5</v>
      </c>
      <c r="P440" s="173"/>
    </row>
    <row r="441" spans="1:17" x14ac:dyDescent="0.2">
      <c r="B441" t="s">
        <v>435</v>
      </c>
      <c r="C441">
        <v>169</v>
      </c>
      <c r="D441">
        <v>160</v>
      </c>
      <c r="E441">
        <v>150</v>
      </c>
      <c r="F441">
        <v>143</v>
      </c>
      <c r="G441">
        <v>143</v>
      </c>
      <c r="H441">
        <v>140</v>
      </c>
      <c r="I441">
        <v>144</v>
      </c>
      <c r="J441">
        <v>152</v>
      </c>
      <c r="K441">
        <v>152</v>
      </c>
      <c r="L441">
        <v>143</v>
      </c>
      <c r="M441">
        <v>151</v>
      </c>
      <c r="N441">
        <v>152</v>
      </c>
      <c r="O441" s="173">
        <f t="shared" si="76"/>
        <v>149.91666666666666</v>
      </c>
      <c r="P441" s="173">
        <f t="shared" ref="P441:P454" si="77">SUM(O441-O440)</f>
        <v>-13.583333333333343</v>
      </c>
      <c r="Q441" s="177">
        <f t="shared" ref="Q441:Q454" si="78">SUM(P441/O440)</f>
        <v>-8.3078491335372123E-2</v>
      </c>
    </row>
    <row r="442" spans="1:17" x14ac:dyDescent="0.2">
      <c r="B442" t="s">
        <v>436</v>
      </c>
      <c r="C442">
        <v>144</v>
      </c>
      <c r="D442">
        <v>141</v>
      </c>
      <c r="E442">
        <v>140</v>
      </c>
      <c r="F442">
        <v>142</v>
      </c>
      <c r="G442">
        <v>138</v>
      </c>
      <c r="H442">
        <v>143</v>
      </c>
      <c r="I442">
        <v>143</v>
      </c>
      <c r="J442">
        <v>152</v>
      </c>
      <c r="K442">
        <v>157</v>
      </c>
      <c r="L442">
        <v>162</v>
      </c>
      <c r="M442">
        <v>167</v>
      </c>
      <c r="N442">
        <v>172</v>
      </c>
      <c r="O442" s="173">
        <f t="shared" si="76"/>
        <v>150.08333333333334</v>
      </c>
      <c r="P442" s="173">
        <f t="shared" si="77"/>
        <v>0.16666666666668561</v>
      </c>
      <c r="Q442" s="177">
        <f t="shared" si="78"/>
        <v>1.1117287381880085E-3</v>
      </c>
    </row>
    <row r="443" spans="1:17" x14ac:dyDescent="0.2">
      <c r="B443" t="s">
        <v>260</v>
      </c>
      <c r="C443">
        <v>175</v>
      </c>
      <c r="D443">
        <v>144</v>
      </c>
      <c r="E443">
        <v>144</v>
      </c>
      <c r="F443">
        <v>144</v>
      </c>
      <c r="G443">
        <v>153</v>
      </c>
      <c r="H443">
        <v>153</v>
      </c>
      <c r="I443">
        <v>153</v>
      </c>
      <c r="J443">
        <v>153</v>
      </c>
      <c r="K443">
        <v>153</v>
      </c>
      <c r="L443">
        <v>162</v>
      </c>
      <c r="M443">
        <v>167</v>
      </c>
      <c r="N443">
        <v>172</v>
      </c>
      <c r="O443" s="173">
        <f t="shared" si="76"/>
        <v>156.08333333333334</v>
      </c>
      <c r="P443" s="173">
        <f t="shared" si="77"/>
        <v>6</v>
      </c>
      <c r="Q443" s="177">
        <f t="shared" si="78"/>
        <v>3.9977790116601887E-2</v>
      </c>
    </row>
    <row r="444" spans="1:17" x14ac:dyDescent="0.2">
      <c r="B444" t="s">
        <v>259</v>
      </c>
      <c r="C444">
        <v>189</v>
      </c>
      <c r="D444">
        <v>147</v>
      </c>
      <c r="E444">
        <v>150</v>
      </c>
      <c r="F444">
        <v>149</v>
      </c>
      <c r="G444">
        <v>143</v>
      </c>
      <c r="H444">
        <v>144</v>
      </c>
      <c r="I444">
        <v>145</v>
      </c>
      <c r="J444">
        <v>150</v>
      </c>
      <c r="K444">
        <v>156</v>
      </c>
      <c r="L444">
        <v>156</v>
      </c>
      <c r="M444">
        <v>137</v>
      </c>
      <c r="N444">
        <v>137</v>
      </c>
      <c r="O444" s="173">
        <f t="shared" si="76"/>
        <v>150.25</v>
      </c>
      <c r="P444" s="173">
        <f t="shared" si="77"/>
        <v>-5.8333333333333428</v>
      </c>
      <c r="Q444" s="177">
        <f t="shared" si="78"/>
        <v>-3.7373198077949872E-2</v>
      </c>
    </row>
    <row r="445" spans="1:17" x14ac:dyDescent="0.2">
      <c r="B445" t="s">
        <v>280</v>
      </c>
      <c r="C445">
        <v>121</v>
      </c>
      <c r="D445">
        <v>120</v>
      </c>
      <c r="E445">
        <v>127</v>
      </c>
      <c r="F445">
        <v>130</v>
      </c>
      <c r="G445">
        <v>134</v>
      </c>
      <c r="H445">
        <v>143</v>
      </c>
      <c r="I445">
        <v>142</v>
      </c>
      <c r="J445">
        <v>138</v>
      </c>
      <c r="K445">
        <v>139</v>
      </c>
      <c r="L445">
        <v>146</v>
      </c>
      <c r="M445">
        <v>148</v>
      </c>
      <c r="N445">
        <v>147</v>
      </c>
      <c r="O445" s="173">
        <f t="shared" si="76"/>
        <v>136.25</v>
      </c>
      <c r="P445" s="173">
        <f t="shared" si="77"/>
        <v>-14</v>
      </c>
      <c r="Q445" s="177">
        <f t="shared" si="78"/>
        <v>-9.3178036605657238E-2</v>
      </c>
    </row>
    <row r="446" spans="1:17" x14ac:dyDescent="0.2">
      <c r="B446" t="s">
        <v>290</v>
      </c>
      <c r="C446">
        <v>146</v>
      </c>
      <c r="D446">
        <v>146</v>
      </c>
      <c r="E446">
        <v>146</v>
      </c>
      <c r="F446">
        <v>152</v>
      </c>
      <c r="G446">
        <v>150</v>
      </c>
      <c r="H446">
        <v>141</v>
      </c>
      <c r="I446">
        <v>136</v>
      </c>
      <c r="J446">
        <v>139</v>
      </c>
      <c r="K446">
        <v>141</v>
      </c>
      <c r="L446">
        <v>149</v>
      </c>
      <c r="M446">
        <v>155</v>
      </c>
      <c r="N446">
        <v>142</v>
      </c>
      <c r="O446" s="173">
        <f t="shared" si="76"/>
        <v>145.25</v>
      </c>
      <c r="P446" s="173">
        <f t="shared" si="77"/>
        <v>9</v>
      </c>
      <c r="Q446" s="177">
        <f t="shared" si="78"/>
        <v>6.6055045871559637E-2</v>
      </c>
    </row>
    <row r="447" spans="1:17" x14ac:dyDescent="0.2">
      <c r="B447" t="s">
        <v>293</v>
      </c>
      <c r="C447">
        <v>148</v>
      </c>
      <c r="D447">
        <v>149</v>
      </c>
      <c r="E447">
        <v>149</v>
      </c>
      <c r="F447">
        <v>151</v>
      </c>
      <c r="G447">
        <v>139</v>
      </c>
      <c r="H447">
        <v>141</v>
      </c>
      <c r="I447">
        <v>136</v>
      </c>
      <c r="J447">
        <v>148</v>
      </c>
      <c r="K447">
        <v>146</v>
      </c>
      <c r="L447">
        <v>210</v>
      </c>
      <c r="M447">
        <v>211</v>
      </c>
      <c r="N447">
        <v>152</v>
      </c>
      <c r="O447" s="173">
        <f t="shared" si="76"/>
        <v>156.66666666666666</v>
      </c>
      <c r="P447" s="173">
        <f t="shared" si="77"/>
        <v>11.416666666666657</v>
      </c>
      <c r="Q447" s="177">
        <f t="shared" si="78"/>
        <v>7.8600114744692987E-2</v>
      </c>
    </row>
    <row r="448" spans="1:17" x14ac:dyDescent="0.2">
      <c r="B448" t="s">
        <v>294</v>
      </c>
      <c r="C448">
        <v>146</v>
      </c>
      <c r="D448">
        <v>150</v>
      </c>
      <c r="E448">
        <v>146</v>
      </c>
      <c r="F448">
        <v>146</v>
      </c>
      <c r="G448">
        <v>114</v>
      </c>
      <c r="H448">
        <v>99</v>
      </c>
      <c r="I448">
        <v>169</v>
      </c>
      <c r="J448">
        <v>145</v>
      </c>
      <c r="K448">
        <v>145</v>
      </c>
      <c r="L448">
        <v>145</v>
      </c>
      <c r="M448">
        <v>139</v>
      </c>
      <c r="N448">
        <v>138</v>
      </c>
      <c r="O448" s="173">
        <f t="shared" si="76"/>
        <v>140.16666666666666</v>
      </c>
      <c r="P448" s="173">
        <f t="shared" si="77"/>
        <v>-16.5</v>
      </c>
      <c r="Q448" s="177">
        <f t="shared" si="78"/>
        <v>-0.10531914893617023</v>
      </c>
    </row>
    <row r="449" spans="1:17" x14ac:dyDescent="0.2">
      <c r="B449" t="s">
        <v>295</v>
      </c>
      <c r="C449">
        <v>133</v>
      </c>
      <c r="D449">
        <v>135</v>
      </c>
      <c r="E449">
        <v>136</v>
      </c>
      <c r="F449">
        <v>143</v>
      </c>
      <c r="G449">
        <v>140</v>
      </c>
      <c r="H449">
        <v>144</v>
      </c>
      <c r="I449">
        <v>145</v>
      </c>
      <c r="J449">
        <v>144</v>
      </c>
      <c r="K449">
        <v>166</v>
      </c>
      <c r="L449">
        <v>162</v>
      </c>
      <c r="M449">
        <v>166</v>
      </c>
      <c r="N449">
        <v>161</v>
      </c>
      <c r="O449" s="173">
        <f t="shared" si="76"/>
        <v>147.91666666666666</v>
      </c>
      <c r="P449" s="173">
        <f t="shared" si="77"/>
        <v>7.75</v>
      </c>
      <c r="Q449" s="177">
        <f t="shared" si="78"/>
        <v>5.5291319857312726E-2</v>
      </c>
    </row>
    <row r="450" spans="1:17" x14ac:dyDescent="0.2">
      <c r="B450" t="s">
        <v>335</v>
      </c>
      <c r="C450">
        <v>159</v>
      </c>
      <c r="D450">
        <v>157</v>
      </c>
      <c r="E450">
        <v>154</v>
      </c>
      <c r="F450">
        <v>156</v>
      </c>
      <c r="G450">
        <v>155</v>
      </c>
      <c r="H450">
        <v>151</v>
      </c>
      <c r="I450">
        <v>152</v>
      </c>
      <c r="J450">
        <v>148</v>
      </c>
      <c r="K450">
        <v>152</v>
      </c>
      <c r="L450">
        <v>155</v>
      </c>
      <c r="M450">
        <v>161</v>
      </c>
      <c r="N450">
        <v>156</v>
      </c>
      <c r="O450" s="173">
        <f t="shared" si="76"/>
        <v>154.66666666666666</v>
      </c>
      <c r="P450" s="173">
        <f t="shared" si="77"/>
        <v>6.75</v>
      </c>
      <c r="Q450" s="177">
        <f t="shared" si="78"/>
        <v>4.5633802816901409E-2</v>
      </c>
    </row>
    <row r="451" spans="1:17" x14ac:dyDescent="0.2">
      <c r="B451" t="s">
        <v>358</v>
      </c>
      <c r="C451">
        <v>150</v>
      </c>
      <c r="D451">
        <v>158</v>
      </c>
      <c r="E451">
        <v>160</v>
      </c>
      <c r="F451">
        <v>142</v>
      </c>
      <c r="G451">
        <v>141</v>
      </c>
      <c r="H451">
        <v>138</v>
      </c>
      <c r="I451">
        <v>139</v>
      </c>
      <c r="J451">
        <v>136</v>
      </c>
      <c r="K451">
        <v>134</v>
      </c>
      <c r="L451">
        <v>142</v>
      </c>
      <c r="M451">
        <v>143</v>
      </c>
      <c r="N451">
        <v>135</v>
      </c>
      <c r="O451" s="173">
        <f t="shared" si="76"/>
        <v>143.16666666666666</v>
      </c>
      <c r="P451" s="173">
        <f t="shared" si="77"/>
        <v>-11.5</v>
      </c>
      <c r="Q451" s="177">
        <f t="shared" si="78"/>
        <v>-7.4353448275862072E-2</v>
      </c>
    </row>
    <row r="452" spans="1:17" x14ac:dyDescent="0.2">
      <c r="B452" t="s">
        <v>437</v>
      </c>
      <c r="C452">
        <v>137</v>
      </c>
      <c r="D452">
        <v>145</v>
      </c>
      <c r="E452">
        <v>146</v>
      </c>
      <c r="F452">
        <v>150</v>
      </c>
      <c r="G452">
        <v>146</v>
      </c>
      <c r="H452">
        <v>138</v>
      </c>
      <c r="I452">
        <v>137</v>
      </c>
      <c r="J452">
        <v>135</v>
      </c>
      <c r="K452">
        <v>138</v>
      </c>
      <c r="L452">
        <v>141</v>
      </c>
      <c r="M452">
        <v>147</v>
      </c>
      <c r="N452">
        <v>140</v>
      </c>
      <c r="O452" s="173">
        <f t="shared" si="76"/>
        <v>141.66666666666666</v>
      </c>
      <c r="P452" s="173">
        <f t="shared" si="77"/>
        <v>-1.5</v>
      </c>
      <c r="Q452" s="177">
        <f t="shared" si="78"/>
        <v>-1.0477299185098952E-2</v>
      </c>
    </row>
    <row r="453" spans="1:17" x14ac:dyDescent="0.2">
      <c r="B453" t="s">
        <v>471</v>
      </c>
      <c r="C453">
        <v>140</v>
      </c>
      <c r="D453">
        <v>137</v>
      </c>
      <c r="E453">
        <v>119</v>
      </c>
      <c r="F453">
        <v>113</v>
      </c>
      <c r="G453">
        <v>111</v>
      </c>
      <c r="H453">
        <v>112</v>
      </c>
      <c r="I453">
        <v>117</v>
      </c>
      <c r="J453">
        <v>109</v>
      </c>
      <c r="K453">
        <v>106</v>
      </c>
      <c r="L453">
        <v>117</v>
      </c>
      <c r="M453">
        <v>122</v>
      </c>
      <c r="N453">
        <v>124</v>
      </c>
      <c r="O453" s="173">
        <f t="shared" si="76"/>
        <v>118.91666666666667</v>
      </c>
      <c r="P453" s="173">
        <f t="shared" si="77"/>
        <v>-22.749999999999986</v>
      </c>
      <c r="Q453" s="177">
        <f t="shared" si="78"/>
        <v>-0.16058823529411756</v>
      </c>
    </row>
    <row r="454" spans="1:17" x14ac:dyDescent="0.2">
      <c r="B454" t="s">
        <v>537</v>
      </c>
      <c r="C454">
        <v>138</v>
      </c>
      <c r="D454">
        <v>145</v>
      </c>
      <c r="E454">
        <v>142</v>
      </c>
      <c r="F454">
        <v>146</v>
      </c>
      <c r="G454">
        <v>148</v>
      </c>
      <c r="H454">
        <v>149</v>
      </c>
      <c r="I454">
        <v>150</v>
      </c>
      <c r="J454">
        <v>147</v>
      </c>
      <c r="K454">
        <v>152</v>
      </c>
      <c r="L454">
        <v>159</v>
      </c>
      <c r="M454">
        <v>160</v>
      </c>
      <c r="N454">
        <v>157</v>
      </c>
      <c r="O454" s="173">
        <f t="shared" si="76"/>
        <v>149.41666666666666</v>
      </c>
      <c r="P454" s="173">
        <f t="shared" si="77"/>
        <v>30.499999999999986</v>
      </c>
      <c r="Q454" s="177">
        <f t="shared" si="78"/>
        <v>0.25648213034337758</v>
      </c>
    </row>
    <row r="455" spans="1:17" x14ac:dyDescent="0.2">
      <c r="B455" t="s">
        <v>628</v>
      </c>
      <c r="C455">
        <v>156</v>
      </c>
      <c r="D455">
        <v>161</v>
      </c>
      <c r="E455">
        <v>163</v>
      </c>
      <c r="F455">
        <v>164</v>
      </c>
      <c r="G455">
        <v>162</v>
      </c>
      <c r="H455">
        <v>158</v>
      </c>
      <c r="I455">
        <v>166</v>
      </c>
      <c r="J455">
        <v>166</v>
      </c>
      <c r="K455">
        <v>170</v>
      </c>
      <c r="L455">
        <v>164</v>
      </c>
      <c r="M455">
        <v>162</v>
      </c>
      <c r="N455">
        <v>160</v>
      </c>
      <c r="O455" s="173">
        <f t="shared" si="76"/>
        <v>162.66666666666666</v>
      </c>
      <c r="P455" s="173">
        <f>SUM(O455-O454)</f>
        <v>13.25</v>
      </c>
      <c r="Q455" s="177">
        <f>SUM(P455/O454)</f>
        <v>8.8678192972671502E-2</v>
      </c>
    </row>
    <row r="456" spans="1:17" x14ac:dyDescent="0.2">
      <c r="B456" t="s">
        <v>629</v>
      </c>
      <c r="C456">
        <v>156</v>
      </c>
      <c r="D456">
        <v>155</v>
      </c>
      <c r="E456">
        <v>149</v>
      </c>
      <c r="F456">
        <v>146</v>
      </c>
      <c r="G456">
        <v>149</v>
      </c>
      <c r="H456">
        <v>151</v>
      </c>
      <c r="I456">
        <v>151</v>
      </c>
      <c r="J456">
        <v>148</v>
      </c>
      <c r="K456">
        <v>155</v>
      </c>
      <c r="L456">
        <v>156</v>
      </c>
      <c r="M456">
        <v>153</v>
      </c>
      <c r="N456">
        <v>154</v>
      </c>
      <c r="O456" s="173">
        <f t="shared" si="76"/>
        <v>151.91666666666666</v>
      </c>
      <c r="P456" s="173">
        <f>SUM(O456-O455)</f>
        <v>-10.75</v>
      </c>
      <c r="Q456" s="177">
        <f>SUM(P456/O455)</f>
        <v>-6.6086065573770489E-2</v>
      </c>
    </row>
    <row r="457" spans="1:17" x14ac:dyDescent="0.2">
      <c r="O457" s="173"/>
      <c r="P457" s="173"/>
      <c r="Q457" s="177"/>
    </row>
    <row r="458" spans="1:17" ht="25.5" x14ac:dyDescent="0.2">
      <c r="A458" s="175" t="s">
        <v>446</v>
      </c>
      <c r="B458" s="176" t="s">
        <v>418</v>
      </c>
      <c r="C458" s="179" t="s">
        <v>419</v>
      </c>
      <c r="D458" s="179" t="s">
        <v>420</v>
      </c>
      <c r="E458" s="179" t="s">
        <v>421</v>
      </c>
      <c r="F458" s="179" t="s">
        <v>422</v>
      </c>
      <c r="G458" s="179" t="s">
        <v>423</v>
      </c>
      <c r="H458" s="179" t="s">
        <v>424</v>
      </c>
      <c r="I458" s="179" t="s">
        <v>425</v>
      </c>
      <c r="J458" s="179" t="s">
        <v>426</v>
      </c>
      <c r="K458" s="179" t="s">
        <v>427</v>
      </c>
      <c r="L458" s="179" t="s">
        <v>428</v>
      </c>
      <c r="M458" s="179" t="s">
        <v>429</v>
      </c>
      <c r="N458" s="179" t="s">
        <v>430</v>
      </c>
    </row>
    <row r="459" spans="1:17" x14ac:dyDescent="0.2">
      <c r="B459" t="s">
        <v>434</v>
      </c>
      <c r="C459">
        <v>88</v>
      </c>
      <c r="D459">
        <v>88</v>
      </c>
      <c r="E459">
        <v>91</v>
      </c>
      <c r="F459">
        <v>89</v>
      </c>
      <c r="G459">
        <v>92</v>
      </c>
      <c r="H459">
        <v>87</v>
      </c>
      <c r="I459">
        <v>92</v>
      </c>
      <c r="J459">
        <v>98</v>
      </c>
      <c r="K459">
        <v>100</v>
      </c>
      <c r="L459">
        <v>101</v>
      </c>
      <c r="M459">
        <v>101</v>
      </c>
      <c r="N459">
        <v>103</v>
      </c>
      <c r="O459" s="173">
        <f t="shared" ref="O459:O467" si="79">SUM(C459:N459)/12</f>
        <v>94.166666666666671</v>
      </c>
      <c r="P459" s="173"/>
    </row>
    <row r="460" spans="1:17" x14ac:dyDescent="0.2">
      <c r="B460" t="s">
        <v>435</v>
      </c>
      <c r="C460">
        <v>99</v>
      </c>
      <c r="D460">
        <v>99</v>
      </c>
      <c r="E460">
        <v>93</v>
      </c>
      <c r="F460">
        <v>96</v>
      </c>
      <c r="G460">
        <v>87</v>
      </c>
      <c r="H460">
        <v>98</v>
      </c>
      <c r="I460">
        <v>92</v>
      </c>
      <c r="J460">
        <v>97</v>
      </c>
      <c r="K460">
        <v>96</v>
      </c>
      <c r="L460">
        <v>96</v>
      </c>
      <c r="M460">
        <v>99</v>
      </c>
      <c r="N460">
        <v>104</v>
      </c>
      <c r="O460" s="173">
        <f t="shared" si="79"/>
        <v>96.333333333333329</v>
      </c>
      <c r="P460" s="173">
        <f t="shared" ref="P460:P473" si="80">SUM(O460-O459)</f>
        <v>2.1666666666666572</v>
      </c>
      <c r="Q460" s="177">
        <f t="shared" ref="Q460:Q473" si="81">SUM(P460/O459)</f>
        <v>2.3008849557522023E-2</v>
      </c>
    </row>
    <row r="461" spans="1:17" x14ac:dyDescent="0.2">
      <c r="B461" t="s">
        <v>436</v>
      </c>
      <c r="C461">
        <v>103</v>
      </c>
      <c r="D461">
        <v>108</v>
      </c>
      <c r="E461">
        <v>99</v>
      </c>
      <c r="F461">
        <v>108</v>
      </c>
      <c r="G461">
        <v>104</v>
      </c>
      <c r="H461">
        <v>89</v>
      </c>
      <c r="I461">
        <v>81</v>
      </c>
      <c r="J461">
        <v>73</v>
      </c>
      <c r="K461">
        <v>71</v>
      </c>
      <c r="L461">
        <v>75</v>
      </c>
      <c r="M461">
        <v>110</v>
      </c>
      <c r="N461">
        <v>120</v>
      </c>
      <c r="O461" s="173">
        <f t="shared" si="79"/>
        <v>95.083333333333329</v>
      </c>
      <c r="P461" s="173">
        <f t="shared" si="80"/>
        <v>-1.25</v>
      </c>
      <c r="Q461" s="177">
        <f t="shared" si="81"/>
        <v>-1.2975778546712804E-2</v>
      </c>
    </row>
    <row r="462" spans="1:17" x14ac:dyDescent="0.2">
      <c r="B462" t="s">
        <v>260</v>
      </c>
      <c r="C462">
        <v>75</v>
      </c>
      <c r="D462">
        <v>134</v>
      </c>
      <c r="E462">
        <v>85</v>
      </c>
      <c r="F462">
        <v>85</v>
      </c>
      <c r="G462">
        <v>86</v>
      </c>
      <c r="H462">
        <v>89</v>
      </c>
      <c r="I462">
        <v>85</v>
      </c>
      <c r="J462">
        <v>85</v>
      </c>
      <c r="K462">
        <v>85</v>
      </c>
      <c r="L462">
        <v>85</v>
      </c>
      <c r="M462">
        <v>85</v>
      </c>
      <c r="N462">
        <v>85</v>
      </c>
      <c r="O462" s="173">
        <f t="shared" si="79"/>
        <v>88.666666666666671</v>
      </c>
      <c r="P462" s="173">
        <f t="shared" si="80"/>
        <v>-6.4166666666666572</v>
      </c>
      <c r="Q462" s="177">
        <f t="shared" si="81"/>
        <v>-6.7484662576687018E-2</v>
      </c>
    </row>
    <row r="463" spans="1:17" x14ac:dyDescent="0.2">
      <c r="B463" t="s">
        <v>259</v>
      </c>
      <c r="C463">
        <v>107</v>
      </c>
      <c r="D463">
        <v>90</v>
      </c>
      <c r="E463">
        <v>90</v>
      </c>
      <c r="F463">
        <v>91</v>
      </c>
      <c r="G463">
        <v>89</v>
      </c>
      <c r="H463">
        <v>89</v>
      </c>
      <c r="I463">
        <v>87</v>
      </c>
      <c r="J463">
        <v>83</v>
      </c>
      <c r="K463">
        <v>79</v>
      </c>
      <c r="L463">
        <v>83</v>
      </c>
      <c r="M463">
        <v>84</v>
      </c>
      <c r="N463">
        <v>86</v>
      </c>
      <c r="O463" s="173">
        <f t="shared" si="79"/>
        <v>88.166666666666671</v>
      </c>
      <c r="P463" s="173">
        <f t="shared" si="80"/>
        <v>-0.5</v>
      </c>
      <c r="Q463" s="177">
        <f t="shared" si="81"/>
        <v>-5.6390977443609019E-3</v>
      </c>
    </row>
    <row r="464" spans="1:17" x14ac:dyDescent="0.2">
      <c r="B464" t="s">
        <v>280</v>
      </c>
      <c r="C464">
        <v>94</v>
      </c>
      <c r="D464">
        <v>94</v>
      </c>
      <c r="E464">
        <v>95</v>
      </c>
      <c r="F464">
        <v>92</v>
      </c>
      <c r="G464">
        <v>92</v>
      </c>
      <c r="H464">
        <v>91</v>
      </c>
      <c r="I464">
        <v>93</v>
      </c>
      <c r="J464">
        <v>90</v>
      </c>
      <c r="K464">
        <v>87</v>
      </c>
      <c r="L464">
        <v>86</v>
      </c>
      <c r="M464">
        <v>86</v>
      </c>
      <c r="N464">
        <v>85</v>
      </c>
      <c r="O464" s="173">
        <f t="shared" si="79"/>
        <v>90.416666666666671</v>
      </c>
      <c r="P464" s="173">
        <f t="shared" si="80"/>
        <v>2.25</v>
      </c>
      <c r="Q464" s="177">
        <f t="shared" si="81"/>
        <v>2.5519848771266538E-2</v>
      </c>
    </row>
    <row r="465" spans="1:17" x14ac:dyDescent="0.2">
      <c r="B465" t="s">
        <v>290</v>
      </c>
      <c r="C465">
        <v>88</v>
      </c>
      <c r="D465">
        <v>90</v>
      </c>
      <c r="E465">
        <v>90</v>
      </c>
      <c r="F465">
        <v>93</v>
      </c>
      <c r="G465">
        <v>90</v>
      </c>
      <c r="H465">
        <v>89</v>
      </c>
      <c r="I465">
        <v>112</v>
      </c>
      <c r="J465">
        <v>108</v>
      </c>
      <c r="K465">
        <v>112</v>
      </c>
      <c r="L465">
        <v>113</v>
      </c>
      <c r="M465">
        <v>109</v>
      </c>
      <c r="N465">
        <v>108</v>
      </c>
      <c r="O465" s="173">
        <f t="shared" si="79"/>
        <v>100.16666666666667</v>
      </c>
      <c r="P465" s="173">
        <f t="shared" si="80"/>
        <v>9.75</v>
      </c>
      <c r="Q465" s="177">
        <f t="shared" si="81"/>
        <v>0.10783410138248847</v>
      </c>
    </row>
    <row r="466" spans="1:17" x14ac:dyDescent="0.2">
      <c r="B466" t="s">
        <v>293</v>
      </c>
      <c r="C466">
        <v>107</v>
      </c>
      <c r="D466">
        <v>106</v>
      </c>
      <c r="E466">
        <v>105</v>
      </c>
      <c r="F466">
        <v>96</v>
      </c>
      <c r="G466">
        <v>99</v>
      </c>
      <c r="H466">
        <v>101</v>
      </c>
      <c r="I466">
        <v>103</v>
      </c>
      <c r="J466">
        <v>103</v>
      </c>
      <c r="K466">
        <v>100</v>
      </c>
      <c r="L466">
        <v>113</v>
      </c>
      <c r="M466">
        <v>118</v>
      </c>
      <c r="N466">
        <v>104</v>
      </c>
      <c r="O466" s="173">
        <f t="shared" si="79"/>
        <v>104.58333333333333</v>
      </c>
      <c r="P466" s="173">
        <f t="shared" si="80"/>
        <v>4.4166666666666572</v>
      </c>
      <c r="Q466" s="177">
        <f t="shared" si="81"/>
        <v>4.4093178036605563E-2</v>
      </c>
    </row>
    <row r="467" spans="1:17" x14ac:dyDescent="0.2">
      <c r="B467" t="s">
        <v>294</v>
      </c>
      <c r="C467">
        <v>106</v>
      </c>
      <c r="D467">
        <v>102</v>
      </c>
      <c r="E467">
        <v>105</v>
      </c>
      <c r="F467">
        <v>103</v>
      </c>
      <c r="G467">
        <v>103</v>
      </c>
      <c r="H467">
        <v>103</v>
      </c>
      <c r="I467">
        <v>99</v>
      </c>
      <c r="J467">
        <v>98</v>
      </c>
      <c r="K467">
        <v>100</v>
      </c>
      <c r="L467">
        <v>101</v>
      </c>
      <c r="M467">
        <v>100</v>
      </c>
      <c r="N467">
        <v>103</v>
      </c>
      <c r="O467" s="173">
        <f t="shared" si="79"/>
        <v>101.91666666666667</v>
      </c>
      <c r="P467" s="173">
        <f t="shared" si="80"/>
        <v>-2.6666666666666572</v>
      </c>
      <c r="Q467" s="177">
        <f t="shared" si="81"/>
        <v>-2.5498007968127401E-2</v>
      </c>
    </row>
    <row r="468" spans="1:17" x14ac:dyDescent="0.2">
      <c r="B468" t="s">
        <v>295</v>
      </c>
      <c r="C468">
        <v>96</v>
      </c>
      <c r="D468">
        <v>95</v>
      </c>
      <c r="E468">
        <v>92</v>
      </c>
      <c r="F468">
        <v>93</v>
      </c>
      <c r="G468">
        <v>90</v>
      </c>
      <c r="H468">
        <v>90</v>
      </c>
      <c r="I468">
        <v>90</v>
      </c>
      <c r="J468">
        <v>90</v>
      </c>
      <c r="K468">
        <v>91</v>
      </c>
      <c r="L468">
        <v>90</v>
      </c>
      <c r="M468">
        <v>75</v>
      </c>
      <c r="N468">
        <v>74</v>
      </c>
      <c r="O468" s="173">
        <f>SUM(C468:N468)/12</f>
        <v>88.833333333333329</v>
      </c>
      <c r="P468" s="173">
        <f t="shared" si="80"/>
        <v>-13.083333333333343</v>
      </c>
      <c r="Q468" s="177">
        <f t="shared" si="81"/>
        <v>-0.12837285363859371</v>
      </c>
    </row>
    <row r="469" spans="1:17" x14ac:dyDescent="0.2">
      <c r="B469" t="s">
        <v>335</v>
      </c>
      <c r="C469">
        <v>73</v>
      </c>
      <c r="D469">
        <v>73</v>
      </c>
      <c r="E469">
        <v>68</v>
      </c>
      <c r="F469">
        <v>69</v>
      </c>
      <c r="G469">
        <v>70</v>
      </c>
      <c r="H469">
        <v>77</v>
      </c>
      <c r="I469">
        <v>71</v>
      </c>
      <c r="J469">
        <v>74</v>
      </c>
      <c r="K469">
        <v>74</v>
      </c>
      <c r="L469">
        <v>72</v>
      </c>
      <c r="N469">
        <v>93</v>
      </c>
      <c r="O469" s="173">
        <f>SUM(C469:N469)/11</f>
        <v>74</v>
      </c>
      <c r="P469" s="173">
        <f t="shared" si="80"/>
        <v>-14.833333333333329</v>
      </c>
      <c r="Q469" s="177">
        <f t="shared" si="81"/>
        <v>-0.16697936210131328</v>
      </c>
    </row>
    <row r="470" spans="1:17" x14ac:dyDescent="0.2">
      <c r="B470" t="s">
        <v>358</v>
      </c>
      <c r="C470">
        <v>95</v>
      </c>
      <c r="D470">
        <v>93</v>
      </c>
      <c r="E470">
        <v>89</v>
      </c>
      <c r="F470">
        <v>84</v>
      </c>
      <c r="G470">
        <v>84</v>
      </c>
      <c r="H470">
        <v>86</v>
      </c>
      <c r="I470">
        <v>87</v>
      </c>
      <c r="J470">
        <v>84</v>
      </c>
      <c r="K470">
        <v>86</v>
      </c>
      <c r="L470">
        <v>89</v>
      </c>
      <c r="M470">
        <v>91</v>
      </c>
      <c r="N470">
        <v>96</v>
      </c>
      <c r="O470" s="173">
        <f t="shared" ref="O470:O475" si="82">SUM(C470:N470)/12</f>
        <v>88.666666666666671</v>
      </c>
      <c r="P470" s="173">
        <f t="shared" si="80"/>
        <v>14.666666666666671</v>
      </c>
      <c r="Q470" s="177">
        <f t="shared" si="81"/>
        <v>0.19819819819819826</v>
      </c>
    </row>
    <row r="471" spans="1:17" x14ac:dyDescent="0.2">
      <c r="B471" t="s">
        <v>437</v>
      </c>
      <c r="C471">
        <v>100</v>
      </c>
      <c r="D471">
        <v>99</v>
      </c>
      <c r="E471">
        <v>98</v>
      </c>
      <c r="F471">
        <v>99</v>
      </c>
      <c r="G471">
        <v>98</v>
      </c>
      <c r="H471">
        <v>99</v>
      </c>
      <c r="I471">
        <v>101</v>
      </c>
      <c r="J471">
        <v>102</v>
      </c>
      <c r="K471">
        <v>101</v>
      </c>
      <c r="L471">
        <v>102</v>
      </c>
      <c r="M471">
        <v>103</v>
      </c>
      <c r="N471">
        <v>107</v>
      </c>
      <c r="O471" s="173">
        <f t="shared" si="82"/>
        <v>100.75</v>
      </c>
      <c r="P471" s="173">
        <f t="shared" si="80"/>
        <v>12.083333333333329</v>
      </c>
      <c r="Q471" s="177">
        <f t="shared" si="81"/>
        <v>0.13627819548872175</v>
      </c>
    </row>
    <row r="472" spans="1:17" x14ac:dyDescent="0.2">
      <c r="B472" t="s">
        <v>471</v>
      </c>
      <c r="C472">
        <v>108</v>
      </c>
      <c r="D472">
        <v>108</v>
      </c>
      <c r="E472">
        <v>109</v>
      </c>
      <c r="F472">
        <v>106</v>
      </c>
      <c r="G472">
        <v>102</v>
      </c>
      <c r="H472">
        <v>100</v>
      </c>
      <c r="I472">
        <v>97</v>
      </c>
      <c r="J472">
        <v>94</v>
      </c>
      <c r="K472">
        <v>98</v>
      </c>
      <c r="L472">
        <v>100</v>
      </c>
      <c r="M472">
        <v>105</v>
      </c>
      <c r="N472">
        <v>101</v>
      </c>
      <c r="O472" s="173">
        <f t="shared" si="82"/>
        <v>102.33333333333333</v>
      </c>
      <c r="P472" s="173">
        <f t="shared" si="80"/>
        <v>1.5833333333333286</v>
      </c>
      <c r="Q472" s="177">
        <f t="shared" si="81"/>
        <v>1.5715467328370508E-2</v>
      </c>
    </row>
    <row r="473" spans="1:17" x14ac:dyDescent="0.2">
      <c r="B473" t="s">
        <v>537</v>
      </c>
      <c r="C473">
        <v>100</v>
      </c>
      <c r="D473">
        <v>100</v>
      </c>
      <c r="E473">
        <v>101</v>
      </c>
      <c r="F473">
        <v>94</v>
      </c>
      <c r="G473">
        <v>95</v>
      </c>
      <c r="H473">
        <v>102</v>
      </c>
      <c r="I473">
        <v>97</v>
      </c>
      <c r="J473">
        <v>96</v>
      </c>
      <c r="K473">
        <v>95</v>
      </c>
      <c r="L473">
        <v>97</v>
      </c>
      <c r="M473">
        <v>98</v>
      </c>
      <c r="N473">
        <v>97</v>
      </c>
      <c r="O473" s="173">
        <f t="shared" si="82"/>
        <v>97.666666666666671</v>
      </c>
      <c r="P473" s="173">
        <f t="shared" si="80"/>
        <v>-4.6666666666666572</v>
      </c>
      <c r="Q473" s="177">
        <f t="shared" si="81"/>
        <v>-4.5602605863192092E-2</v>
      </c>
    </row>
    <row r="474" spans="1:17" x14ac:dyDescent="0.2">
      <c r="B474" t="s">
        <v>628</v>
      </c>
      <c r="C474">
        <v>92</v>
      </c>
      <c r="D474">
        <v>97</v>
      </c>
      <c r="E474">
        <v>96</v>
      </c>
      <c r="F474">
        <v>95</v>
      </c>
      <c r="G474">
        <v>94</v>
      </c>
      <c r="H474">
        <v>93</v>
      </c>
      <c r="I474">
        <v>92</v>
      </c>
      <c r="J474">
        <v>94</v>
      </c>
      <c r="K474">
        <v>96</v>
      </c>
      <c r="L474">
        <v>90</v>
      </c>
      <c r="M474">
        <v>89</v>
      </c>
      <c r="N474">
        <v>85</v>
      </c>
      <c r="O474" s="173">
        <f t="shared" si="82"/>
        <v>92.75</v>
      </c>
      <c r="P474" s="173">
        <f>SUM(O474-O473)</f>
        <v>-4.9166666666666714</v>
      </c>
      <c r="Q474" s="177">
        <f>SUM(P474/O473)</f>
        <v>-5.0341296928327693E-2</v>
      </c>
    </row>
    <row r="475" spans="1:17" x14ac:dyDescent="0.2">
      <c r="B475" t="s">
        <v>629</v>
      </c>
      <c r="C475">
        <v>84</v>
      </c>
      <c r="D475">
        <v>85</v>
      </c>
      <c r="E475">
        <v>82</v>
      </c>
      <c r="F475">
        <v>86</v>
      </c>
      <c r="G475">
        <v>87</v>
      </c>
      <c r="H475">
        <v>88</v>
      </c>
      <c r="I475">
        <v>89</v>
      </c>
      <c r="J475">
        <v>89</v>
      </c>
      <c r="K475">
        <v>90</v>
      </c>
      <c r="L475">
        <v>88</v>
      </c>
      <c r="M475">
        <v>90</v>
      </c>
      <c r="N475">
        <v>90</v>
      </c>
      <c r="O475" s="173">
        <f t="shared" si="82"/>
        <v>87.333333333333329</v>
      </c>
      <c r="P475" s="173">
        <f>SUM(O475-O474)</f>
        <v>-5.4166666666666714</v>
      </c>
      <c r="Q475" s="177">
        <f>SUM(P475/O474)</f>
        <v>-5.8400718778077322E-2</v>
      </c>
    </row>
    <row r="476" spans="1:17" x14ac:dyDescent="0.2">
      <c r="O476" s="173"/>
      <c r="P476" s="173"/>
      <c r="Q476" s="177"/>
    </row>
    <row r="477" spans="1:17" x14ac:dyDescent="0.2">
      <c r="A477" s="178"/>
      <c r="B477" s="178"/>
      <c r="C477" s="178"/>
      <c r="D477" s="178"/>
      <c r="E477" s="178"/>
      <c r="F477" s="178"/>
      <c r="G477" s="178"/>
      <c r="H477" s="178"/>
      <c r="I477" s="178"/>
      <c r="J477" s="178"/>
      <c r="K477" s="178"/>
      <c r="L477" s="178"/>
      <c r="M477" s="178"/>
      <c r="N477" s="178"/>
      <c r="O477" s="178"/>
      <c r="P477" s="178"/>
      <c r="Q477" s="178"/>
    </row>
    <row r="478" spans="1:17" ht="25.5" x14ac:dyDescent="0.2">
      <c r="A478" s="175" t="s">
        <v>447</v>
      </c>
      <c r="B478" s="176" t="s">
        <v>418</v>
      </c>
      <c r="C478" s="179" t="s">
        <v>419</v>
      </c>
      <c r="D478" s="179" t="s">
        <v>420</v>
      </c>
      <c r="E478" s="179" t="s">
        <v>421</v>
      </c>
      <c r="F478" s="179" t="s">
        <v>422</v>
      </c>
      <c r="G478" s="179" t="s">
        <v>423</v>
      </c>
      <c r="H478" s="179" t="s">
        <v>424</v>
      </c>
      <c r="I478" s="179" t="s">
        <v>425</v>
      </c>
      <c r="J478" s="179" t="s">
        <v>426</v>
      </c>
      <c r="K478" s="179" t="s">
        <v>427</v>
      </c>
      <c r="L478" s="179" t="s">
        <v>428</v>
      </c>
      <c r="M478" s="179" t="s">
        <v>429</v>
      </c>
      <c r="N478" s="179" t="s">
        <v>430</v>
      </c>
    </row>
    <row r="479" spans="1:17" x14ac:dyDescent="0.2">
      <c r="B479" t="s">
        <v>434</v>
      </c>
      <c r="C479">
        <v>69</v>
      </c>
      <c r="D479">
        <v>69</v>
      </c>
      <c r="E479">
        <v>69</v>
      </c>
      <c r="F479">
        <v>69</v>
      </c>
      <c r="G479">
        <v>56</v>
      </c>
      <c r="H479">
        <v>58</v>
      </c>
      <c r="I479">
        <v>57</v>
      </c>
      <c r="J479">
        <v>58</v>
      </c>
      <c r="K479">
        <v>56</v>
      </c>
      <c r="L479">
        <v>62</v>
      </c>
      <c r="M479">
        <v>57</v>
      </c>
      <c r="N479">
        <v>58</v>
      </c>
      <c r="O479" s="173">
        <f t="shared" ref="O479:O495" si="83">SUM(C479:N479)/12</f>
        <v>61.5</v>
      </c>
      <c r="P479" s="173"/>
    </row>
    <row r="480" spans="1:17" x14ac:dyDescent="0.2">
      <c r="B480" t="s">
        <v>435</v>
      </c>
      <c r="C480">
        <v>52</v>
      </c>
      <c r="D480">
        <v>56</v>
      </c>
      <c r="E480">
        <v>51</v>
      </c>
      <c r="F480">
        <v>57</v>
      </c>
      <c r="G480">
        <v>60</v>
      </c>
      <c r="H480">
        <v>58</v>
      </c>
      <c r="I480">
        <v>62</v>
      </c>
      <c r="J480">
        <v>63</v>
      </c>
      <c r="K480">
        <v>59</v>
      </c>
      <c r="L480">
        <v>59</v>
      </c>
      <c r="M480">
        <v>62</v>
      </c>
      <c r="N480">
        <v>60</v>
      </c>
      <c r="O480" s="173">
        <f t="shared" si="83"/>
        <v>58.25</v>
      </c>
      <c r="P480" s="173">
        <f t="shared" ref="P480:P493" si="84">SUM(O480-O479)</f>
        <v>-3.25</v>
      </c>
      <c r="Q480" s="177">
        <f t="shared" ref="Q480:Q493" si="85">SUM(P480/O479)</f>
        <v>-5.2845528455284556E-2</v>
      </c>
    </row>
    <row r="481" spans="2:17" x14ac:dyDescent="0.2">
      <c r="B481" t="s">
        <v>436</v>
      </c>
      <c r="C481">
        <v>60</v>
      </c>
      <c r="D481">
        <v>55</v>
      </c>
      <c r="E481">
        <v>57</v>
      </c>
      <c r="F481">
        <v>55</v>
      </c>
      <c r="G481">
        <v>55</v>
      </c>
      <c r="H481">
        <v>52</v>
      </c>
      <c r="I481">
        <v>60</v>
      </c>
      <c r="J481">
        <v>72</v>
      </c>
      <c r="K481">
        <v>77</v>
      </c>
      <c r="L481">
        <v>82</v>
      </c>
      <c r="M481">
        <v>87</v>
      </c>
      <c r="N481">
        <v>92</v>
      </c>
      <c r="O481" s="173">
        <f t="shared" si="83"/>
        <v>67</v>
      </c>
      <c r="P481" s="173">
        <f t="shared" si="84"/>
        <v>8.75</v>
      </c>
      <c r="Q481" s="177">
        <f t="shared" si="85"/>
        <v>0.15021459227467812</v>
      </c>
    </row>
    <row r="482" spans="2:17" x14ac:dyDescent="0.2">
      <c r="B482" t="s">
        <v>260</v>
      </c>
      <c r="C482">
        <v>87</v>
      </c>
      <c r="D482">
        <v>86</v>
      </c>
      <c r="E482">
        <v>88</v>
      </c>
      <c r="F482">
        <v>86</v>
      </c>
      <c r="G482">
        <v>86</v>
      </c>
      <c r="H482">
        <v>86</v>
      </c>
      <c r="I482">
        <v>86</v>
      </c>
      <c r="J482">
        <v>86</v>
      </c>
      <c r="K482">
        <v>86</v>
      </c>
      <c r="L482">
        <v>86</v>
      </c>
      <c r="M482">
        <v>86</v>
      </c>
      <c r="N482">
        <v>86</v>
      </c>
      <c r="O482" s="173">
        <f t="shared" si="83"/>
        <v>86.25</v>
      </c>
      <c r="P482" s="173">
        <f t="shared" si="84"/>
        <v>19.25</v>
      </c>
      <c r="Q482" s="177">
        <f t="shared" si="85"/>
        <v>0.28731343283582089</v>
      </c>
    </row>
    <row r="483" spans="2:17" x14ac:dyDescent="0.2">
      <c r="B483" t="s">
        <v>259</v>
      </c>
      <c r="C483">
        <v>93</v>
      </c>
      <c r="D483">
        <v>80</v>
      </c>
      <c r="E483">
        <v>78</v>
      </c>
      <c r="F483">
        <v>78</v>
      </c>
      <c r="G483">
        <v>84</v>
      </c>
      <c r="H483">
        <v>90</v>
      </c>
      <c r="I483">
        <v>88</v>
      </c>
      <c r="J483">
        <v>92</v>
      </c>
      <c r="K483">
        <v>94</v>
      </c>
      <c r="L483">
        <v>84</v>
      </c>
      <c r="M483">
        <v>84</v>
      </c>
      <c r="N483">
        <v>85</v>
      </c>
      <c r="O483" s="173">
        <f t="shared" si="83"/>
        <v>85.833333333333329</v>
      </c>
      <c r="P483" s="173">
        <f t="shared" si="84"/>
        <v>-0.4166666666666714</v>
      </c>
      <c r="Q483" s="177">
        <f t="shared" si="85"/>
        <v>-4.8309178743961905E-3</v>
      </c>
    </row>
    <row r="484" spans="2:17" x14ac:dyDescent="0.2">
      <c r="B484" t="s">
        <v>280</v>
      </c>
      <c r="C484">
        <v>80</v>
      </c>
      <c r="D484">
        <v>84</v>
      </c>
      <c r="E484">
        <v>85</v>
      </c>
      <c r="F484">
        <v>88</v>
      </c>
      <c r="G484">
        <v>90</v>
      </c>
      <c r="H484">
        <v>95</v>
      </c>
      <c r="I484">
        <v>101</v>
      </c>
      <c r="J484">
        <v>94</v>
      </c>
      <c r="K484">
        <v>90</v>
      </c>
      <c r="L484">
        <v>93</v>
      </c>
      <c r="M484">
        <v>101</v>
      </c>
      <c r="N484">
        <v>107</v>
      </c>
      <c r="O484" s="173">
        <f t="shared" si="83"/>
        <v>92.333333333333329</v>
      </c>
      <c r="P484" s="173">
        <f t="shared" si="84"/>
        <v>6.5</v>
      </c>
      <c r="Q484" s="177">
        <f t="shared" si="85"/>
        <v>7.5728155339805828E-2</v>
      </c>
    </row>
    <row r="485" spans="2:17" x14ac:dyDescent="0.2">
      <c r="B485" t="s">
        <v>290</v>
      </c>
      <c r="C485">
        <v>112</v>
      </c>
      <c r="D485">
        <v>110</v>
      </c>
      <c r="E485">
        <v>108</v>
      </c>
      <c r="F485">
        <v>113</v>
      </c>
      <c r="G485">
        <v>112</v>
      </c>
      <c r="H485">
        <v>108</v>
      </c>
      <c r="I485">
        <v>107</v>
      </c>
      <c r="J485">
        <v>123</v>
      </c>
      <c r="K485">
        <v>114</v>
      </c>
      <c r="L485">
        <v>116</v>
      </c>
      <c r="M485">
        <v>117</v>
      </c>
      <c r="N485">
        <v>121</v>
      </c>
      <c r="O485" s="173">
        <f t="shared" si="83"/>
        <v>113.41666666666667</v>
      </c>
      <c r="P485" s="173">
        <f t="shared" si="84"/>
        <v>21.083333333333343</v>
      </c>
      <c r="Q485" s="177">
        <f t="shared" si="85"/>
        <v>0.22833935018050552</v>
      </c>
    </row>
    <row r="486" spans="2:17" x14ac:dyDescent="0.2">
      <c r="B486" t="s">
        <v>293</v>
      </c>
      <c r="C486">
        <v>121</v>
      </c>
      <c r="D486">
        <v>122</v>
      </c>
      <c r="E486">
        <v>122</v>
      </c>
      <c r="F486">
        <v>126</v>
      </c>
      <c r="G486">
        <v>124</v>
      </c>
      <c r="H486">
        <v>122</v>
      </c>
      <c r="I486">
        <v>124</v>
      </c>
      <c r="J486">
        <v>122</v>
      </c>
      <c r="K486">
        <v>121</v>
      </c>
      <c r="L486">
        <v>115</v>
      </c>
      <c r="M486">
        <v>114</v>
      </c>
      <c r="N486">
        <v>121</v>
      </c>
      <c r="O486" s="173">
        <f t="shared" si="83"/>
        <v>121.16666666666667</v>
      </c>
      <c r="P486" s="173">
        <f t="shared" si="84"/>
        <v>7.75</v>
      </c>
      <c r="Q486" s="177">
        <f t="shared" si="85"/>
        <v>6.8332108743570902E-2</v>
      </c>
    </row>
    <row r="487" spans="2:17" x14ac:dyDescent="0.2">
      <c r="B487" t="s">
        <v>294</v>
      </c>
      <c r="C487">
        <v>99</v>
      </c>
      <c r="D487">
        <v>100</v>
      </c>
      <c r="E487">
        <v>107</v>
      </c>
      <c r="F487">
        <v>104</v>
      </c>
      <c r="G487">
        <v>103</v>
      </c>
      <c r="H487">
        <v>100</v>
      </c>
      <c r="I487">
        <v>101</v>
      </c>
      <c r="J487">
        <v>98</v>
      </c>
      <c r="K487">
        <v>92</v>
      </c>
      <c r="L487">
        <v>85</v>
      </c>
      <c r="M487">
        <v>92</v>
      </c>
      <c r="N487">
        <v>88</v>
      </c>
      <c r="O487" s="173">
        <f t="shared" si="83"/>
        <v>97.416666666666671</v>
      </c>
      <c r="P487" s="173">
        <f t="shared" si="84"/>
        <v>-23.75</v>
      </c>
      <c r="Q487" s="177">
        <f t="shared" si="85"/>
        <v>-0.19601100412654746</v>
      </c>
    </row>
    <row r="488" spans="2:17" x14ac:dyDescent="0.2">
      <c r="B488" t="s">
        <v>295</v>
      </c>
      <c r="C488">
        <v>79</v>
      </c>
      <c r="D488">
        <v>82</v>
      </c>
      <c r="E488">
        <v>82</v>
      </c>
      <c r="F488">
        <v>78</v>
      </c>
      <c r="G488">
        <v>79</v>
      </c>
      <c r="H488">
        <v>83</v>
      </c>
      <c r="I488">
        <v>84</v>
      </c>
      <c r="J488">
        <v>90</v>
      </c>
      <c r="K488">
        <v>95</v>
      </c>
      <c r="L488">
        <v>94</v>
      </c>
      <c r="M488">
        <v>94</v>
      </c>
      <c r="N488">
        <v>72</v>
      </c>
      <c r="O488" s="173">
        <f t="shared" si="83"/>
        <v>84.333333333333329</v>
      </c>
      <c r="P488" s="173">
        <f t="shared" si="84"/>
        <v>-13.083333333333343</v>
      </c>
      <c r="Q488" s="177">
        <f t="shared" si="85"/>
        <v>-0.13430282292557752</v>
      </c>
    </row>
    <row r="489" spans="2:17" x14ac:dyDescent="0.2">
      <c r="B489" t="s">
        <v>335</v>
      </c>
      <c r="C489">
        <v>84</v>
      </c>
      <c r="D489">
        <v>87</v>
      </c>
      <c r="E489">
        <v>92</v>
      </c>
      <c r="F489">
        <v>97</v>
      </c>
      <c r="G489">
        <v>101</v>
      </c>
      <c r="H489">
        <v>100</v>
      </c>
      <c r="I489">
        <v>85</v>
      </c>
      <c r="J489">
        <v>86</v>
      </c>
      <c r="K489">
        <v>90</v>
      </c>
      <c r="L489">
        <v>89</v>
      </c>
      <c r="M489">
        <v>83</v>
      </c>
      <c r="N489">
        <v>82</v>
      </c>
      <c r="O489" s="173">
        <f t="shared" si="83"/>
        <v>89.666666666666671</v>
      </c>
      <c r="P489" s="173">
        <f t="shared" si="84"/>
        <v>5.3333333333333428</v>
      </c>
      <c r="Q489" s="177">
        <f t="shared" si="85"/>
        <v>6.324110671936771E-2</v>
      </c>
    </row>
    <row r="490" spans="2:17" x14ac:dyDescent="0.2">
      <c r="B490" t="s">
        <v>358</v>
      </c>
      <c r="C490">
        <v>87</v>
      </c>
      <c r="D490">
        <v>86</v>
      </c>
      <c r="E490">
        <v>87</v>
      </c>
      <c r="F490">
        <v>77</v>
      </c>
      <c r="G490">
        <v>76</v>
      </c>
      <c r="H490">
        <v>73</v>
      </c>
      <c r="I490">
        <v>69</v>
      </c>
      <c r="J490">
        <v>75</v>
      </c>
      <c r="K490">
        <v>74</v>
      </c>
      <c r="L490">
        <v>74</v>
      </c>
      <c r="M490">
        <v>72</v>
      </c>
      <c r="N490">
        <v>73</v>
      </c>
      <c r="O490" s="173">
        <f t="shared" si="83"/>
        <v>76.916666666666671</v>
      </c>
      <c r="P490" s="173">
        <f t="shared" si="84"/>
        <v>-12.75</v>
      </c>
      <c r="Q490" s="177">
        <f t="shared" si="85"/>
        <v>-0.14219330855018586</v>
      </c>
    </row>
    <row r="491" spans="2:17" x14ac:dyDescent="0.2">
      <c r="B491" t="s">
        <v>437</v>
      </c>
      <c r="C491">
        <v>74</v>
      </c>
      <c r="D491">
        <v>71</v>
      </c>
      <c r="E491">
        <v>77</v>
      </c>
      <c r="F491">
        <v>76</v>
      </c>
      <c r="G491">
        <v>78</v>
      </c>
      <c r="H491">
        <v>71</v>
      </c>
      <c r="I491">
        <v>69</v>
      </c>
      <c r="J491">
        <v>64</v>
      </c>
      <c r="K491">
        <v>62</v>
      </c>
      <c r="L491">
        <v>55</v>
      </c>
      <c r="M491">
        <v>55</v>
      </c>
      <c r="N491">
        <v>54</v>
      </c>
      <c r="O491" s="173">
        <f t="shared" si="83"/>
        <v>67.166666666666671</v>
      </c>
      <c r="P491" s="173">
        <f t="shared" si="84"/>
        <v>-9.75</v>
      </c>
      <c r="Q491" s="177">
        <f t="shared" si="85"/>
        <v>-0.12676056338028169</v>
      </c>
    </row>
    <row r="492" spans="2:17" x14ac:dyDescent="0.2">
      <c r="B492" t="s">
        <v>471</v>
      </c>
      <c r="C492">
        <v>59</v>
      </c>
      <c r="D492">
        <v>57</v>
      </c>
      <c r="E492">
        <v>54</v>
      </c>
      <c r="F492">
        <v>53</v>
      </c>
      <c r="G492">
        <v>56</v>
      </c>
      <c r="H492">
        <v>62</v>
      </c>
      <c r="I492">
        <v>55</v>
      </c>
      <c r="J492">
        <v>50</v>
      </c>
      <c r="K492">
        <v>49</v>
      </c>
      <c r="L492">
        <v>51</v>
      </c>
      <c r="M492">
        <v>52</v>
      </c>
      <c r="N492">
        <v>50</v>
      </c>
      <c r="O492" s="173">
        <f t="shared" si="83"/>
        <v>54</v>
      </c>
      <c r="P492" s="173">
        <f t="shared" si="84"/>
        <v>-13.166666666666671</v>
      </c>
      <c r="Q492" s="177">
        <f t="shared" si="85"/>
        <v>-0.19602977667493801</v>
      </c>
    </row>
    <row r="493" spans="2:17" x14ac:dyDescent="0.2">
      <c r="B493" t="s">
        <v>537</v>
      </c>
      <c r="C493">
        <v>54</v>
      </c>
      <c r="D493">
        <v>57</v>
      </c>
      <c r="E493">
        <v>63</v>
      </c>
      <c r="F493">
        <v>64</v>
      </c>
      <c r="G493">
        <v>67</v>
      </c>
      <c r="H493">
        <v>65</v>
      </c>
      <c r="I493">
        <v>65</v>
      </c>
      <c r="J493">
        <v>65</v>
      </c>
      <c r="K493">
        <v>67</v>
      </c>
      <c r="L493">
        <v>66</v>
      </c>
      <c r="M493">
        <v>66</v>
      </c>
      <c r="N493">
        <v>69</v>
      </c>
      <c r="O493" s="173">
        <f t="shared" si="83"/>
        <v>64</v>
      </c>
      <c r="P493" s="173">
        <f t="shared" si="84"/>
        <v>10</v>
      </c>
      <c r="Q493" s="177">
        <f t="shared" si="85"/>
        <v>0.18518518518518517</v>
      </c>
    </row>
    <row r="494" spans="2:17" x14ac:dyDescent="0.2">
      <c r="B494" t="s">
        <v>628</v>
      </c>
      <c r="C494">
        <v>65</v>
      </c>
      <c r="D494">
        <v>59</v>
      </c>
      <c r="E494">
        <v>54</v>
      </c>
      <c r="F494">
        <v>55</v>
      </c>
      <c r="G494">
        <v>55</v>
      </c>
      <c r="H494">
        <v>58</v>
      </c>
      <c r="I494">
        <v>57</v>
      </c>
      <c r="J494">
        <v>57</v>
      </c>
      <c r="K494">
        <v>58</v>
      </c>
      <c r="L494">
        <v>58</v>
      </c>
      <c r="M494">
        <v>67</v>
      </c>
      <c r="N494">
        <v>66</v>
      </c>
      <c r="O494" s="173">
        <f t="shared" si="83"/>
        <v>59.083333333333336</v>
      </c>
      <c r="P494" s="173">
        <f>SUM(O494-O493)</f>
        <v>-4.9166666666666643</v>
      </c>
      <c r="Q494" s="177">
        <f>SUM(P494/O493)</f>
        <v>-7.682291666666663E-2</v>
      </c>
    </row>
    <row r="495" spans="2:17" x14ac:dyDescent="0.2">
      <c r="B495" t="s">
        <v>629</v>
      </c>
      <c r="C495">
        <v>66</v>
      </c>
      <c r="D495">
        <v>61</v>
      </c>
      <c r="E495">
        <v>46</v>
      </c>
      <c r="F495">
        <v>43</v>
      </c>
      <c r="G495">
        <v>41</v>
      </c>
      <c r="H495">
        <v>37</v>
      </c>
      <c r="I495">
        <v>40</v>
      </c>
      <c r="J495">
        <v>39</v>
      </c>
      <c r="K495">
        <v>38</v>
      </c>
      <c r="L495">
        <v>37</v>
      </c>
      <c r="M495">
        <v>37</v>
      </c>
      <c r="N495">
        <v>34</v>
      </c>
      <c r="O495" s="173">
        <f t="shared" si="83"/>
        <v>43.25</v>
      </c>
      <c r="P495" s="173">
        <f>SUM(O495-O494)</f>
        <v>-15.833333333333336</v>
      </c>
      <c r="Q495" s="177">
        <f>SUM(P495/O494)</f>
        <v>-0.26798307475317351</v>
      </c>
    </row>
    <row r="496" spans="2:17" x14ac:dyDescent="0.2">
      <c r="O496" s="173"/>
      <c r="P496" s="173"/>
      <c r="Q496" s="177"/>
    </row>
    <row r="497" spans="1:17" ht="25.5" x14ac:dyDescent="0.2">
      <c r="A497" s="175" t="s">
        <v>448</v>
      </c>
      <c r="B497" s="176" t="s">
        <v>418</v>
      </c>
      <c r="C497" s="179" t="s">
        <v>419</v>
      </c>
      <c r="D497" s="179" t="s">
        <v>420</v>
      </c>
      <c r="E497" s="179" t="s">
        <v>421</v>
      </c>
      <c r="F497" s="179" t="s">
        <v>422</v>
      </c>
      <c r="G497" s="179" t="s">
        <v>423</v>
      </c>
      <c r="H497" s="179" t="s">
        <v>424</v>
      </c>
      <c r="I497" s="179" t="s">
        <v>425</v>
      </c>
      <c r="J497" s="179" t="s">
        <v>426</v>
      </c>
      <c r="K497" s="179" t="s">
        <v>427</v>
      </c>
      <c r="L497" s="179" t="s">
        <v>428</v>
      </c>
      <c r="M497" s="179" t="s">
        <v>429</v>
      </c>
      <c r="N497" s="179" t="s">
        <v>430</v>
      </c>
    </row>
    <row r="498" spans="1:17" x14ac:dyDescent="0.2">
      <c r="B498" t="s">
        <v>434</v>
      </c>
      <c r="C498">
        <v>92</v>
      </c>
      <c r="D498">
        <v>91</v>
      </c>
      <c r="E498">
        <v>97</v>
      </c>
      <c r="F498">
        <v>94</v>
      </c>
      <c r="G498">
        <v>87</v>
      </c>
      <c r="H498">
        <v>85</v>
      </c>
      <c r="I498">
        <v>91</v>
      </c>
      <c r="J498">
        <v>89</v>
      </c>
      <c r="K498">
        <v>92</v>
      </c>
      <c r="L498">
        <v>92</v>
      </c>
      <c r="M498">
        <v>94</v>
      </c>
      <c r="N498">
        <v>92</v>
      </c>
      <c r="O498" s="173">
        <f t="shared" ref="O498:O514" si="86">SUM(C498:N498)/12</f>
        <v>91.333333333333329</v>
      </c>
      <c r="P498" s="173"/>
    </row>
    <row r="499" spans="1:17" x14ac:dyDescent="0.2">
      <c r="B499" t="s">
        <v>435</v>
      </c>
      <c r="C499">
        <v>90</v>
      </c>
      <c r="D499">
        <v>98</v>
      </c>
      <c r="E499">
        <v>89</v>
      </c>
      <c r="F499">
        <v>84</v>
      </c>
      <c r="G499">
        <v>84</v>
      </c>
      <c r="H499">
        <v>78</v>
      </c>
      <c r="I499">
        <v>83</v>
      </c>
      <c r="J499">
        <v>87</v>
      </c>
      <c r="K499">
        <v>81</v>
      </c>
      <c r="L499">
        <v>81</v>
      </c>
      <c r="M499">
        <v>77</v>
      </c>
      <c r="N499">
        <v>79</v>
      </c>
      <c r="O499" s="173">
        <f t="shared" si="86"/>
        <v>84.25</v>
      </c>
      <c r="P499" s="173">
        <f t="shared" ref="P499:P512" si="87">SUM(O499-O498)</f>
        <v>-7.0833333333333286</v>
      </c>
      <c r="Q499" s="177">
        <f t="shared" ref="Q499:Q512" si="88">SUM(P499/O498)</f>
        <v>-7.7554744525547392E-2</v>
      </c>
    </row>
    <row r="500" spans="1:17" x14ac:dyDescent="0.2">
      <c r="B500" t="s">
        <v>436</v>
      </c>
      <c r="C500">
        <v>81</v>
      </c>
      <c r="D500">
        <v>78</v>
      </c>
      <c r="E500">
        <v>73</v>
      </c>
      <c r="F500">
        <v>77</v>
      </c>
      <c r="G500">
        <v>86</v>
      </c>
      <c r="H500">
        <v>96</v>
      </c>
      <c r="I500">
        <v>84</v>
      </c>
      <c r="J500">
        <v>72</v>
      </c>
      <c r="K500">
        <v>74</v>
      </c>
      <c r="L500">
        <v>76</v>
      </c>
      <c r="M500">
        <v>78</v>
      </c>
      <c r="N500">
        <v>88</v>
      </c>
      <c r="O500" s="173">
        <f t="shared" si="86"/>
        <v>80.25</v>
      </c>
      <c r="P500" s="173">
        <f t="shared" si="87"/>
        <v>-4</v>
      </c>
      <c r="Q500" s="177">
        <f t="shared" si="88"/>
        <v>-4.7477744807121663E-2</v>
      </c>
    </row>
    <row r="501" spans="1:17" x14ac:dyDescent="0.2">
      <c r="B501" t="s">
        <v>260</v>
      </c>
      <c r="C501">
        <v>98</v>
      </c>
      <c r="D501">
        <v>98</v>
      </c>
      <c r="E501">
        <v>100</v>
      </c>
      <c r="F501">
        <v>93</v>
      </c>
      <c r="G501">
        <v>93</v>
      </c>
      <c r="H501">
        <v>93</v>
      </c>
      <c r="I501">
        <v>93</v>
      </c>
      <c r="J501">
        <v>93</v>
      </c>
      <c r="K501">
        <v>93</v>
      </c>
      <c r="L501">
        <v>93</v>
      </c>
      <c r="M501">
        <v>93</v>
      </c>
      <c r="N501">
        <v>93</v>
      </c>
      <c r="O501" s="173">
        <f t="shared" si="86"/>
        <v>94.416666666666671</v>
      </c>
      <c r="P501" s="173">
        <f t="shared" si="87"/>
        <v>14.166666666666671</v>
      </c>
      <c r="Q501" s="177">
        <f t="shared" si="88"/>
        <v>0.17653167185877472</v>
      </c>
    </row>
    <row r="502" spans="1:17" x14ac:dyDescent="0.2">
      <c r="B502" t="s">
        <v>259</v>
      </c>
      <c r="C502">
        <v>106</v>
      </c>
      <c r="D502">
        <v>90</v>
      </c>
      <c r="E502">
        <v>91</v>
      </c>
      <c r="F502">
        <v>91</v>
      </c>
      <c r="G502">
        <v>87</v>
      </c>
      <c r="H502">
        <v>80</v>
      </c>
      <c r="I502">
        <v>76</v>
      </c>
      <c r="J502">
        <v>78</v>
      </c>
      <c r="K502">
        <v>83</v>
      </c>
      <c r="L502">
        <v>92</v>
      </c>
      <c r="M502">
        <v>99</v>
      </c>
      <c r="N502">
        <v>101</v>
      </c>
      <c r="O502" s="173">
        <f t="shared" si="86"/>
        <v>89.5</v>
      </c>
      <c r="P502" s="173">
        <f t="shared" si="87"/>
        <v>-4.9166666666666714</v>
      </c>
      <c r="Q502" s="177">
        <f t="shared" si="88"/>
        <v>-5.2074139452780277E-2</v>
      </c>
    </row>
    <row r="503" spans="1:17" x14ac:dyDescent="0.2">
      <c r="B503" t="s">
        <v>280</v>
      </c>
      <c r="C503">
        <v>93</v>
      </c>
      <c r="D503">
        <v>90</v>
      </c>
      <c r="E503">
        <v>91</v>
      </c>
      <c r="F503">
        <v>94</v>
      </c>
      <c r="G503">
        <v>91</v>
      </c>
      <c r="H503">
        <v>91</v>
      </c>
      <c r="I503">
        <v>93</v>
      </c>
      <c r="J503">
        <v>90</v>
      </c>
      <c r="K503">
        <v>83</v>
      </c>
      <c r="L503">
        <v>84</v>
      </c>
      <c r="M503">
        <v>79</v>
      </c>
      <c r="N503">
        <v>77</v>
      </c>
      <c r="O503" s="173">
        <f t="shared" si="86"/>
        <v>88</v>
      </c>
      <c r="P503" s="173">
        <f t="shared" si="87"/>
        <v>-1.5</v>
      </c>
      <c r="Q503" s="177">
        <f t="shared" si="88"/>
        <v>-1.6759776536312849E-2</v>
      </c>
    </row>
    <row r="504" spans="1:17" x14ac:dyDescent="0.2">
      <c r="B504" t="s">
        <v>290</v>
      </c>
      <c r="C504">
        <v>79</v>
      </c>
      <c r="D504">
        <v>78</v>
      </c>
      <c r="E504">
        <v>74</v>
      </c>
      <c r="F504">
        <v>69</v>
      </c>
      <c r="G504">
        <v>66</v>
      </c>
      <c r="H504">
        <v>62</v>
      </c>
      <c r="I504">
        <v>59</v>
      </c>
      <c r="J504">
        <v>64</v>
      </c>
      <c r="K504">
        <v>59</v>
      </c>
      <c r="L504">
        <v>55</v>
      </c>
      <c r="M504">
        <v>61</v>
      </c>
      <c r="N504">
        <v>64</v>
      </c>
      <c r="O504" s="173">
        <f t="shared" si="86"/>
        <v>65.833333333333329</v>
      </c>
      <c r="P504" s="173">
        <f t="shared" si="87"/>
        <v>-22.166666666666671</v>
      </c>
      <c r="Q504" s="177">
        <f t="shared" si="88"/>
        <v>-0.25189393939393945</v>
      </c>
    </row>
    <row r="505" spans="1:17" x14ac:dyDescent="0.2">
      <c r="B505" t="s">
        <v>293</v>
      </c>
      <c r="C505">
        <v>68</v>
      </c>
      <c r="D505">
        <v>67</v>
      </c>
      <c r="E505">
        <v>71</v>
      </c>
      <c r="F505">
        <v>72</v>
      </c>
      <c r="G505">
        <v>81</v>
      </c>
      <c r="H505">
        <v>85</v>
      </c>
      <c r="I505">
        <v>85</v>
      </c>
      <c r="J505">
        <v>85</v>
      </c>
      <c r="K505">
        <v>73</v>
      </c>
      <c r="L505">
        <v>82</v>
      </c>
      <c r="M505">
        <v>78</v>
      </c>
      <c r="N505">
        <v>80</v>
      </c>
      <c r="O505" s="173">
        <f t="shared" si="86"/>
        <v>77.25</v>
      </c>
      <c r="P505" s="173">
        <f t="shared" si="87"/>
        <v>11.416666666666671</v>
      </c>
      <c r="Q505" s="177">
        <f t="shared" si="88"/>
        <v>0.17341772151898743</v>
      </c>
    </row>
    <row r="506" spans="1:17" x14ac:dyDescent="0.2">
      <c r="B506" t="s">
        <v>294</v>
      </c>
      <c r="C506">
        <v>77</v>
      </c>
      <c r="D506">
        <v>75</v>
      </c>
      <c r="E506">
        <v>74</v>
      </c>
      <c r="F506">
        <v>75</v>
      </c>
      <c r="G506">
        <v>75</v>
      </c>
      <c r="H506">
        <v>77</v>
      </c>
      <c r="I506">
        <v>81</v>
      </c>
      <c r="J506">
        <v>79</v>
      </c>
      <c r="K506">
        <v>79</v>
      </c>
      <c r="L506">
        <v>79</v>
      </c>
      <c r="M506">
        <v>80</v>
      </c>
      <c r="N506">
        <v>76</v>
      </c>
      <c r="O506" s="173">
        <f t="shared" si="86"/>
        <v>77.25</v>
      </c>
      <c r="P506" s="173">
        <f t="shared" si="87"/>
        <v>0</v>
      </c>
      <c r="Q506" s="177">
        <f t="shared" si="88"/>
        <v>0</v>
      </c>
    </row>
    <row r="507" spans="1:17" x14ac:dyDescent="0.2">
      <c r="B507" t="s">
        <v>295</v>
      </c>
      <c r="C507">
        <v>68</v>
      </c>
      <c r="D507">
        <v>66</v>
      </c>
      <c r="E507">
        <v>65</v>
      </c>
      <c r="F507">
        <v>61</v>
      </c>
      <c r="G507">
        <v>59</v>
      </c>
      <c r="H507">
        <v>57</v>
      </c>
      <c r="I507">
        <v>55</v>
      </c>
      <c r="J507">
        <v>56</v>
      </c>
      <c r="K507">
        <v>58</v>
      </c>
      <c r="L507">
        <v>60</v>
      </c>
      <c r="M507">
        <v>61</v>
      </c>
      <c r="N507">
        <v>62</v>
      </c>
      <c r="O507" s="173">
        <f t="shared" si="86"/>
        <v>60.666666666666664</v>
      </c>
      <c r="P507" s="173">
        <f t="shared" si="87"/>
        <v>-16.583333333333336</v>
      </c>
      <c r="Q507" s="177">
        <f t="shared" si="88"/>
        <v>-0.21467098166127296</v>
      </c>
    </row>
    <row r="508" spans="1:17" x14ac:dyDescent="0.2">
      <c r="B508" t="s">
        <v>335</v>
      </c>
      <c r="C508">
        <v>58</v>
      </c>
      <c r="D508">
        <v>59</v>
      </c>
      <c r="E508">
        <v>55</v>
      </c>
      <c r="F508">
        <v>68</v>
      </c>
      <c r="G508">
        <v>62</v>
      </c>
      <c r="H508">
        <v>58</v>
      </c>
      <c r="I508">
        <v>55</v>
      </c>
      <c r="J508">
        <v>58</v>
      </c>
      <c r="K508">
        <v>59</v>
      </c>
      <c r="L508">
        <v>57</v>
      </c>
      <c r="M508">
        <v>52</v>
      </c>
      <c r="N508">
        <v>54</v>
      </c>
      <c r="O508" s="173">
        <f t="shared" si="86"/>
        <v>57.916666666666664</v>
      </c>
      <c r="P508" s="173">
        <f t="shared" si="87"/>
        <v>-2.75</v>
      </c>
      <c r="Q508" s="177">
        <f t="shared" si="88"/>
        <v>-4.5329670329670328E-2</v>
      </c>
    </row>
    <row r="509" spans="1:17" x14ac:dyDescent="0.2">
      <c r="B509" t="s">
        <v>358</v>
      </c>
      <c r="C509">
        <v>55</v>
      </c>
      <c r="D509">
        <v>55</v>
      </c>
      <c r="E509">
        <v>49</v>
      </c>
      <c r="F509">
        <v>51</v>
      </c>
      <c r="G509">
        <v>53</v>
      </c>
      <c r="H509">
        <v>57</v>
      </c>
      <c r="I509">
        <v>63</v>
      </c>
      <c r="J509">
        <v>65</v>
      </c>
      <c r="K509">
        <v>65</v>
      </c>
      <c r="L509">
        <v>61</v>
      </c>
      <c r="M509">
        <v>66</v>
      </c>
      <c r="N509">
        <v>63</v>
      </c>
      <c r="O509" s="173">
        <f t="shared" si="86"/>
        <v>58.583333333333336</v>
      </c>
      <c r="P509" s="173">
        <f t="shared" si="87"/>
        <v>0.6666666666666714</v>
      </c>
      <c r="Q509" s="177">
        <f t="shared" si="88"/>
        <v>1.1510791366906557E-2</v>
      </c>
    </row>
    <row r="510" spans="1:17" x14ac:dyDescent="0.2">
      <c r="B510" t="s">
        <v>437</v>
      </c>
      <c r="C510">
        <v>63</v>
      </c>
      <c r="D510">
        <v>66</v>
      </c>
      <c r="E510">
        <v>66</v>
      </c>
      <c r="F510">
        <v>59</v>
      </c>
      <c r="G510">
        <v>69</v>
      </c>
      <c r="H510">
        <v>72</v>
      </c>
      <c r="I510">
        <v>76</v>
      </c>
      <c r="J510">
        <v>75</v>
      </c>
      <c r="K510">
        <v>81</v>
      </c>
      <c r="L510">
        <v>82</v>
      </c>
      <c r="M510">
        <v>70</v>
      </c>
      <c r="N510">
        <v>80</v>
      </c>
      <c r="O510" s="173">
        <f t="shared" si="86"/>
        <v>71.583333333333329</v>
      </c>
      <c r="P510" s="173">
        <f t="shared" si="87"/>
        <v>12.999999999999993</v>
      </c>
      <c r="Q510" s="177">
        <f t="shared" si="88"/>
        <v>0.22190611664295862</v>
      </c>
    </row>
    <row r="511" spans="1:17" x14ac:dyDescent="0.2">
      <c r="B511" t="s">
        <v>471</v>
      </c>
      <c r="C511">
        <v>72</v>
      </c>
      <c r="D511">
        <v>71</v>
      </c>
      <c r="E511">
        <v>74</v>
      </c>
      <c r="F511">
        <v>75</v>
      </c>
      <c r="G511">
        <v>69</v>
      </c>
      <c r="H511">
        <v>74</v>
      </c>
      <c r="I511">
        <v>72</v>
      </c>
      <c r="J511">
        <v>74</v>
      </c>
      <c r="K511">
        <v>79</v>
      </c>
      <c r="L511">
        <v>82</v>
      </c>
      <c r="M511">
        <v>87</v>
      </c>
      <c r="N511">
        <v>87</v>
      </c>
      <c r="O511" s="173">
        <f t="shared" si="86"/>
        <v>76.333333333333329</v>
      </c>
      <c r="P511" s="173">
        <f t="shared" si="87"/>
        <v>4.75</v>
      </c>
      <c r="Q511" s="177">
        <f t="shared" si="88"/>
        <v>6.6356228172293363E-2</v>
      </c>
    </row>
    <row r="512" spans="1:17" x14ac:dyDescent="0.2">
      <c r="B512" t="s">
        <v>537</v>
      </c>
      <c r="C512">
        <v>94</v>
      </c>
      <c r="D512">
        <v>94</v>
      </c>
      <c r="E512">
        <v>101</v>
      </c>
      <c r="F512">
        <v>108</v>
      </c>
      <c r="G512">
        <v>108</v>
      </c>
      <c r="H512">
        <v>107</v>
      </c>
      <c r="I512">
        <v>98</v>
      </c>
      <c r="J512">
        <v>97</v>
      </c>
      <c r="K512">
        <v>96</v>
      </c>
      <c r="L512">
        <v>98</v>
      </c>
      <c r="M512">
        <v>100</v>
      </c>
      <c r="N512">
        <v>101</v>
      </c>
      <c r="O512" s="173">
        <f t="shared" si="86"/>
        <v>100.16666666666667</v>
      </c>
      <c r="P512" s="173">
        <f t="shared" si="87"/>
        <v>23.833333333333343</v>
      </c>
      <c r="Q512" s="177">
        <f t="shared" si="88"/>
        <v>0.31222707423580798</v>
      </c>
    </row>
    <row r="513" spans="1:17" x14ac:dyDescent="0.2">
      <c r="B513" t="s">
        <v>628</v>
      </c>
      <c r="C513">
        <v>101</v>
      </c>
      <c r="D513">
        <v>96</v>
      </c>
      <c r="E513">
        <v>102</v>
      </c>
      <c r="F513">
        <v>105</v>
      </c>
      <c r="G513">
        <v>103</v>
      </c>
      <c r="H513">
        <v>104</v>
      </c>
      <c r="I513">
        <v>101</v>
      </c>
      <c r="J513">
        <v>103</v>
      </c>
      <c r="K513">
        <v>94</v>
      </c>
      <c r="L513">
        <v>106</v>
      </c>
      <c r="M513">
        <v>101</v>
      </c>
      <c r="N513">
        <v>100</v>
      </c>
      <c r="O513" s="173">
        <f t="shared" si="86"/>
        <v>101.33333333333333</v>
      </c>
      <c r="P513" s="173">
        <f>SUM(O513-O512)</f>
        <v>1.1666666666666572</v>
      </c>
      <c r="Q513" s="177">
        <f>SUM(P513/O512)</f>
        <v>1.1647254575707059E-2</v>
      </c>
    </row>
    <row r="514" spans="1:17" x14ac:dyDescent="0.2">
      <c r="B514" t="s">
        <v>629</v>
      </c>
      <c r="C514">
        <v>95</v>
      </c>
      <c r="D514">
        <v>93</v>
      </c>
      <c r="E514">
        <v>93</v>
      </c>
      <c r="F514">
        <v>97</v>
      </c>
      <c r="G514">
        <v>93</v>
      </c>
      <c r="H514">
        <v>91</v>
      </c>
      <c r="I514">
        <v>92</v>
      </c>
      <c r="J514">
        <v>91</v>
      </c>
      <c r="K514">
        <v>87</v>
      </c>
      <c r="L514">
        <v>88</v>
      </c>
      <c r="M514">
        <v>86</v>
      </c>
      <c r="N514">
        <v>84</v>
      </c>
      <c r="O514" s="173">
        <f t="shared" si="86"/>
        <v>90.833333333333329</v>
      </c>
      <c r="P514" s="173">
        <f>SUM(O514-O513)</f>
        <v>-10.5</v>
      </c>
      <c r="Q514" s="177">
        <f>SUM(P514/O513)</f>
        <v>-0.10361842105263158</v>
      </c>
    </row>
    <row r="515" spans="1:17" x14ac:dyDescent="0.2">
      <c r="O515" s="173"/>
      <c r="P515" s="173"/>
      <c r="Q515" s="177"/>
    </row>
    <row r="516" spans="1:17" ht="25.5" x14ac:dyDescent="0.2">
      <c r="A516" s="175" t="s">
        <v>449</v>
      </c>
      <c r="B516" s="176" t="s">
        <v>418</v>
      </c>
      <c r="C516" s="179" t="s">
        <v>419</v>
      </c>
      <c r="D516" s="179" t="s">
        <v>420</v>
      </c>
      <c r="E516" s="179" t="s">
        <v>421</v>
      </c>
      <c r="F516" s="179" t="s">
        <v>422</v>
      </c>
      <c r="G516" s="179" t="s">
        <v>423</v>
      </c>
      <c r="H516" s="179" t="s">
        <v>424</v>
      </c>
      <c r="I516" s="179" t="s">
        <v>425</v>
      </c>
      <c r="J516" s="179" t="s">
        <v>426</v>
      </c>
      <c r="K516" s="179" t="s">
        <v>427</v>
      </c>
      <c r="L516" s="179" t="s">
        <v>428</v>
      </c>
      <c r="M516" s="179" t="s">
        <v>429</v>
      </c>
      <c r="N516" s="179" t="s">
        <v>430</v>
      </c>
    </row>
    <row r="517" spans="1:17" x14ac:dyDescent="0.2">
      <c r="B517" t="s">
        <v>434</v>
      </c>
      <c r="C517">
        <v>438</v>
      </c>
      <c r="D517">
        <v>444</v>
      </c>
      <c r="E517">
        <v>446</v>
      </c>
      <c r="F517">
        <v>441</v>
      </c>
      <c r="G517">
        <v>444</v>
      </c>
      <c r="H517">
        <v>449</v>
      </c>
      <c r="I517">
        <v>447</v>
      </c>
      <c r="J517">
        <v>460</v>
      </c>
      <c r="K517">
        <v>465</v>
      </c>
      <c r="L517">
        <v>463</v>
      </c>
      <c r="M517">
        <v>469</v>
      </c>
      <c r="N517">
        <v>478</v>
      </c>
      <c r="O517" s="173">
        <f t="shared" ref="O517:O533" si="89">SUM(C517:N517)/12</f>
        <v>453.66666666666669</v>
      </c>
      <c r="P517" s="173"/>
    </row>
    <row r="518" spans="1:17" x14ac:dyDescent="0.2">
      <c r="B518" t="s">
        <v>435</v>
      </c>
      <c r="C518">
        <v>474</v>
      </c>
      <c r="D518">
        <v>481</v>
      </c>
      <c r="E518">
        <v>491</v>
      </c>
      <c r="F518">
        <v>478</v>
      </c>
      <c r="G518">
        <v>472</v>
      </c>
      <c r="H518">
        <v>477</v>
      </c>
      <c r="I518">
        <v>476</v>
      </c>
      <c r="J518">
        <v>470</v>
      </c>
      <c r="K518">
        <v>467</v>
      </c>
      <c r="L518">
        <v>480</v>
      </c>
      <c r="M518">
        <v>461</v>
      </c>
      <c r="N518">
        <v>449</v>
      </c>
      <c r="O518" s="173">
        <f t="shared" si="89"/>
        <v>473</v>
      </c>
      <c r="P518" s="173">
        <f t="shared" ref="P518:P531" si="90">SUM(O518-O517)</f>
        <v>19.333333333333314</v>
      </c>
      <c r="Q518" s="177">
        <f t="shared" ref="Q518:Q531" si="91">SUM(P518/O517)</f>
        <v>4.261572373254955E-2</v>
      </c>
    </row>
    <row r="519" spans="1:17" x14ac:dyDescent="0.2">
      <c r="B519" t="s">
        <v>436</v>
      </c>
      <c r="C519">
        <v>463</v>
      </c>
      <c r="D519">
        <v>474</v>
      </c>
      <c r="E519">
        <v>480</v>
      </c>
      <c r="F519">
        <v>457</v>
      </c>
      <c r="G519">
        <v>459</v>
      </c>
      <c r="H519">
        <v>469</v>
      </c>
      <c r="I519">
        <v>460</v>
      </c>
      <c r="J519">
        <v>446</v>
      </c>
      <c r="K519">
        <v>457</v>
      </c>
      <c r="L519">
        <v>468</v>
      </c>
      <c r="M519">
        <v>479</v>
      </c>
      <c r="N519">
        <v>490</v>
      </c>
      <c r="O519" s="173">
        <f t="shared" si="89"/>
        <v>466.83333333333331</v>
      </c>
      <c r="P519" s="173">
        <f t="shared" si="90"/>
        <v>-6.1666666666666856</v>
      </c>
      <c r="Q519" s="177">
        <f t="shared" si="91"/>
        <v>-1.3037350246652613E-2</v>
      </c>
    </row>
    <row r="520" spans="1:17" x14ac:dyDescent="0.2">
      <c r="B520" t="s">
        <v>260</v>
      </c>
      <c r="C520">
        <v>537</v>
      </c>
      <c r="D520">
        <v>544</v>
      </c>
      <c r="E520">
        <v>514</v>
      </c>
      <c r="F520">
        <v>562</v>
      </c>
      <c r="G520">
        <v>557</v>
      </c>
      <c r="H520">
        <v>551</v>
      </c>
      <c r="I520">
        <v>545</v>
      </c>
      <c r="J520">
        <v>538</v>
      </c>
      <c r="K520">
        <v>525</v>
      </c>
      <c r="L520">
        <v>518</v>
      </c>
      <c r="M520">
        <v>502</v>
      </c>
      <c r="N520">
        <v>506</v>
      </c>
      <c r="O520" s="173">
        <f t="shared" si="89"/>
        <v>533.25</v>
      </c>
      <c r="P520" s="173">
        <f t="shared" si="90"/>
        <v>66.416666666666686</v>
      </c>
      <c r="Q520" s="177">
        <f t="shared" si="91"/>
        <v>0.14227061763655841</v>
      </c>
    </row>
    <row r="521" spans="1:17" x14ac:dyDescent="0.2">
      <c r="B521" t="s">
        <v>259</v>
      </c>
      <c r="C521">
        <v>519</v>
      </c>
      <c r="D521">
        <v>507</v>
      </c>
      <c r="E521">
        <v>516</v>
      </c>
      <c r="F521">
        <v>509</v>
      </c>
      <c r="G521">
        <v>495</v>
      </c>
      <c r="H521">
        <v>503</v>
      </c>
      <c r="I521">
        <v>484</v>
      </c>
      <c r="J521">
        <v>484</v>
      </c>
      <c r="K521">
        <v>477</v>
      </c>
      <c r="L521">
        <v>470</v>
      </c>
      <c r="M521">
        <v>474</v>
      </c>
      <c r="N521">
        <v>464</v>
      </c>
      <c r="O521" s="173">
        <f t="shared" si="89"/>
        <v>491.83333333333331</v>
      </c>
      <c r="P521" s="173">
        <f t="shared" si="90"/>
        <v>-41.416666666666686</v>
      </c>
      <c r="Q521" s="177">
        <f t="shared" si="91"/>
        <v>-7.7668385685263353E-2</v>
      </c>
    </row>
    <row r="522" spans="1:17" x14ac:dyDescent="0.2">
      <c r="B522" t="s">
        <v>280</v>
      </c>
      <c r="C522">
        <v>472</v>
      </c>
      <c r="D522">
        <v>489</v>
      </c>
      <c r="E522">
        <v>468</v>
      </c>
      <c r="F522">
        <v>461</v>
      </c>
      <c r="G522">
        <v>460</v>
      </c>
      <c r="H522">
        <v>449</v>
      </c>
      <c r="I522">
        <v>436</v>
      </c>
      <c r="J522">
        <v>442</v>
      </c>
      <c r="K522">
        <v>445</v>
      </c>
      <c r="L522">
        <v>458</v>
      </c>
      <c r="M522">
        <v>472</v>
      </c>
      <c r="N522">
        <v>480</v>
      </c>
      <c r="O522" s="173">
        <f t="shared" si="89"/>
        <v>461</v>
      </c>
      <c r="P522" s="173">
        <f t="shared" si="90"/>
        <v>-30.833333333333314</v>
      </c>
      <c r="Q522" s="177">
        <f t="shared" si="91"/>
        <v>-6.2690613351406271E-2</v>
      </c>
    </row>
    <row r="523" spans="1:17" x14ac:dyDescent="0.2">
      <c r="B523" t="s">
        <v>290</v>
      </c>
      <c r="C523">
        <v>478</v>
      </c>
      <c r="D523">
        <v>478</v>
      </c>
      <c r="E523">
        <v>474</v>
      </c>
      <c r="F523">
        <v>493</v>
      </c>
      <c r="G523">
        <v>488</v>
      </c>
      <c r="H523">
        <v>495</v>
      </c>
      <c r="I523">
        <v>507</v>
      </c>
      <c r="J523">
        <v>499</v>
      </c>
      <c r="K523">
        <v>500</v>
      </c>
      <c r="L523">
        <v>518</v>
      </c>
      <c r="M523">
        <v>540</v>
      </c>
      <c r="N523">
        <v>551</v>
      </c>
      <c r="O523" s="173">
        <f t="shared" si="89"/>
        <v>501.75</v>
      </c>
      <c r="P523" s="173">
        <f t="shared" si="90"/>
        <v>40.75</v>
      </c>
      <c r="Q523" s="177">
        <f t="shared" si="91"/>
        <v>8.8394793926247286E-2</v>
      </c>
    </row>
    <row r="524" spans="1:17" x14ac:dyDescent="0.2">
      <c r="B524" t="s">
        <v>293</v>
      </c>
      <c r="C524">
        <v>551</v>
      </c>
      <c r="D524">
        <v>536</v>
      </c>
      <c r="E524">
        <v>521</v>
      </c>
      <c r="F524">
        <v>522</v>
      </c>
      <c r="G524">
        <v>527</v>
      </c>
      <c r="H524">
        <v>545</v>
      </c>
      <c r="I524">
        <v>548</v>
      </c>
      <c r="J524">
        <v>549</v>
      </c>
      <c r="K524">
        <v>549</v>
      </c>
      <c r="L524">
        <v>650</v>
      </c>
      <c r="M524">
        <v>666</v>
      </c>
      <c r="N524">
        <v>591</v>
      </c>
      <c r="O524" s="173">
        <f t="shared" si="89"/>
        <v>562.91666666666663</v>
      </c>
      <c r="P524" s="173">
        <f t="shared" si="90"/>
        <v>61.166666666666629</v>
      </c>
      <c r="Q524" s="177">
        <f t="shared" si="91"/>
        <v>0.12190666002325187</v>
      </c>
    </row>
    <row r="525" spans="1:17" x14ac:dyDescent="0.2">
      <c r="B525" t="s">
        <v>294</v>
      </c>
      <c r="C525">
        <v>596</v>
      </c>
      <c r="D525">
        <v>617</v>
      </c>
      <c r="E525">
        <v>722</v>
      </c>
      <c r="F525">
        <v>657</v>
      </c>
      <c r="G525">
        <v>723</v>
      </c>
      <c r="H525">
        <v>717</v>
      </c>
      <c r="I525">
        <v>729</v>
      </c>
      <c r="J525">
        <v>730</v>
      </c>
      <c r="K525">
        <v>721</v>
      </c>
      <c r="L525">
        <v>721</v>
      </c>
      <c r="M525">
        <v>754</v>
      </c>
      <c r="N525">
        <v>770</v>
      </c>
      <c r="O525" s="173">
        <f t="shared" si="89"/>
        <v>704.75</v>
      </c>
      <c r="P525" s="173">
        <f t="shared" si="90"/>
        <v>141.83333333333337</v>
      </c>
      <c r="Q525" s="177">
        <f t="shared" si="91"/>
        <v>0.25196150999259814</v>
      </c>
    </row>
    <row r="526" spans="1:17" x14ac:dyDescent="0.2">
      <c r="B526" t="s">
        <v>295</v>
      </c>
      <c r="C526">
        <v>711</v>
      </c>
      <c r="D526">
        <v>710</v>
      </c>
      <c r="E526">
        <v>721</v>
      </c>
      <c r="F526">
        <v>726</v>
      </c>
      <c r="G526">
        <v>736</v>
      </c>
      <c r="H526">
        <v>731</v>
      </c>
      <c r="I526">
        <v>722</v>
      </c>
      <c r="J526">
        <v>719</v>
      </c>
      <c r="K526">
        <v>722</v>
      </c>
      <c r="L526">
        <v>750</v>
      </c>
      <c r="M526">
        <v>759</v>
      </c>
      <c r="N526">
        <v>764</v>
      </c>
      <c r="O526" s="173">
        <f t="shared" si="89"/>
        <v>730.91666666666663</v>
      </c>
      <c r="P526" s="173">
        <f t="shared" si="90"/>
        <v>26.166666666666629</v>
      </c>
      <c r="Q526" s="177">
        <f t="shared" si="91"/>
        <v>3.7129005557526254E-2</v>
      </c>
    </row>
    <row r="527" spans="1:17" x14ac:dyDescent="0.2">
      <c r="B527" t="s">
        <v>335</v>
      </c>
      <c r="C527">
        <v>750</v>
      </c>
      <c r="D527">
        <v>743</v>
      </c>
      <c r="E527">
        <v>732</v>
      </c>
      <c r="F527">
        <v>728</v>
      </c>
      <c r="G527">
        <v>713</v>
      </c>
      <c r="H527">
        <v>774</v>
      </c>
      <c r="I527">
        <v>746</v>
      </c>
      <c r="J527">
        <v>760</v>
      </c>
      <c r="K527">
        <v>768</v>
      </c>
      <c r="L527">
        <v>783</v>
      </c>
      <c r="M527">
        <v>769</v>
      </c>
      <c r="N527">
        <v>766</v>
      </c>
      <c r="O527" s="173">
        <f t="shared" si="89"/>
        <v>752.66666666666663</v>
      </c>
      <c r="P527" s="173">
        <f t="shared" si="90"/>
        <v>21.75</v>
      </c>
      <c r="Q527" s="177">
        <f t="shared" si="91"/>
        <v>2.9757154258351386E-2</v>
      </c>
    </row>
    <row r="528" spans="1:17" x14ac:dyDescent="0.2">
      <c r="B528" t="s">
        <v>358</v>
      </c>
      <c r="C528">
        <v>793</v>
      </c>
      <c r="D528">
        <v>763</v>
      </c>
      <c r="E528">
        <v>771</v>
      </c>
      <c r="F528">
        <v>782</v>
      </c>
      <c r="G528">
        <v>756</v>
      </c>
      <c r="H528">
        <v>768</v>
      </c>
      <c r="I528">
        <v>763</v>
      </c>
      <c r="J528">
        <v>762</v>
      </c>
      <c r="K528">
        <v>773</v>
      </c>
      <c r="L528">
        <v>776</v>
      </c>
      <c r="M528">
        <v>743</v>
      </c>
      <c r="N528">
        <v>744</v>
      </c>
      <c r="O528" s="173">
        <f t="shared" si="89"/>
        <v>766.16666666666663</v>
      </c>
      <c r="P528" s="173">
        <f t="shared" si="90"/>
        <v>13.5</v>
      </c>
      <c r="Q528" s="177">
        <f t="shared" si="91"/>
        <v>1.7936226749335697E-2</v>
      </c>
    </row>
    <row r="529" spans="1:18" x14ac:dyDescent="0.2">
      <c r="B529" t="s">
        <v>437</v>
      </c>
      <c r="C529">
        <v>746</v>
      </c>
      <c r="D529">
        <v>738</v>
      </c>
      <c r="E529">
        <v>726</v>
      </c>
      <c r="F529">
        <v>723</v>
      </c>
      <c r="G529">
        <v>723</v>
      </c>
      <c r="H529">
        <v>711</v>
      </c>
      <c r="I529">
        <v>722</v>
      </c>
      <c r="J529">
        <v>715</v>
      </c>
      <c r="K529">
        <v>701</v>
      </c>
      <c r="L529">
        <v>696</v>
      </c>
      <c r="M529">
        <v>716</v>
      </c>
      <c r="N529">
        <v>722</v>
      </c>
      <c r="O529" s="173">
        <f t="shared" si="89"/>
        <v>719.91666666666663</v>
      </c>
      <c r="P529" s="173">
        <f t="shared" si="90"/>
        <v>-46.25</v>
      </c>
      <c r="Q529" s="177">
        <f t="shared" si="91"/>
        <v>-6.0365455731999133E-2</v>
      </c>
    </row>
    <row r="530" spans="1:18" x14ac:dyDescent="0.2">
      <c r="B530" t="s">
        <v>471</v>
      </c>
      <c r="C530">
        <v>720</v>
      </c>
      <c r="D530">
        <v>754</v>
      </c>
      <c r="E530">
        <v>702</v>
      </c>
      <c r="F530">
        <v>720</v>
      </c>
      <c r="G530">
        <v>705</v>
      </c>
      <c r="H530">
        <v>715</v>
      </c>
      <c r="I530">
        <v>712</v>
      </c>
      <c r="J530">
        <v>720</v>
      </c>
      <c r="K530">
        <v>712</v>
      </c>
      <c r="L530">
        <v>709</v>
      </c>
      <c r="M530">
        <v>704</v>
      </c>
      <c r="N530">
        <v>720</v>
      </c>
      <c r="O530" s="173">
        <f t="shared" si="89"/>
        <v>716.08333333333337</v>
      </c>
      <c r="P530" s="173">
        <f t="shared" si="90"/>
        <v>-3.8333333333332575</v>
      </c>
      <c r="Q530" s="177">
        <f t="shared" si="91"/>
        <v>-5.3246903576801823E-3</v>
      </c>
    </row>
    <row r="531" spans="1:18" x14ac:dyDescent="0.2">
      <c r="B531" t="s">
        <v>537</v>
      </c>
      <c r="C531">
        <v>726</v>
      </c>
      <c r="D531">
        <v>712</v>
      </c>
      <c r="E531">
        <v>724</v>
      </c>
      <c r="F531">
        <v>708</v>
      </c>
      <c r="G531">
        <v>701</v>
      </c>
      <c r="H531">
        <v>715</v>
      </c>
      <c r="I531">
        <v>708</v>
      </c>
      <c r="J531">
        <v>702</v>
      </c>
      <c r="K531">
        <v>695</v>
      </c>
      <c r="L531">
        <v>713</v>
      </c>
      <c r="M531">
        <v>720</v>
      </c>
      <c r="N531">
        <v>732</v>
      </c>
      <c r="O531" s="173">
        <f t="shared" si="89"/>
        <v>713</v>
      </c>
      <c r="P531" s="173">
        <f t="shared" si="90"/>
        <v>-3.0833333333333712</v>
      </c>
      <c r="Q531" s="177">
        <f t="shared" si="91"/>
        <v>-4.3058303270104101E-3</v>
      </c>
    </row>
    <row r="532" spans="1:18" x14ac:dyDescent="0.2">
      <c r="B532" t="s">
        <v>628</v>
      </c>
      <c r="C532">
        <v>712</v>
      </c>
      <c r="D532">
        <v>705</v>
      </c>
      <c r="E532">
        <v>689</v>
      </c>
      <c r="F532">
        <v>668</v>
      </c>
      <c r="G532">
        <v>662</v>
      </c>
      <c r="H532">
        <v>644</v>
      </c>
      <c r="I532">
        <v>641</v>
      </c>
      <c r="J532">
        <v>629</v>
      </c>
      <c r="K532">
        <v>652</v>
      </c>
      <c r="L532">
        <v>643</v>
      </c>
      <c r="M532">
        <v>652</v>
      </c>
      <c r="N532">
        <v>662</v>
      </c>
      <c r="O532" s="173">
        <f t="shared" si="89"/>
        <v>663.25</v>
      </c>
      <c r="P532" s="173">
        <f>SUM(O532-O531)</f>
        <v>-49.75</v>
      </c>
      <c r="Q532" s="177">
        <f>SUM(P532/O531)</f>
        <v>-6.9775596072931281E-2</v>
      </c>
    </row>
    <row r="533" spans="1:18" x14ac:dyDescent="0.2">
      <c r="B533" t="s">
        <v>629</v>
      </c>
      <c r="C533">
        <v>637</v>
      </c>
      <c r="D533">
        <v>640</v>
      </c>
      <c r="E533">
        <v>638</v>
      </c>
      <c r="F533">
        <v>629</v>
      </c>
      <c r="G533">
        <v>627</v>
      </c>
      <c r="H533">
        <v>647</v>
      </c>
      <c r="I533">
        <v>651</v>
      </c>
      <c r="J533">
        <v>655</v>
      </c>
      <c r="K533">
        <v>640</v>
      </c>
      <c r="L533">
        <v>632</v>
      </c>
      <c r="M533">
        <v>641</v>
      </c>
      <c r="N533">
        <v>644</v>
      </c>
      <c r="O533" s="173">
        <f t="shared" si="89"/>
        <v>640.08333333333337</v>
      </c>
      <c r="P533" s="173">
        <f>SUM(O533-O532)</f>
        <v>-23.166666666666629</v>
      </c>
      <c r="Q533" s="177">
        <f>SUM(P533/O532)</f>
        <v>-3.4929011182309282E-2</v>
      </c>
    </row>
    <row r="534" spans="1:18" x14ac:dyDescent="0.2">
      <c r="O534" s="173"/>
      <c r="P534" s="173"/>
      <c r="Q534" s="177"/>
    </row>
    <row r="535" spans="1:18" x14ac:dyDescent="0.2">
      <c r="A535" s="178"/>
      <c r="B535" s="178"/>
      <c r="C535" s="178"/>
      <c r="D535" s="178"/>
      <c r="E535" s="178"/>
      <c r="F535" s="178"/>
      <c r="G535" s="178"/>
      <c r="H535" s="178"/>
      <c r="I535" s="178"/>
      <c r="J535" s="178"/>
      <c r="K535" s="178"/>
      <c r="L535" s="178"/>
      <c r="M535" s="178"/>
      <c r="N535" s="178"/>
      <c r="O535" s="178"/>
      <c r="P535" s="178"/>
      <c r="Q535" s="178"/>
    </row>
    <row r="536" spans="1:18" ht="25.5" x14ac:dyDescent="0.2">
      <c r="A536" s="175" t="s">
        <v>450</v>
      </c>
      <c r="B536" s="176" t="s">
        <v>418</v>
      </c>
      <c r="C536" s="179" t="s">
        <v>419</v>
      </c>
      <c r="D536" s="179" t="s">
        <v>420</v>
      </c>
      <c r="E536" s="179" t="s">
        <v>421</v>
      </c>
      <c r="F536" s="179" t="s">
        <v>422</v>
      </c>
      <c r="G536" s="179" t="s">
        <v>423</v>
      </c>
      <c r="H536" s="179" t="s">
        <v>424</v>
      </c>
      <c r="I536" s="179" t="s">
        <v>425</v>
      </c>
      <c r="J536" s="179" t="s">
        <v>426</v>
      </c>
      <c r="K536" s="179" t="s">
        <v>427</v>
      </c>
      <c r="L536" s="179" t="s">
        <v>428</v>
      </c>
      <c r="M536" s="179" t="s">
        <v>429</v>
      </c>
      <c r="N536" s="179" t="s">
        <v>430</v>
      </c>
    </row>
    <row r="537" spans="1:18" x14ac:dyDescent="0.2">
      <c r="B537" t="s">
        <v>434</v>
      </c>
      <c r="C537">
        <v>51</v>
      </c>
      <c r="D537">
        <v>44</v>
      </c>
      <c r="E537">
        <v>43</v>
      </c>
      <c r="F537">
        <v>39</v>
      </c>
      <c r="G537">
        <v>39</v>
      </c>
      <c r="H537">
        <v>39</v>
      </c>
      <c r="I537">
        <v>43</v>
      </c>
      <c r="J537">
        <v>41</v>
      </c>
      <c r="K537">
        <v>42</v>
      </c>
      <c r="L537">
        <v>42</v>
      </c>
      <c r="M537">
        <v>43</v>
      </c>
      <c r="N537">
        <v>40</v>
      </c>
      <c r="O537" s="173">
        <f t="shared" ref="O537:O553" si="92">SUM(C537:N537)/12</f>
        <v>42.166666666666664</v>
      </c>
      <c r="P537" s="173"/>
    </row>
    <row r="538" spans="1:18" x14ac:dyDescent="0.2">
      <c r="B538" t="s">
        <v>435</v>
      </c>
      <c r="C538">
        <v>43</v>
      </c>
      <c r="D538">
        <v>47</v>
      </c>
      <c r="E538">
        <v>47</v>
      </c>
      <c r="F538">
        <v>51</v>
      </c>
      <c r="G538">
        <v>46</v>
      </c>
      <c r="H538">
        <v>44</v>
      </c>
      <c r="I538">
        <v>48</v>
      </c>
      <c r="J538">
        <v>41</v>
      </c>
      <c r="K538">
        <v>47</v>
      </c>
      <c r="L538">
        <v>44</v>
      </c>
      <c r="M538">
        <v>43</v>
      </c>
      <c r="N538">
        <v>46</v>
      </c>
      <c r="O538" s="173">
        <f t="shared" si="92"/>
        <v>45.583333333333336</v>
      </c>
      <c r="P538" s="173">
        <f t="shared" ref="P538:P551" si="93">SUM(O538-O537)</f>
        <v>3.4166666666666714</v>
      </c>
      <c r="Q538" s="177">
        <f t="shared" ref="Q538:Q551" si="94">SUM(P538/O537)</f>
        <v>8.1027667984189838E-2</v>
      </c>
    </row>
    <row r="539" spans="1:18" x14ac:dyDescent="0.2">
      <c r="B539" t="s">
        <v>436</v>
      </c>
      <c r="C539">
        <v>45</v>
      </c>
      <c r="D539">
        <v>49</v>
      </c>
      <c r="E539">
        <v>48</v>
      </c>
      <c r="F539">
        <v>51</v>
      </c>
      <c r="G539">
        <v>51</v>
      </c>
      <c r="H539">
        <v>46</v>
      </c>
      <c r="I539">
        <v>49</v>
      </c>
      <c r="J539">
        <v>45</v>
      </c>
      <c r="K539">
        <v>46</v>
      </c>
      <c r="L539">
        <v>47</v>
      </c>
      <c r="M539">
        <v>48</v>
      </c>
      <c r="N539">
        <v>49</v>
      </c>
      <c r="O539" s="173">
        <f t="shared" si="92"/>
        <v>47.833333333333336</v>
      </c>
      <c r="P539" s="173">
        <f t="shared" si="93"/>
        <v>2.25</v>
      </c>
      <c r="Q539" s="177">
        <f t="shared" si="94"/>
        <v>4.9360146252285186E-2</v>
      </c>
    </row>
    <row r="540" spans="1:18" x14ac:dyDescent="0.2">
      <c r="B540" t="s">
        <v>260</v>
      </c>
      <c r="C540">
        <v>35</v>
      </c>
      <c r="D540">
        <v>35</v>
      </c>
      <c r="E540">
        <v>36</v>
      </c>
      <c r="F540">
        <v>39</v>
      </c>
      <c r="G540">
        <v>39</v>
      </c>
      <c r="H540">
        <v>43</v>
      </c>
      <c r="I540">
        <v>47</v>
      </c>
      <c r="J540">
        <v>45</v>
      </c>
      <c r="K540">
        <v>47</v>
      </c>
      <c r="L540">
        <v>51</v>
      </c>
      <c r="M540">
        <v>47</v>
      </c>
      <c r="N540">
        <v>45</v>
      </c>
      <c r="O540" s="173">
        <f t="shared" si="92"/>
        <v>42.416666666666664</v>
      </c>
      <c r="P540" s="173">
        <f t="shared" si="93"/>
        <v>-5.4166666666666714</v>
      </c>
      <c r="Q540" s="177">
        <f t="shared" si="94"/>
        <v>-0.113240418118467</v>
      </c>
    </row>
    <row r="541" spans="1:18" x14ac:dyDescent="0.2">
      <c r="B541" t="s">
        <v>259</v>
      </c>
      <c r="C541">
        <v>55</v>
      </c>
      <c r="D541">
        <v>51</v>
      </c>
      <c r="E541">
        <v>49</v>
      </c>
      <c r="F541">
        <v>51</v>
      </c>
      <c r="G541">
        <v>52</v>
      </c>
      <c r="H541">
        <v>54</v>
      </c>
      <c r="I541">
        <v>55</v>
      </c>
      <c r="J541">
        <v>55</v>
      </c>
      <c r="K541">
        <v>42</v>
      </c>
      <c r="L541">
        <v>38</v>
      </c>
      <c r="M541">
        <v>85</v>
      </c>
      <c r="N541">
        <v>81</v>
      </c>
      <c r="O541" s="173">
        <f t="shared" si="92"/>
        <v>55.666666666666664</v>
      </c>
      <c r="P541" s="173">
        <f t="shared" si="93"/>
        <v>13.25</v>
      </c>
      <c r="Q541" s="177">
        <f t="shared" si="94"/>
        <v>0.31237721021611004</v>
      </c>
    </row>
    <row r="542" spans="1:18" x14ac:dyDescent="0.2">
      <c r="B542" t="s">
        <v>280</v>
      </c>
      <c r="C542">
        <v>81</v>
      </c>
      <c r="D542">
        <v>81</v>
      </c>
      <c r="E542">
        <v>74</v>
      </c>
      <c r="F542">
        <v>79</v>
      </c>
      <c r="G542">
        <v>77</v>
      </c>
      <c r="H542">
        <v>77</v>
      </c>
      <c r="I542">
        <v>74</v>
      </c>
      <c r="J542">
        <v>74</v>
      </c>
      <c r="K542">
        <v>74</v>
      </c>
      <c r="L542">
        <v>75</v>
      </c>
      <c r="M542">
        <v>75</v>
      </c>
      <c r="N542">
        <v>76</v>
      </c>
      <c r="O542" s="173">
        <f t="shared" si="92"/>
        <v>76.416666666666671</v>
      </c>
      <c r="P542" s="173">
        <f t="shared" si="93"/>
        <v>20.750000000000007</v>
      </c>
      <c r="Q542" s="177">
        <f t="shared" si="94"/>
        <v>0.37275449101796421</v>
      </c>
    </row>
    <row r="543" spans="1:18" x14ac:dyDescent="0.2">
      <c r="B543" t="s">
        <v>290</v>
      </c>
      <c r="C543">
        <v>78</v>
      </c>
      <c r="D543">
        <v>76</v>
      </c>
      <c r="E543">
        <v>80</v>
      </c>
      <c r="F543">
        <v>81</v>
      </c>
      <c r="G543">
        <v>77</v>
      </c>
      <c r="H543">
        <v>76</v>
      </c>
      <c r="I543">
        <v>74</v>
      </c>
      <c r="J543">
        <v>76</v>
      </c>
      <c r="K543">
        <v>71</v>
      </c>
      <c r="L543">
        <v>71</v>
      </c>
      <c r="M543">
        <v>74</v>
      </c>
      <c r="N543">
        <v>75</v>
      </c>
      <c r="O543" s="173">
        <f t="shared" si="92"/>
        <v>75.75</v>
      </c>
      <c r="P543" s="173">
        <f t="shared" si="93"/>
        <v>-0.6666666666666714</v>
      </c>
      <c r="Q543" s="177">
        <f t="shared" si="94"/>
        <v>-8.7241003271538234E-3</v>
      </c>
    </row>
    <row r="544" spans="1:18" x14ac:dyDescent="0.2">
      <c r="B544" t="s">
        <v>293</v>
      </c>
      <c r="C544">
        <v>75</v>
      </c>
      <c r="D544">
        <v>74</v>
      </c>
      <c r="E544">
        <v>73</v>
      </c>
      <c r="F544">
        <v>72</v>
      </c>
      <c r="G544">
        <v>75</v>
      </c>
      <c r="H544">
        <v>74</v>
      </c>
      <c r="I544">
        <v>73</v>
      </c>
      <c r="J544">
        <v>73</v>
      </c>
      <c r="K544">
        <v>71</v>
      </c>
      <c r="L544">
        <v>84</v>
      </c>
      <c r="M544">
        <v>79</v>
      </c>
      <c r="N544">
        <v>74</v>
      </c>
      <c r="O544" s="173">
        <f t="shared" si="92"/>
        <v>74.75</v>
      </c>
      <c r="P544" s="173">
        <f t="shared" si="93"/>
        <v>-1</v>
      </c>
      <c r="Q544" s="177">
        <f t="shared" si="94"/>
        <v>-1.3201320132013201E-2</v>
      </c>
      <c r="R544" s="177"/>
    </row>
    <row r="545" spans="1:17" x14ac:dyDescent="0.2">
      <c r="B545" t="s">
        <v>294</v>
      </c>
      <c r="C545">
        <v>70</v>
      </c>
      <c r="D545">
        <v>68</v>
      </c>
      <c r="E545">
        <v>80</v>
      </c>
      <c r="F545">
        <v>73</v>
      </c>
      <c r="G545">
        <v>82</v>
      </c>
      <c r="H545">
        <v>81</v>
      </c>
      <c r="I545">
        <v>83</v>
      </c>
      <c r="J545">
        <v>80</v>
      </c>
      <c r="K545">
        <v>78</v>
      </c>
      <c r="L545">
        <v>78</v>
      </c>
      <c r="M545">
        <v>78</v>
      </c>
      <c r="N545">
        <v>86</v>
      </c>
      <c r="O545" s="173">
        <f t="shared" si="92"/>
        <v>78.083333333333329</v>
      </c>
      <c r="P545" s="173">
        <f t="shared" si="93"/>
        <v>3.3333333333333286</v>
      </c>
      <c r="Q545" s="177">
        <f t="shared" si="94"/>
        <v>4.4593088071348874E-2</v>
      </c>
    </row>
    <row r="546" spans="1:17" x14ac:dyDescent="0.2">
      <c r="B546" t="s">
        <v>295</v>
      </c>
      <c r="C546">
        <v>75</v>
      </c>
      <c r="D546">
        <v>74</v>
      </c>
      <c r="E546">
        <v>79</v>
      </c>
      <c r="F546">
        <v>77</v>
      </c>
      <c r="G546">
        <v>75</v>
      </c>
      <c r="H546">
        <v>66</v>
      </c>
      <c r="I546">
        <v>64</v>
      </c>
      <c r="J546">
        <v>64</v>
      </c>
      <c r="K546">
        <v>47</v>
      </c>
      <c r="L546">
        <v>47</v>
      </c>
      <c r="M546">
        <v>45</v>
      </c>
      <c r="N546">
        <v>47</v>
      </c>
      <c r="O546" s="173">
        <f t="shared" si="92"/>
        <v>63.333333333333336</v>
      </c>
      <c r="P546" s="173">
        <f t="shared" si="93"/>
        <v>-14.749999999999993</v>
      </c>
      <c r="Q546" s="177">
        <f t="shared" si="94"/>
        <v>-0.18890074706510132</v>
      </c>
    </row>
    <row r="547" spans="1:17" x14ac:dyDescent="0.2">
      <c r="B547" t="s">
        <v>335</v>
      </c>
      <c r="C547">
        <v>42</v>
      </c>
      <c r="D547">
        <v>43</v>
      </c>
      <c r="E547">
        <v>41</v>
      </c>
      <c r="F547">
        <v>41</v>
      </c>
      <c r="G547">
        <v>38</v>
      </c>
      <c r="H547">
        <v>54</v>
      </c>
      <c r="I547">
        <v>60</v>
      </c>
      <c r="J547">
        <v>53</v>
      </c>
      <c r="K547">
        <v>57</v>
      </c>
      <c r="L547">
        <v>45</v>
      </c>
      <c r="M547">
        <v>48</v>
      </c>
      <c r="N547">
        <v>49</v>
      </c>
      <c r="O547" s="173">
        <f t="shared" si="92"/>
        <v>47.583333333333336</v>
      </c>
      <c r="P547" s="173">
        <f t="shared" si="93"/>
        <v>-15.75</v>
      </c>
      <c r="Q547" s="177">
        <f t="shared" si="94"/>
        <v>-0.24868421052631579</v>
      </c>
    </row>
    <row r="548" spans="1:17" x14ac:dyDescent="0.2">
      <c r="B548" t="s">
        <v>358</v>
      </c>
      <c r="C548">
        <v>49</v>
      </c>
      <c r="D548">
        <v>51</v>
      </c>
      <c r="E548">
        <v>45</v>
      </c>
      <c r="F548">
        <v>54</v>
      </c>
      <c r="G548">
        <v>56</v>
      </c>
      <c r="H548">
        <v>56</v>
      </c>
      <c r="I548">
        <v>53</v>
      </c>
      <c r="J548">
        <v>50</v>
      </c>
      <c r="K548">
        <v>47</v>
      </c>
      <c r="L548">
        <v>44</v>
      </c>
      <c r="M548">
        <v>44</v>
      </c>
      <c r="N548">
        <v>52</v>
      </c>
      <c r="O548" s="173">
        <f t="shared" si="92"/>
        <v>50.083333333333336</v>
      </c>
      <c r="P548" s="173">
        <f>SUM(O548-O547)</f>
        <v>2.5</v>
      </c>
      <c r="Q548" s="177">
        <f>SUM(P548/O547)</f>
        <v>5.2539404553415062E-2</v>
      </c>
    </row>
    <row r="549" spans="1:17" x14ac:dyDescent="0.2">
      <c r="B549" t="s">
        <v>437</v>
      </c>
      <c r="C549">
        <v>54</v>
      </c>
      <c r="D549">
        <v>54</v>
      </c>
      <c r="E549">
        <v>51</v>
      </c>
      <c r="F549">
        <v>57</v>
      </c>
      <c r="G549">
        <v>56</v>
      </c>
      <c r="H549">
        <v>64</v>
      </c>
      <c r="I549">
        <v>66</v>
      </c>
      <c r="J549">
        <v>65</v>
      </c>
      <c r="K549">
        <v>65</v>
      </c>
      <c r="L549">
        <v>65</v>
      </c>
      <c r="M549">
        <v>72</v>
      </c>
      <c r="N549">
        <v>63</v>
      </c>
      <c r="O549" s="173">
        <f t="shared" si="92"/>
        <v>61</v>
      </c>
      <c r="P549" s="173">
        <f t="shared" si="93"/>
        <v>10.916666666666664</v>
      </c>
      <c r="Q549" s="177">
        <f t="shared" si="94"/>
        <v>0.21797004991680527</v>
      </c>
    </row>
    <row r="550" spans="1:17" x14ac:dyDescent="0.2">
      <c r="B550" t="s">
        <v>471</v>
      </c>
      <c r="C550">
        <v>67</v>
      </c>
      <c r="D550">
        <v>65</v>
      </c>
      <c r="E550">
        <v>65</v>
      </c>
      <c r="F550">
        <v>61</v>
      </c>
      <c r="G550">
        <v>59</v>
      </c>
      <c r="H550">
        <v>58</v>
      </c>
      <c r="I550">
        <v>53</v>
      </c>
      <c r="J550">
        <v>56</v>
      </c>
      <c r="K550">
        <v>57</v>
      </c>
      <c r="L550">
        <v>57</v>
      </c>
      <c r="M550">
        <v>52</v>
      </c>
      <c r="N550">
        <v>58</v>
      </c>
      <c r="O550" s="173">
        <f t="shared" si="92"/>
        <v>59</v>
      </c>
      <c r="P550" s="173">
        <f t="shared" si="93"/>
        <v>-2</v>
      </c>
      <c r="Q550" s="177">
        <f t="shared" si="94"/>
        <v>-3.2786885245901641E-2</v>
      </c>
    </row>
    <row r="551" spans="1:17" x14ac:dyDescent="0.2">
      <c r="B551" t="s">
        <v>537</v>
      </c>
      <c r="C551">
        <v>55</v>
      </c>
      <c r="D551">
        <v>43</v>
      </c>
      <c r="E551">
        <v>45</v>
      </c>
      <c r="F551">
        <v>45</v>
      </c>
      <c r="G551">
        <v>40</v>
      </c>
      <c r="H551">
        <v>45</v>
      </c>
      <c r="I551">
        <v>45</v>
      </c>
      <c r="J551">
        <v>49</v>
      </c>
      <c r="K551">
        <v>53</v>
      </c>
      <c r="L551">
        <v>50</v>
      </c>
      <c r="M551">
        <v>51</v>
      </c>
      <c r="N551">
        <v>50</v>
      </c>
      <c r="O551" s="173">
        <f t="shared" si="92"/>
        <v>47.583333333333336</v>
      </c>
      <c r="P551" s="173">
        <f t="shared" si="93"/>
        <v>-11.416666666666664</v>
      </c>
      <c r="Q551" s="177">
        <f t="shared" si="94"/>
        <v>-0.19350282485875703</v>
      </c>
    </row>
    <row r="552" spans="1:17" x14ac:dyDescent="0.2">
      <c r="B552" t="s">
        <v>628</v>
      </c>
      <c r="C552">
        <v>49</v>
      </c>
      <c r="D552">
        <v>44</v>
      </c>
      <c r="E552">
        <v>44</v>
      </c>
      <c r="F552">
        <v>47</v>
      </c>
      <c r="G552">
        <v>43</v>
      </c>
      <c r="H552">
        <v>42</v>
      </c>
      <c r="I552">
        <v>44</v>
      </c>
      <c r="J552">
        <v>47</v>
      </c>
      <c r="K552">
        <v>38</v>
      </c>
      <c r="L552">
        <v>13</v>
      </c>
      <c r="M552">
        <v>13</v>
      </c>
      <c r="N552">
        <v>11</v>
      </c>
      <c r="O552" s="173">
        <f t="shared" si="92"/>
        <v>36.25</v>
      </c>
      <c r="P552" s="173">
        <f>SUM(O552-O551)</f>
        <v>-11.333333333333336</v>
      </c>
      <c r="Q552" s="177">
        <f>SUM(P552/O551)</f>
        <v>-0.23817863397548164</v>
      </c>
    </row>
    <row r="553" spans="1:17" x14ac:dyDescent="0.2">
      <c r="B553" t="s">
        <v>629</v>
      </c>
      <c r="C553">
        <v>11</v>
      </c>
      <c r="D553">
        <v>11</v>
      </c>
      <c r="E553">
        <v>10</v>
      </c>
      <c r="F553">
        <v>10</v>
      </c>
      <c r="G553">
        <v>11</v>
      </c>
      <c r="H553">
        <v>11</v>
      </c>
      <c r="I553">
        <v>10</v>
      </c>
      <c r="J553">
        <v>8</v>
      </c>
      <c r="K553">
        <v>8</v>
      </c>
      <c r="L553">
        <v>9</v>
      </c>
      <c r="M553">
        <v>58</v>
      </c>
      <c r="N553">
        <v>58</v>
      </c>
      <c r="O553" s="173">
        <f t="shared" si="92"/>
        <v>17.916666666666668</v>
      </c>
      <c r="P553" s="173">
        <f>SUM(O553-O552)</f>
        <v>-18.333333333333332</v>
      </c>
      <c r="Q553" s="177">
        <f>SUM(P553/O552)</f>
        <v>-0.50574712643678155</v>
      </c>
    </row>
    <row r="554" spans="1:17" x14ac:dyDescent="0.2">
      <c r="O554" s="173"/>
      <c r="P554" s="173"/>
      <c r="Q554" s="177"/>
    </row>
    <row r="555" spans="1:17" ht="24.75" customHeight="1" x14ac:dyDescent="0.2">
      <c r="A555" s="603" t="s">
        <v>451</v>
      </c>
      <c r="B555" s="179" t="s">
        <v>418</v>
      </c>
      <c r="C555" s="179" t="s">
        <v>419</v>
      </c>
      <c r="D555" s="179" t="s">
        <v>420</v>
      </c>
      <c r="E555" s="179" t="s">
        <v>421</v>
      </c>
      <c r="F555" s="179" t="s">
        <v>422</v>
      </c>
      <c r="G555" s="179" t="s">
        <v>423</v>
      </c>
      <c r="H555" s="179" t="s">
        <v>424</v>
      </c>
      <c r="I555" s="179" t="s">
        <v>425</v>
      </c>
      <c r="J555" s="179" t="s">
        <v>426</v>
      </c>
      <c r="K555" s="179" t="s">
        <v>427</v>
      </c>
      <c r="L555" s="179" t="s">
        <v>428</v>
      </c>
      <c r="M555" s="179" t="s">
        <v>429</v>
      </c>
      <c r="N555" s="179" t="s">
        <v>430</v>
      </c>
    </row>
    <row r="556" spans="1:17" x14ac:dyDescent="0.2">
      <c r="B556" t="s">
        <v>335</v>
      </c>
      <c r="H556">
        <v>120</v>
      </c>
      <c r="I556">
        <v>96</v>
      </c>
      <c r="J556">
        <v>123</v>
      </c>
      <c r="K556">
        <v>105</v>
      </c>
      <c r="L556">
        <v>122</v>
      </c>
      <c r="M556">
        <v>118</v>
      </c>
      <c r="N556">
        <v>118</v>
      </c>
      <c r="O556" s="173">
        <f>SUM(C556:N556)/7</f>
        <v>114.57142857142857</v>
      </c>
      <c r="P556" s="173"/>
      <c r="Q556" s="177"/>
    </row>
    <row r="557" spans="1:17" x14ac:dyDescent="0.2">
      <c r="B557" t="s">
        <v>358</v>
      </c>
      <c r="C557">
        <v>108</v>
      </c>
      <c r="D557">
        <v>110</v>
      </c>
      <c r="E557">
        <v>105</v>
      </c>
      <c r="F557">
        <v>102</v>
      </c>
      <c r="G557">
        <v>121</v>
      </c>
      <c r="H557">
        <v>133</v>
      </c>
      <c r="I557">
        <v>137</v>
      </c>
      <c r="J557">
        <v>129</v>
      </c>
      <c r="K557">
        <v>137</v>
      </c>
      <c r="L557">
        <v>140</v>
      </c>
      <c r="M557">
        <v>134</v>
      </c>
      <c r="N557">
        <v>128</v>
      </c>
      <c r="O557" s="173">
        <f t="shared" ref="O557:O562" si="95">SUM(C557:N557)/12</f>
        <v>123.66666666666667</v>
      </c>
      <c r="P557" s="173">
        <f t="shared" ref="P557:P562" si="96">SUM(O557-O556)</f>
        <v>9.095238095238102</v>
      </c>
      <c r="Q557" s="177">
        <f t="shared" ref="Q557:Q562" si="97">SUM(P557/O556)</f>
        <v>7.9384871155444778E-2</v>
      </c>
    </row>
    <row r="558" spans="1:17" x14ac:dyDescent="0.2">
      <c r="B558" t="s">
        <v>437</v>
      </c>
      <c r="C558">
        <v>109</v>
      </c>
      <c r="D558">
        <v>111</v>
      </c>
      <c r="E558">
        <v>117</v>
      </c>
      <c r="F558">
        <v>117</v>
      </c>
      <c r="G558">
        <v>122</v>
      </c>
      <c r="H558">
        <v>122</v>
      </c>
      <c r="I558">
        <v>140</v>
      </c>
      <c r="J558">
        <v>138</v>
      </c>
      <c r="K558">
        <v>138</v>
      </c>
      <c r="L558">
        <v>107</v>
      </c>
      <c r="M558">
        <v>109</v>
      </c>
      <c r="N558">
        <v>128</v>
      </c>
      <c r="O558" s="173">
        <f t="shared" si="95"/>
        <v>121.5</v>
      </c>
      <c r="P558" s="173">
        <f t="shared" si="96"/>
        <v>-2.1666666666666714</v>
      </c>
      <c r="Q558" s="177">
        <f t="shared" si="97"/>
        <v>-1.7520215633423219E-2</v>
      </c>
    </row>
    <row r="559" spans="1:17" x14ac:dyDescent="0.2">
      <c r="B559" t="s">
        <v>471</v>
      </c>
      <c r="C559">
        <v>109</v>
      </c>
      <c r="D559">
        <v>116</v>
      </c>
      <c r="E559">
        <v>125</v>
      </c>
      <c r="F559">
        <v>113</v>
      </c>
      <c r="G559">
        <v>99</v>
      </c>
      <c r="H559">
        <v>98</v>
      </c>
      <c r="I559">
        <v>107</v>
      </c>
      <c r="J559">
        <v>113</v>
      </c>
      <c r="K559">
        <v>118</v>
      </c>
      <c r="L559">
        <v>105</v>
      </c>
      <c r="M559">
        <v>107</v>
      </c>
      <c r="N559">
        <v>110</v>
      </c>
      <c r="O559" s="173">
        <f t="shared" si="95"/>
        <v>110</v>
      </c>
      <c r="P559" s="173">
        <f t="shared" si="96"/>
        <v>-11.5</v>
      </c>
      <c r="Q559" s="177">
        <f t="shared" si="97"/>
        <v>-9.4650205761316872E-2</v>
      </c>
    </row>
    <row r="560" spans="1:17" x14ac:dyDescent="0.2">
      <c r="B560" t="s">
        <v>537</v>
      </c>
      <c r="C560">
        <v>111</v>
      </c>
      <c r="D560">
        <v>102</v>
      </c>
      <c r="E560">
        <v>122</v>
      </c>
      <c r="F560">
        <v>144</v>
      </c>
      <c r="G560">
        <v>154</v>
      </c>
      <c r="H560">
        <v>164</v>
      </c>
      <c r="I560">
        <v>164</v>
      </c>
      <c r="J560">
        <v>169</v>
      </c>
      <c r="K560">
        <v>164</v>
      </c>
      <c r="L560">
        <v>165</v>
      </c>
      <c r="M560">
        <v>161</v>
      </c>
      <c r="N560">
        <v>142</v>
      </c>
      <c r="O560" s="173">
        <f t="shared" si="95"/>
        <v>146.83333333333334</v>
      </c>
      <c r="P560" s="173">
        <f t="shared" si="96"/>
        <v>36.833333333333343</v>
      </c>
      <c r="Q560" s="177">
        <f t="shared" si="97"/>
        <v>0.33484848484848495</v>
      </c>
    </row>
    <row r="561" spans="1:18" x14ac:dyDescent="0.2">
      <c r="B561" t="s">
        <v>628</v>
      </c>
      <c r="C561">
        <v>158</v>
      </c>
      <c r="D561">
        <v>164</v>
      </c>
      <c r="E561">
        <v>169</v>
      </c>
      <c r="F561">
        <v>191</v>
      </c>
      <c r="G561">
        <v>185</v>
      </c>
      <c r="H561">
        <v>192</v>
      </c>
      <c r="I561">
        <v>181</v>
      </c>
      <c r="J561">
        <v>162</v>
      </c>
      <c r="K561">
        <v>140</v>
      </c>
      <c r="L561">
        <v>146</v>
      </c>
      <c r="M561">
        <v>154</v>
      </c>
      <c r="N561">
        <v>150</v>
      </c>
      <c r="O561" s="173">
        <f t="shared" si="95"/>
        <v>166</v>
      </c>
      <c r="P561" s="173">
        <f t="shared" si="96"/>
        <v>19.166666666666657</v>
      </c>
      <c r="Q561" s="177">
        <f t="shared" si="97"/>
        <v>0.13053348467650391</v>
      </c>
    </row>
    <row r="562" spans="1:18" x14ac:dyDescent="0.2">
      <c r="B562" t="s">
        <v>629</v>
      </c>
      <c r="C562">
        <v>135</v>
      </c>
      <c r="D562">
        <v>124</v>
      </c>
      <c r="E562">
        <v>138</v>
      </c>
      <c r="F562">
        <v>129</v>
      </c>
      <c r="G562">
        <v>115</v>
      </c>
      <c r="H562">
        <v>99</v>
      </c>
      <c r="I562">
        <v>91</v>
      </c>
      <c r="J562">
        <v>84</v>
      </c>
      <c r="K562">
        <v>90</v>
      </c>
      <c r="L562">
        <v>104</v>
      </c>
      <c r="M562">
        <v>95</v>
      </c>
      <c r="N562">
        <v>97</v>
      </c>
      <c r="O562" s="173">
        <f t="shared" si="95"/>
        <v>108.41666666666667</v>
      </c>
      <c r="P562" s="173">
        <f t="shared" si="96"/>
        <v>-57.583333333333329</v>
      </c>
      <c r="Q562" s="177">
        <f t="shared" si="97"/>
        <v>-0.3468875502008032</v>
      </c>
    </row>
    <row r="564" spans="1:18" x14ac:dyDescent="0.2">
      <c r="A564" s="178"/>
      <c r="B564" s="178"/>
      <c r="C564" s="178"/>
      <c r="D564" s="178"/>
      <c r="E564" s="178"/>
      <c r="F564" s="178"/>
      <c r="G564" s="178"/>
      <c r="H564" s="178"/>
      <c r="I564" s="178"/>
      <c r="J564" s="178"/>
      <c r="K564" s="178"/>
      <c r="L564" s="178"/>
      <c r="M564" s="178"/>
      <c r="N564" s="178"/>
      <c r="O564" s="178"/>
      <c r="P564" s="178"/>
      <c r="Q564" s="178"/>
      <c r="R564" s="178"/>
    </row>
    <row r="565" spans="1:18" ht="38.25" x14ac:dyDescent="0.2">
      <c r="A565" s="960" t="s">
        <v>452</v>
      </c>
      <c r="B565" s="971" t="s">
        <v>418</v>
      </c>
      <c r="C565" s="972" t="s">
        <v>419</v>
      </c>
      <c r="D565" s="972" t="s">
        <v>420</v>
      </c>
      <c r="E565" s="972" t="s">
        <v>421</v>
      </c>
      <c r="F565" s="972" t="s">
        <v>422</v>
      </c>
      <c r="G565" s="972" t="s">
        <v>423</v>
      </c>
      <c r="H565" s="972" t="s">
        <v>424</v>
      </c>
      <c r="I565" s="972" t="s">
        <v>425</v>
      </c>
      <c r="J565" s="972" t="s">
        <v>426</v>
      </c>
      <c r="K565" s="972" t="s">
        <v>427</v>
      </c>
      <c r="L565" s="972" t="s">
        <v>428</v>
      </c>
      <c r="M565" s="972" t="s">
        <v>429</v>
      </c>
      <c r="N565" s="973" t="s">
        <v>430</v>
      </c>
      <c r="O565" s="970" t="s">
        <v>431</v>
      </c>
      <c r="P565" s="969" t="s">
        <v>432</v>
      </c>
      <c r="Q565" s="969" t="s">
        <v>433</v>
      </c>
      <c r="R565" s="968" t="s">
        <v>453</v>
      </c>
    </row>
    <row r="566" spans="1:18" x14ac:dyDescent="0.2">
      <c r="A566" s="974" t="s">
        <v>470</v>
      </c>
      <c r="B566" s="768" t="s">
        <v>434</v>
      </c>
      <c r="C566" s="975">
        <f t="shared" ref="C566:N578" si="98">SUM(C305,C324,C343,C363,C382,C401,C421,C440,C459,C479,C498,C517,C537)</f>
        <v>4476</v>
      </c>
      <c r="D566" s="975">
        <f t="shared" si="98"/>
        <v>4483</v>
      </c>
      <c r="E566" s="975">
        <f t="shared" si="98"/>
        <v>4465</v>
      </c>
      <c r="F566" s="975">
        <f t="shared" si="98"/>
        <v>4430</v>
      </c>
      <c r="G566" s="975">
        <f t="shared" si="98"/>
        <v>4464</v>
      </c>
      <c r="H566" s="975">
        <f t="shared" si="98"/>
        <v>4489</v>
      </c>
      <c r="I566" s="975">
        <f t="shared" si="98"/>
        <v>4483</v>
      </c>
      <c r="J566" s="975">
        <f t="shared" si="98"/>
        <v>4518</v>
      </c>
      <c r="K566" s="975">
        <f t="shared" si="98"/>
        <v>4524</v>
      </c>
      <c r="L566" s="975">
        <f t="shared" si="98"/>
        <v>4527</v>
      </c>
      <c r="M566" s="975">
        <f t="shared" si="98"/>
        <v>4496</v>
      </c>
      <c r="N566" s="976">
        <f t="shared" si="98"/>
        <v>4561</v>
      </c>
      <c r="O566" s="967">
        <f t="shared" ref="O566:O574" si="99">SUM(C566:N566)/12</f>
        <v>4493</v>
      </c>
      <c r="P566" s="661"/>
      <c r="Q566" s="661"/>
      <c r="R566" s="966"/>
    </row>
    <row r="567" spans="1:18" x14ac:dyDescent="0.2">
      <c r="A567" s="977"/>
      <c r="B567" s="768" t="s">
        <v>435</v>
      </c>
      <c r="C567" s="975">
        <f t="shared" si="98"/>
        <v>4520</v>
      </c>
      <c r="D567" s="975">
        <f t="shared" si="98"/>
        <v>4564</v>
      </c>
      <c r="E567" s="975">
        <f t="shared" si="98"/>
        <v>4554</v>
      </c>
      <c r="F567" s="975">
        <f t="shared" si="98"/>
        <v>4570</v>
      </c>
      <c r="G567" s="975">
        <f t="shared" si="98"/>
        <v>4539</v>
      </c>
      <c r="H567" s="975">
        <f t="shared" si="98"/>
        <v>4559</v>
      </c>
      <c r="I567" s="975">
        <f t="shared" si="98"/>
        <v>4522</v>
      </c>
      <c r="J567" s="975">
        <f t="shared" si="98"/>
        <v>4548</v>
      </c>
      <c r="K567" s="975">
        <f t="shared" si="98"/>
        <v>4510</v>
      </c>
      <c r="L567" s="975">
        <f t="shared" si="98"/>
        <v>4548</v>
      </c>
      <c r="M567" s="975">
        <f t="shared" si="98"/>
        <v>4537</v>
      </c>
      <c r="N567" s="976">
        <f t="shared" si="98"/>
        <v>4525</v>
      </c>
      <c r="O567" s="967">
        <f t="shared" si="99"/>
        <v>4541.333333333333</v>
      </c>
      <c r="P567" s="662">
        <f t="shared" ref="P567:P573" si="100">SUM(O567-N566)</f>
        <v>-19.66666666666697</v>
      </c>
      <c r="Q567" s="663">
        <f t="shared" ref="Q567:Q575" si="101">SUM(P567/O566)</f>
        <v>-4.3771793159730621E-3</v>
      </c>
      <c r="R567" s="966"/>
    </row>
    <row r="568" spans="1:18" x14ac:dyDescent="0.2">
      <c r="A568" s="977"/>
      <c r="B568" s="768" t="s">
        <v>436</v>
      </c>
      <c r="C568" s="975">
        <f t="shared" si="98"/>
        <v>4558</v>
      </c>
      <c r="D568" s="975">
        <f t="shared" si="98"/>
        <v>4615</v>
      </c>
      <c r="E568" s="975">
        <f t="shared" si="98"/>
        <v>4607</v>
      </c>
      <c r="F568" s="975">
        <f t="shared" si="98"/>
        <v>4575</v>
      </c>
      <c r="G568" s="975">
        <f t="shared" si="98"/>
        <v>4575</v>
      </c>
      <c r="H568" s="975">
        <f t="shared" si="98"/>
        <v>4624</v>
      </c>
      <c r="I568" s="975">
        <f t="shared" si="98"/>
        <v>4604</v>
      </c>
      <c r="J568" s="975">
        <f t="shared" si="98"/>
        <v>4666</v>
      </c>
      <c r="K568" s="975">
        <f t="shared" si="98"/>
        <v>4736</v>
      </c>
      <c r="L568" s="975">
        <f t="shared" si="98"/>
        <v>4774</v>
      </c>
      <c r="M568" s="975">
        <f t="shared" si="98"/>
        <v>4832</v>
      </c>
      <c r="N568" s="976">
        <f t="shared" si="98"/>
        <v>4872</v>
      </c>
      <c r="O568" s="967">
        <f t="shared" si="99"/>
        <v>4669.833333333333</v>
      </c>
      <c r="P568" s="662">
        <f t="shared" si="100"/>
        <v>144.83333333333303</v>
      </c>
      <c r="Q568" s="663">
        <f t="shared" si="101"/>
        <v>3.1892248972401581E-2</v>
      </c>
      <c r="R568" s="965">
        <f>SUM(Q567:Q568)</f>
        <v>2.7515069656428519E-2</v>
      </c>
    </row>
    <row r="569" spans="1:18" x14ac:dyDescent="0.2">
      <c r="A569" s="977"/>
      <c r="B569" s="768" t="s">
        <v>260</v>
      </c>
      <c r="C569" s="975">
        <f t="shared" si="98"/>
        <v>4823</v>
      </c>
      <c r="D569" s="975">
        <f t="shared" si="98"/>
        <v>4949</v>
      </c>
      <c r="E569" s="975">
        <f t="shared" si="98"/>
        <v>4738</v>
      </c>
      <c r="F569" s="975">
        <f t="shared" si="98"/>
        <v>4753</v>
      </c>
      <c r="G569" s="975">
        <f t="shared" si="98"/>
        <v>4796</v>
      </c>
      <c r="H569" s="975">
        <f t="shared" si="98"/>
        <v>4795</v>
      </c>
      <c r="I569" s="975">
        <f t="shared" si="98"/>
        <v>4787</v>
      </c>
      <c r="J569" s="975">
        <f t="shared" si="98"/>
        <v>4789</v>
      </c>
      <c r="K569" s="975">
        <f t="shared" si="98"/>
        <v>4682</v>
      </c>
      <c r="L569" s="975">
        <f t="shared" si="98"/>
        <v>4694</v>
      </c>
      <c r="M569" s="975">
        <f t="shared" si="98"/>
        <v>4685</v>
      </c>
      <c r="N569" s="976">
        <f t="shared" si="98"/>
        <v>4723</v>
      </c>
      <c r="O569" s="967">
        <f t="shared" si="99"/>
        <v>4767.833333333333</v>
      </c>
      <c r="P569" s="662">
        <f t="shared" si="100"/>
        <v>-104.16666666666697</v>
      </c>
      <c r="Q569" s="663">
        <f t="shared" si="101"/>
        <v>-2.2306292158892245E-2</v>
      </c>
      <c r="R569" s="965">
        <f>SUM(Q567:Q569)</f>
        <v>5.2087774975362738E-3</v>
      </c>
    </row>
    <row r="570" spans="1:18" x14ac:dyDescent="0.2">
      <c r="A570" s="977"/>
      <c r="B570" s="768" t="s">
        <v>259</v>
      </c>
      <c r="C570" s="975">
        <f t="shared" si="98"/>
        <v>4934</v>
      </c>
      <c r="D570" s="975">
        <f t="shared" si="98"/>
        <v>4681</v>
      </c>
      <c r="E570" s="975">
        <f t="shared" si="98"/>
        <v>4701</v>
      </c>
      <c r="F570" s="975">
        <f t="shared" si="98"/>
        <v>4713</v>
      </c>
      <c r="G570" s="975">
        <f t="shared" si="98"/>
        <v>4644</v>
      </c>
      <c r="H570" s="975">
        <f t="shared" si="98"/>
        <v>4760</v>
      </c>
      <c r="I570" s="975">
        <f t="shared" si="98"/>
        <v>4760</v>
      </c>
      <c r="J570" s="975">
        <f t="shared" si="98"/>
        <v>4753</v>
      </c>
      <c r="K570" s="975">
        <f t="shared" si="98"/>
        <v>4744</v>
      </c>
      <c r="L570" s="975">
        <f t="shared" si="98"/>
        <v>4764</v>
      </c>
      <c r="M570" s="975">
        <f t="shared" si="98"/>
        <v>4810</v>
      </c>
      <c r="N570" s="976">
        <f t="shared" si="98"/>
        <v>4804</v>
      </c>
      <c r="O570" s="967">
        <f t="shared" si="99"/>
        <v>4755.666666666667</v>
      </c>
      <c r="P570" s="662">
        <f t="shared" si="100"/>
        <v>32.66666666666697</v>
      </c>
      <c r="Q570" s="663">
        <f t="shared" si="101"/>
        <v>6.8514699199497264E-3</v>
      </c>
      <c r="R570" s="965">
        <f>SUM(Q567:Q570)</f>
        <v>1.2060247417486E-2</v>
      </c>
    </row>
    <row r="571" spans="1:18" x14ac:dyDescent="0.2">
      <c r="A571" s="977"/>
      <c r="B571" s="768" t="s">
        <v>280</v>
      </c>
      <c r="C571" s="975">
        <f t="shared" si="98"/>
        <v>4780</v>
      </c>
      <c r="D571" s="975">
        <f t="shared" si="98"/>
        <v>4815</v>
      </c>
      <c r="E571" s="975">
        <f t="shared" si="98"/>
        <v>4843</v>
      </c>
      <c r="F571" s="975">
        <f t="shared" si="98"/>
        <v>4851</v>
      </c>
      <c r="G571" s="975">
        <f t="shared" si="98"/>
        <v>4883</v>
      </c>
      <c r="H571" s="975">
        <f t="shared" si="98"/>
        <v>4792</v>
      </c>
      <c r="I571" s="975">
        <f t="shared" si="98"/>
        <v>4842</v>
      </c>
      <c r="J571" s="975">
        <f t="shared" si="98"/>
        <v>4977</v>
      </c>
      <c r="K571" s="975">
        <f t="shared" si="98"/>
        <v>4949</v>
      </c>
      <c r="L571" s="975">
        <f t="shared" si="98"/>
        <v>4956</v>
      </c>
      <c r="M571" s="975">
        <f t="shared" si="98"/>
        <v>5017</v>
      </c>
      <c r="N571" s="976">
        <f t="shared" si="98"/>
        <v>4991</v>
      </c>
      <c r="O571" s="967">
        <f t="shared" si="99"/>
        <v>4891.333333333333</v>
      </c>
      <c r="P571" s="662">
        <f t="shared" si="100"/>
        <v>87.33333333333303</v>
      </c>
      <c r="Q571" s="663">
        <f t="shared" si="101"/>
        <v>1.8364056914558006E-2</v>
      </c>
      <c r="R571" s="965">
        <f>SUM(Q567:Q571)</f>
        <v>3.0424304332044006E-2</v>
      </c>
    </row>
    <row r="572" spans="1:18" x14ac:dyDescent="0.2">
      <c r="A572" s="977"/>
      <c r="B572" s="768" t="s">
        <v>290</v>
      </c>
      <c r="C572" s="975">
        <f t="shared" si="98"/>
        <v>5030</v>
      </c>
      <c r="D572" s="975">
        <f t="shared" si="98"/>
        <v>5070</v>
      </c>
      <c r="E572" s="975">
        <f t="shared" si="98"/>
        <v>5041</v>
      </c>
      <c r="F572" s="975">
        <f t="shared" si="98"/>
        <v>5085</v>
      </c>
      <c r="G572" s="975">
        <f t="shared" si="98"/>
        <v>5067</v>
      </c>
      <c r="H572" s="975">
        <f t="shared" si="98"/>
        <v>5102</v>
      </c>
      <c r="I572" s="975">
        <f t="shared" si="98"/>
        <v>5086</v>
      </c>
      <c r="J572" s="975">
        <f t="shared" si="98"/>
        <v>5164</v>
      </c>
      <c r="K572" s="975">
        <f t="shared" si="98"/>
        <v>5141</v>
      </c>
      <c r="L572" s="975">
        <f t="shared" si="98"/>
        <v>5196</v>
      </c>
      <c r="M572" s="975">
        <f t="shared" si="98"/>
        <v>5262</v>
      </c>
      <c r="N572" s="976">
        <f t="shared" si="98"/>
        <v>5272</v>
      </c>
      <c r="O572" s="967">
        <f t="shared" si="99"/>
        <v>5126.333333333333</v>
      </c>
      <c r="P572" s="662">
        <f t="shared" si="100"/>
        <v>135.33333333333303</v>
      </c>
      <c r="Q572" s="663">
        <f t="shared" si="101"/>
        <v>2.7667984189723261E-2</v>
      </c>
      <c r="R572" s="965">
        <f>SUM(Q567:Q572)</f>
        <v>5.8092288521767267E-2</v>
      </c>
    </row>
    <row r="573" spans="1:18" x14ac:dyDescent="0.2">
      <c r="A573" s="977"/>
      <c r="B573" s="768" t="s">
        <v>293</v>
      </c>
      <c r="C573" s="975">
        <f t="shared" si="98"/>
        <v>5300</v>
      </c>
      <c r="D573" s="975">
        <f t="shared" si="98"/>
        <v>5270</v>
      </c>
      <c r="E573" s="975">
        <f t="shared" si="98"/>
        <v>5214</v>
      </c>
      <c r="F573" s="975">
        <f t="shared" si="98"/>
        <v>5280</v>
      </c>
      <c r="G573" s="975">
        <f t="shared" si="98"/>
        <v>5289</v>
      </c>
      <c r="H573" s="975">
        <f t="shared" si="98"/>
        <v>5344</v>
      </c>
      <c r="I573" s="975">
        <f t="shared" si="98"/>
        <v>5315</v>
      </c>
      <c r="J573" s="975">
        <f t="shared" si="98"/>
        <v>5326</v>
      </c>
      <c r="K573" s="975">
        <f t="shared" si="98"/>
        <v>5260</v>
      </c>
      <c r="L573" s="975">
        <f t="shared" si="98"/>
        <v>5801</v>
      </c>
      <c r="M573" s="975">
        <f t="shared" si="98"/>
        <v>5765</v>
      </c>
      <c r="N573" s="976">
        <f t="shared" si="98"/>
        <v>5296</v>
      </c>
      <c r="O573" s="967">
        <f t="shared" si="99"/>
        <v>5371.666666666667</v>
      </c>
      <c r="P573" s="662">
        <f t="shared" si="100"/>
        <v>99.66666666666697</v>
      </c>
      <c r="Q573" s="663">
        <f t="shared" si="101"/>
        <v>1.9442096365173349E-2</v>
      </c>
      <c r="R573" s="965">
        <f t="shared" ref="R573:R578" si="102">SUM(Q567:Q573)</f>
        <v>7.7534384886940616E-2</v>
      </c>
    </row>
    <row r="574" spans="1:18" x14ac:dyDescent="0.2">
      <c r="A574" s="977"/>
      <c r="B574" s="768" t="s">
        <v>294</v>
      </c>
      <c r="C574" s="975">
        <f t="shared" si="98"/>
        <v>5324</v>
      </c>
      <c r="D574" s="975">
        <f t="shared" si="98"/>
        <v>5413</v>
      </c>
      <c r="E574" s="975">
        <f t="shared" si="98"/>
        <v>5738</v>
      </c>
      <c r="F574" s="975">
        <f t="shared" si="98"/>
        <v>5475</v>
      </c>
      <c r="G574" s="975">
        <f t="shared" si="98"/>
        <v>5231</v>
      </c>
      <c r="H574" s="975">
        <f t="shared" si="98"/>
        <v>5265</v>
      </c>
      <c r="I574" s="975">
        <f t="shared" si="98"/>
        <v>5442</v>
      </c>
      <c r="J574" s="975">
        <f t="shared" si="98"/>
        <v>5402</v>
      </c>
      <c r="K574" s="975">
        <f t="shared" si="98"/>
        <v>5364</v>
      </c>
      <c r="L574" s="975">
        <f t="shared" si="98"/>
        <v>5409</v>
      </c>
      <c r="M574" s="975">
        <f t="shared" si="98"/>
        <v>5790</v>
      </c>
      <c r="N574" s="976">
        <f t="shared" si="98"/>
        <v>5890</v>
      </c>
      <c r="O574" s="967">
        <f t="shared" si="99"/>
        <v>5478.583333333333</v>
      </c>
      <c r="P574" s="662">
        <f t="shared" ref="P574:P579" si="103">SUM(O574-O573)</f>
        <v>106.91666666666606</v>
      </c>
      <c r="Q574" s="663">
        <f t="shared" si="101"/>
        <v>1.9903816320198459E-2</v>
      </c>
      <c r="R574" s="965">
        <f t="shared" si="102"/>
        <v>0.10181538052311213</v>
      </c>
    </row>
    <row r="575" spans="1:18" x14ac:dyDescent="0.2">
      <c r="A575" s="977"/>
      <c r="B575" s="768" t="s">
        <v>295</v>
      </c>
      <c r="C575" s="975">
        <f t="shared" si="98"/>
        <v>5636</v>
      </c>
      <c r="D575" s="975">
        <f t="shared" si="98"/>
        <v>5620</v>
      </c>
      <c r="E575" s="975">
        <f t="shared" si="98"/>
        <v>5623</v>
      </c>
      <c r="F575" s="975">
        <f t="shared" si="98"/>
        <v>5600</v>
      </c>
      <c r="G575" s="975">
        <f t="shared" si="98"/>
        <v>5642</v>
      </c>
      <c r="H575" s="975">
        <f t="shared" si="98"/>
        <v>5678</v>
      </c>
      <c r="I575" s="975">
        <f t="shared" si="98"/>
        <v>5668</v>
      </c>
      <c r="J575" s="975">
        <f t="shared" si="98"/>
        <v>5682</v>
      </c>
      <c r="K575" s="975">
        <f t="shared" si="98"/>
        <v>5707</v>
      </c>
      <c r="L575" s="975">
        <f t="shared" si="98"/>
        <v>5751</v>
      </c>
      <c r="M575" s="975">
        <f t="shared" si="98"/>
        <v>5791</v>
      </c>
      <c r="N575" s="976">
        <f t="shared" si="98"/>
        <v>5813</v>
      </c>
      <c r="O575" s="967">
        <f>SUM(C575:N575)/12</f>
        <v>5684.25</v>
      </c>
      <c r="P575" s="662">
        <f t="shared" si="103"/>
        <v>205.66666666666697</v>
      </c>
      <c r="Q575" s="663">
        <f t="shared" si="101"/>
        <v>3.7540118339595148E-2</v>
      </c>
      <c r="R575" s="965">
        <f t="shared" si="102"/>
        <v>0.1074632498903057</v>
      </c>
    </row>
    <row r="576" spans="1:18" x14ac:dyDescent="0.2">
      <c r="A576" s="977"/>
      <c r="B576" s="768" t="s">
        <v>335</v>
      </c>
      <c r="C576" s="975">
        <f t="shared" si="98"/>
        <v>5792</v>
      </c>
      <c r="D576" s="975">
        <f t="shared" si="98"/>
        <v>5837</v>
      </c>
      <c r="E576" s="975">
        <f t="shared" si="98"/>
        <v>5783</v>
      </c>
      <c r="F576" s="975">
        <f t="shared" si="98"/>
        <v>5776</v>
      </c>
      <c r="G576" s="975">
        <f t="shared" si="98"/>
        <v>5691</v>
      </c>
      <c r="H576" s="975">
        <f t="shared" si="98"/>
        <v>5868</v>
      </c>
      <c r="I576" s="975">
        <f t="shared" si="98"/>
        <v>5812</v>
      </c>
      <c r="J576" s="975">
        <f t="shared" si="98"/>
        <v>5855</v>
      </c>
      <c r="K576" s="975">
        <f t="shared" si="98"/>
        <v>5867</v>
      </c>
      <c r="L576" s="975">
        <f t="shared" si="98"/>
        <v>5881</v>
      </c>
      <c r="M576" s="975">
        <f t="shared" si="98"/>
        <v>5824</v>
      </c>
      <c r="N576" s="976">
        <f t="shared" si="98"/>
        <v>5846</v>
      </c>
      <c r="O576" s="967">
        <f>SUM(C576:N576)/12</f>
        <v>5819.333333333333</v>
      </c>
      <c r="P576" s="662">
        <f t="shared" si="103"/>
        <v>135.08333333333303</v>
      </c>
      <c r="Q576" s="663">
        <f t="shared" ref="Q576:Q581" si="104">SUM(P576/O575)</f>
        <v>2.3764495462608618E-2</v>
      </c>
      <c r="R576" s="965">
        <f t="shared" si="102"/>
        <v>0.15353403751180655</v>
      </c>
    </row>
    <row r="577" spans="1:18" x14ac:dyDescent="0.2">
      <c r="A577" s="977"/>
      <c r="B577" s="768" t="s">
        <v>358</v>
      </c>
      <c r="C577" s="975">
        <f t="shared" si="98"/>
        <v>5909</v>
      </c>
      <c r="D577" s="975">
        <f t="shared" si="98"/>
        <v>5921</v>
      </c>
      <c r="E577" s="975">
        <f t="shared" si="98"/>
        <v>5881</v>
      </c>
      <c r="F577" s="975">
        <f t="shared" si="98"/>
        <v>5938</v>
      </c>
      <c r="G577" s="975">
        <f t="shared" si="98"/>
        <v>5963</v>
      </c>
      <c r="H577" s="975">
        <f t="shared" si="98"/>
        <v>5986</v>
      </c>
      <c r="I577" s="975">
        <f t="shared" si="98"/>
        <v>5927</v>
      </c>
      <c r="J577" s="975">
        <f t="shared" si="98"/>
        <v>5974</v>
      </c>
      <c r="K577" s="975">
        <f t="shared" si="98"/>
        <v>6009</v>
      </c>
      <c r="L577" s="975">
        <f t="shared" si="98"/>
        <v>6021</v>
      </c>
      <c r="M577" s="975">
        <f t="shared" si="98"/>
        <v>5978</v>
      </c>
      <c r="N577" s="976">
        <f t="shared" si="98"/>
        <v>5883</v>
      </c>
      <c r="O577" s="967">
        <f>SUM(C577:N577)/12</f>
        <v>5949.166666666667</v>
      </c>
      <c r="P577" s="662">
        <f t="shared" si="103"/>
        <v>129.83333333333394</v>
      </c>
      <c r="Q577" s="663">
        <f t="shared" si="104"/>
        <v>2.2310688509565919E-2</v>
      </c>
      <c r="R577" s="965">
        <f t="shared" si="102"/>
        <v>0.16899325610142274</v>
      </c>
    </row>
    <row r="578" spans="1:18" x14ac:dyDescent="0.2">
      <c r="A578" s="977"/>
      <c r="B578" s="768" t="s">
        <v>454</v>
      </c>
      <c r="C578" s="975">
        <f t="shared" si="98"/>
        <v>5999</v>
      </c>
      <c r="D578" s="975">
        <f t="shared" si="98"/>
        <v>6010</v>
      </c>
      <c r="E578" s="975">
        <f t="shared" si="98"/>
        <v>6006</v>
      </c>
      <c r="F578" s="975">
        <f t="shared" si="98"/>
        <v>6022</v>
      </c>
      <c r="G578" s="975">
        <f t="shared" si="98"/>
        <v>6027</v>
      </c>
      <c r="H578" s="975">
        <f t="shared" si="98"/>
        <v>6072</v>
      </c>
      <c r="I578" s="975">
        <f t="shared" si="98"/>
        <v>6094</v>
      </c>
      <c r="J578" s="975">
        <f t="shared" si="98"/>
        <v>6090</v>
      </c>
      <c r="K578" s="975">
        <f t="shared" si="98"/>
        <v>6044</v>
      </c>
      <c r="L578" s="975">
        <f t="shared" si="98"/>
        <v>6053</v>
      </c>
      <c r="M578" s="975">
        <f t="shared" si="98"/>
        <v>6097</v>
      </c>
      <c r="N578" s="976">
        <f t="shared" si="98"/>
        <v>6122</v>
      </c>
      <c r="O578" s="967">
        <f>SUM(C578:N578)/12</f>
        <v>6053</v>
      </c>
      <c r="P578" s="662">
        <f t="shared" si="103"/>
        <v>103.83333333333303</v>
      </c>
      <c r="Q578" s="663">
        <f t="shared" si="104"/>
        <v>1.7453424849418635E-2</v>
      </c>
      <c r="R578" s="965">
        <f t="shared" si="102"/>
        <v>0.16808262403628338</v>
      </c>
    </row>
    <row r="579" spans="1:18" x14ac:dyDescent="0.2">
      <c r="A579" s="977"/>
      <c r="B579" s="768" t="s">
        <v>471</v>
      </c>
      <c r="C579" s="975">
        <f t="shared" ref="C579:O582" si="105">SUM(C318,C337,C356,C376,C395,C414,C434,C453,C472,C492,C511,C530,C550,C559)</f>
        <v>6219</v>
      </c>
      <c r="D579" s="975">
        <f t="shared" si="105"/>
        <v>6195</v>
      </c>
      <c r="E579" s="975">
        <f t="shared" si="105"/>
        <v>6211</v>
      </c>
      <c r="F579" s="975">
        <f t="shared" si="105"/>
        <v>6268</v>
      </c>
      <c r="G579" s="975">
        <f t="shared" si="105"/>
        <v>6289</v>
      </c>
      <c r="H579" s="975">
        <f t="shared" si="105"/>
        <v>6246</v>
      </c>
      <c r="I579" s="975">
        <f t="shared" si="105"/>
        <v>6283</v>
      </c>
      <c r="J579" s="975">
        <f t="shared" si="105"/>
        <v>6294</v>
      </c>
      <c r="K579" s="975">
        <f t="shared" si="105"/>
        <v>6169</v>
      </c>
      <c r="L579" s="975">
        <f t="shared" si="105"/>
        <v>6109</v>
      </c>
      <c r="M579" s="975">
        <f t="shared" si="105"/>
        <v>6183</v>
      </c>
      <c r="N579" s="976">
        <f t="shared" si="105"/>
        <v>6197</v>
      </c>
      <c r="O579" s="967">
        <f t="shared" si="105"/>
        <v>6221.9166666666652</v>
      </c>
      <c r="P579" s="662">
        <f t="shared" si="103"/>
        <v>168.91666666666515</v>
      </c>
      <c r="Q579" s="663">
        <f t="shared" si="104"/>
        <v>2.7906272371826392E-2</v>
      </c>
      <c r="R579" s="965">
        <f>SUM(Q573:Q579)</f>
        <v>0.16832091221838652</v>
      </c>
    </row>
    <row r="580" spans="1:18" x14ac:dyDescent="0.2">
      <c r="A580" s="977"/>
      <c r="B580" s="768" t="s">
        <v>537</v>
      </c>
      <c r="C580" s="975">
        <f t="shared" si="105"/>
        <v>6254</v>
      </c>
      <c r="D580" s="975">
        <f t="shared" si="105"/>
        <v>6195</v>
      </c>
      <c r="E580" s="975">
        <f t="shared" si="105"/>
        <v>6259</v>
      </c>
      <c r="F580" s="975">
        <f t="shared" si="105"/>
        <v>6210</v>
      </c>
      <c r="G580" s="975">
        <f t="shared" si="105"/>
        <v>6164</v>
      </c>
      <c r="H580" s="975">
        <f t="shared" si="105"/>
        <v>6214</v>
      </c>
      <c r="I580" s="975">
        <f t="shared" si="105"/>
        <v>6176</v>
      </c>
      <c r="J580" s="975">
        <f t="shared" si="105"/>
        <v>6172</v>
      </c>
      <c r="K580" s="975">
        <f t="shared" si="105"/>
        <v>6086</v>
      </c>
      <c r="L580" s="975">
        <f t="shared" si="105"/>
        <v>6077</v>
      </c>
      <c r="M580" s="975">
        <f t="shared" si="105"/>
        <v>6086</v>
      </c>
      <c r="N580" s="976">
        <f t="shared" si="105"/>
        <v>6159</v>
      </c>
      <c r="O580" s="967">
        <f t="shared" si="105"/>
        <v>6171.0000000000009</v>
      </c>
      <c r="P580" s="662">
        <f>SUM(O580-O579)</f>
        <v>-50.916666666664241</v>
      </c>
      <c r="Q580" s="663">
        <f t="shared" si="104"/>
        <v>-8.1834375795236062E-3</v>
      </c>
      <c r="R580" s="965">
        <f>SUM(Q574:Q580)</f>
        <v>0.14069537827368955</v>
      </c>
    </row>
    <row r="581" spans="1:18" x14ac:dyDescent="0.2">
      <c r="A581" s="977"/>
      <c r="B581" s="768" t="s">
        <v>628</v>
      </c>
      <c r="C581" s="975">
        <f t="shared" si="105"/>
        <v>6046</v>
      </c>
      <c r="D581" s="975">
        <f t="shared" si="105"/>
        <v>5977</v>
      </c>
      <c r="E581" s="975">
        <f t="shared" si="105"/>
        <v>5919</v>
      </c>
      <c r="F581" s="975">
        <f t="shared" si="105"/>
        <v>5878</v>
      </c>
      <c r="G581" s="975">
        <f t="shared" si="105"/>
        <v>5876</v>
      </c>
      <c r="H581" s="975">
        <f t="shared" si="105"/>
        <v>5773</v>
      </c>
      <c r="I581" s="975">
        <f t="shared" si="105"/>
        <v>5785</v>
      </c>
      <c r="J581" s="975">
        <f t="shared" si="105"/>
        <v>5754</v>
      </c>
      <c r="K581" s="975">
        <f t="shared" si="105"/>
        <v>5747</v>
      </c>
      <c r="L581" s="975">
        <f t="shared" si="105"/>
        <v>5612</v>
      </c>
      <c r="M581" s="975">
        <f t="shared" si="105"/>
        <v>5667</v>
      </c>
      <c r="N581" s="976">
        <f t="shared" si="105"/>
        <v>5672</v>
      </c>
      <c r="O581" s="967">
        <f t="shared" si="105"/>
        <v>5808.833333333333</v>
      </c>
      <c r="P581" s="662">
        <f>SUM(O581-O580)</f>
        <v>-362.16666666666788</v>
      </c>
      <c r="Q581" s="663">
        <f t="shared" si="104"/>
        <v>-5.8688489169772783E-2</v>
      </c>
      <c r="R581" s="965">
        <f>SUM(Q575:Q581)</f>
        <v>6.2103072783718329E-2</v>
      </c>
    </row>
    <row r="582" spans="1:18" s="786" customFormat="1" x14ac:dyDescent="0.2">
      <c r="A582" s="959"/>
      <c r="B582" s="958" t="s">
        <v>629</v>
      </c>
      <c r="C582" s="957">
        <f t="shared" si="105"/>
        <v>5433</v>
      </c>
      <c r="D582" s="957">
        <f t="shared" si="105"/>
        <v>5487</v>
      </c>
      <c r="E582" s="957">
        <f t="shared" si="105"/>
        <v>5411</v>
      </c>
      <c r="F582" s="957">
        <f t="shared" si="105"/>
        <v>5423</v>
      </c>
      <c r="G582" s="957">
        <f t="shared" si="105"/>
        <v>5368</v>
      </c>
      <c r="H582" s="957">
        <f t="shared" si="105"/>
        <v>5293</v>
      </c>
      <c r="I582" s="957">
        <f t="shared" si="105"/>
        <v>5267</v>
      </c>
      <c r="J582" s="957">
        <f t="shared" si="105"/>
        <v>5284</v>
      </c>
      <c r="K582" s="957">
        <f t="shared" si="105"/>
        <v>5341</v>
      </c>
      <c r="L582" s="957">
        <f t="shared" si="105"/>
        <v>5347</v>
      </c>
      <c r="M582" s="957">
        <f t="shared" si="105"/>
        <v>5336</v>
      </c>
      <c r="N582" s="956">
        <f t="shared" si="105"/>
        <v>5326</v>
      </c>
      <c r="O582" s="964">
        <f t="shared" si="105"/>
        <v>5359.6666666666661</v>
      </c>
      <c r="P582" s="963">
        <f>SUM(O582-O581)</f>
        <v>-449.16666666666697</v>
      </c>
      <c r="Q582" s="962">
        <f>SUM(P582/O581)</f>
        <v>-7.7324764008837171E-2</v>
      </c>
      <c r="R582" s="961">
        <f>SUM(Q576:Q582)</f>
        <v>-5.2761809564714011E-2</v>
      </c>
    </row>
    <row r="584" spans="1:18" x14ac:dyDescent="0.2">
      <c r="A584" s="534" t="s">
        <v>884</v>
      </c>
      <c r="G584" s="978">
        <f>O582</f>
        <v>5359.6666666666661</v>
      </c>
    </row>
    <row r="588" spans="1:18" x14ac:dyDescent="0.2">
      <c r="A588" s="763"/>
      <c r="B588" s="763"/>
      <c r="C588" s="763"/>
      <c r="D588" s="763"/>
      <c r="E588" s="763"/>
      <c r="F588" s="763"/>
      <c r="G588" s="763"/>
      <c r="H588" s="763"/>
      <c r="I588" s="763"/>
      <c r="J588" s="763"/>
      <c r="K588" s="763"/>
      <c r="L588" s="763"/>
      <c r="M588" s="763"/>
      <c r="N588" s="763"/>
      <c r="O588" s="763"/>
      <c r="P588" s="763"/>
      <c r="Q588" s="763"/>
    </row>
    <row r="589" spans="1:18" ht="38.25" x14ac:dyDescent="0.2">
      <c r="A589" s="175" t="s">
        <v>417</v>
      </c>
      <c r="B589" s="176" t="s">
        <v>418</v>
      </c>
      <c r="C589" s="179" t="s">
        <v>419</v>
      </c>
      <c r="D589" s="179" t="s">
        <v>420</v>
      </c>
      <c r="E589" s="179" t="s">
        <v>421</v>
      </c>
      <c r="F589" s="179" t="s">
        <v>422</v>
      </c>
      <c r="G589" s="179" t="s">
        <v>423</v>
      </c>
      <c r="H589" s="179" t="s">
        <v>424</v>
      </c>
      <c r="I589" s="179" t="s">
        <v>425</v>
      </c>
      <c r="J589" s="179" t="s">
        <v>426</v>
      </c>
      <c r="K589" s="179" t="s">
        <v>427</v>
      </c>
      <c r="L589" s="179" t="s">
        <v>428</v>
      </c>
      <c r="M589" s="179" t="s">
        <v>429</v>
      </c>
      <c r="N589" s="179" t="s">
        <v>430</v>
      </c>
      <c r="O589" s="174" t="s">
        <v>431</v>
      </c>
      <c r="P589" s="764" t="s">
        <v>432</v>
      </c>
      <c r="Q589" s="764" t="s">
        <v>433</v>
      </c>
    </row>
    <row r="590" spans="1:18" x14ac:dyDescent="0.2">
      <c r="B590" t="s">
        <v>434</v>
      </c>
      <c r="C590">
        <v>1998</v>
      </c>
      <c r="D590">
        <v>2016</v>
      </c>
      <c r="E590">
        <v>1984</v>
      </c>
      <c r="F590">
        <v>2010</v>
      </c>
      <c r="G590">
        <v>2067</v>
      </c>
      <c r="H590">
        <v>2078</v>
      </c>
      <c r="I590">
        <v>2078</v>
      </c>
      <c r="J590">
        <v>2085</v>
      </c>
      <c r="K590">
        <v>2134</v>
      </c>
      <c r="L590">
        <v>2136</v>
      </c>
      <c r="M590">
        <v>2135</v>
      </c>
      <c r="N590">
        <v>2143</v>
      </c>
      <c r="O590">
        <f>SUM(C590:N590)/12</f>
        <v>2072</v>
      </c>
    </row>
    <row r="591" spans="1:18" x14ac:dyDescent="0.2">
      <c r="B591" t="s">
        <v>435</v>
      </c>
      <c r="C591">
        <v>2155</v>
      </c>
      <c r="D591">
        <v>2157</v>
      </c>
      <c r="E591">
        <v>2172</v>
      </c>
      <c r="F591">
        <v>2180</v>
      </c>
      <c r="G591">
        <v>2183</v>
      </c>
      <c r="H591">
        <v>2205</v>
      </c>
      <c r="I591">
        <v>2192</v>
      </c>
      <c r="J591">
        <v>2191</v>
      </c>
      <c r="K591">
        <v>2183</v>
      </c>
      <c r="L591">
        <v>2183</v>
      </c>
      <c r="M591">
        <v>2191</v>
      </c>
      <c r="N591">
        <v>2189</v>
      </c>
      <c r="O591" s="173">
        <f t="shared" ref="O591:O605" si="106">SUM(C591:N591)/12</f>
        <v>2181.75</v>
      </c>
      <c r="P591" s="173">
        <f t="shared" ref="P591:P605" si="107">SUM(O591-O590)</f>
        <v>109.75</v>
      </c>
      <c r="Q591" s="177">
        <f>SUM(P591/O590)</f>
        <v>5.2968146718146716E-2</v>
      </c>
    </row>
    <row r="592" spans="1:18" x14ac:dyDescent="0.2">
      <c r="B592" t="s">
        <v>436</v>
      </c>
      <c r="C592">
        <v>2201</v>
      </c>
      <c r="D592">
        <v>2233</v>
      </c>
      <c r="E592">
        <v>2235</v>
      </c>
      <c r="F592">
        <v>2252</v>
      </c>
      <c r="G592">
        <v>2259</v>
      </c>
      <c r="H592">
        <v>2271</v>
      </c>
      <c r="I592">
        <v>2271</v>
      </c>
      <c r="J592">
        <v>2307</v>
      </c>
      <c r="K592">
        <v>2319</v>
      </c>
      <c r="L592">
        <v>2331</v>
      </c>
      <c r="M592">
        <v>2343</v>
      </c>
      <c r="N592">
        <v>2355</v>
      </c>
      <c r="O592" s="173">
        <f t="shared" si="106"/>
        <v>2281.4166666666665</v>
      </c>
      <c r="P592" s="173">
        <f t="shared" si="107"/>
        <v>99.666666666666515</v>
      </c>
      <c r="Q592" s="177">
        <f t="shared" ref="Q592:Q597" si="108">SUM(P592/O591)</f>
        <v>4.5681983117527906E-2</v>
      </c>
    </row>
    <row r="593" spans="1:17" x14ac:dyDescent="0.2">
      <c r="B593" t="s">
        <v>260</v>
      </c>
      <c r="C593">
        <v>2324</v>
      </c>
      <c r="D593">
        <v>2433</v>
      </c>
      <c r="E593">
        <v>2266</v>
      </c>
      <c r="F593">
        <v>2266</v>
      </c>
      <c r="G593">
        <v>2306</v>
      </c>
      <c r="H593">
        <v>2306</v>
      </c>
      <c r="I593">
        <v>2306</v>
      </c>
      <c r="J593">
        <v>2334</v>
      </c>
      <c r="K593">
        <v>2230</v>
      </c>
      <c r="L593">
        <v>2230</v>
      </c>
      <c r="M593">
        <v>2230</v>
      </c>
      <c r="N593">
        <v>2230</v>
      </c>
      <c r="O593" s="173">
        <f t="shared" si="106"/>
        <v>2288.4166666666665</v>
      </c>
      <c r="P593" s="173">
        <f t="shared" si="107"/>
        <v>7</v>
      </c>
      <c r="Q593" s="177">
        <f t="shared" si="108"/>
        <v>3.0682689849143444E-3</v>
      </c>
    </row>
    <row r="594" spans="1:17" x14ac:dyDescent="0.2">
      <c r="B594" t="s">
        <v>259</v>
      </c>
      <c r="C594">
        <v>2408</v>
      </c>
      <c r="D594">
        <v>2335</v>
      </c>
      <c r="E594">
        <v>2353</v>
      </c>
      <c r="F594">
        <v>2353</v>
      </c>
      <c r="G594">
        <v>2311</v>
      </c>
      <c r="H594">
        <v>2367</v>
      </c>
      <c r="I594">
        <v>2367</v>
      </c>
      <c r="J594">
        <v>2352</v>
      </c>
      <c r="K594">
        <v>2336</v>
      </c>
      <c r="L594">
        <v>2336</v>
      </c>
      <c r="M594">
        <v>2292</v>
      </c>
      <c r="N594">
        <v>2318</v>
      </c>
      <c r="O594" s="173">
        <f t="shared" si="106"/>
        <v>2344</v>
      </c>
      <c r="P594" s="173">
        <f t="shared" si="107"/>
        <v>55.583333333333485</v>
      </c>
      <c r="Q594" s="177">
        <f t="shared" si="108"/>
        <v>2.4288991660900983E-2</v>
      </c>
    </row>
    <row r="595" spans="1:17" x14ac:dyDescent="0.2">
      <c r="B595" t="s">
        <v>280</v>
      </c>
      <c r="C595">
        <v>2312</v>
      </c>
      <c r="D595">
        <v>2305</v>
      </c>
      <c r="E595">
        <v>2318</v>
      </c>
      <c r="F595">
        <v>2318</v>
      </c>
      <c r="G595">
        <v>2350</v>
      </c>
      <c r="H595">
        <v>2314</v>
      </c>
      <c r="I595">
        <v>2314</v>
      </c>
      <c r="J595">
        <v>2426</v>
      </c>
      <c r="K595">
        <v>2400</v>
      </c>
      <c r="L595">
        <v>2454</v>
      </c>
      <c r="M595">
        <v>2536</v>
      </c>
      <c r="N595">
        <v>2334</v>
      </c>
      <c r="O595" s="173">
        <f t="shared" si="106"/>
        <v>2365.0833333333335</v>
      </c>
      <c r="P595" s="173">
        <f t="shared" si="107"/>
        <v>21.083333333333485</v>
      </c>
      <c r="Q595" s="177">
        <f t="shared" si="108"/>
        <v>8.9945961319682095E-3</v>
      </c>
    </row>
    <row r="596" spans="1:17" x14ac:dyDescent="0.2">
      <c r="B596" t="s">
        <v>290</v>
      </c>
      <c r="C596">
        <v>2357</v>
      </c>
      <c r="D596">
        <v>2384</v>
      </c>
      <c r="E596">
        <v>2387</v>
      </c>
      <c r="F596">
        <v>2410</v>
      </c>
      <c r="G596">
        <v>2414</v>
      </c>
      <c r="H596">
        <v>2444</v>
      </c>
      <c r="I596">
        <v>2444</v>
      </c>
      <c r="J596">
        <v>2433</v>
      </c>
      <c r="K596">
        <v>2417</v>
      </c>
      <c r="L596">
        <v>2424</v>
      </c>
      <c r="M596">
        <v>2443</v>
      </c>
      <c r="N596">
        <v>2445</v>
      </c>
      <c r="O596" s="173">
        <f t="shared" si="106"/>
        <v>2416.8333333333335</v>
      </c>
      <c r="P596" s="173">
        <f t="shared" si="107"/>
        <v>51.75</v>
      </c>
      <c r="Q596" s="177">
        <f t="shared" si="108"/>
        <v>2.1880835770409779E-2</v>
      </c>
    </row>
    <row r="597" spans="1:17" x14ac:dyDescent="0.2">
      <c r="B597" t="s">
        <v>293</v>
      </c>
      <c r="C597">
        <v>2453</v>
      </c>
      <c r="D597">
        <v>2437</v>
      </c>
      <c r="E597">
        <v>2420</v>
      </c>
      <c r="F597">
        <v>2487</v>
      </c>
      <c r="G597">
        <v>2437</v>
      </c>
      <c r="H597">
        <v>2479</v>
      </c>
      <c r="I597">
        <v>2466</v>
      </c>
      <c r="J597">
        <v>2488</v>
      </c>
      <c r="K597">
        <v>2477</v>
      </c>
      <c r="L597">
        <v>2562</v>
      </c>
      <c r="M597">
        <v>2557</v>
      </c>
      <c r="N597">
        <v>2455</v>
      </c>
      <c r="O597" s="173">
        <f t="shared" si="106"/>
        <v>2476.5</v>
      </c>
      <c r="P597" s="173">
        <f t="shared" si="107"/>
        <v>59.666666666666515</v>
      </c>
      <c r="Q597" s="177">
        <f t="shared" si="108"/>
        <v>2.4687952554996142E-2</v>
      </c>
    </row>
    <row r="598" spans="1:17" x14ac:dyDescent="0.2">
      <c r="B598" t="s">
        <v>294</v>
      </c>
      <c r="C598">
        <v>2495</v>
      </c>
      <c r="D598">
        <v>2542</v>
      </c>
      <c r="E598">
        <v>2644</v>
      </c>
      <c r="F598">
        <v>2580</v>
      </c>
      <c r="G598">
        <v>2273</v>
      </c>
      <c r="H598">
        <v>2302</v>
      </c>
      <c r="I598">
        <v>2395</v>
      </c>
      <c r="J598">
        <v>2404</v>
      </c>
      <c r="K598">
        <v>2394</v>
      </c>
      <c r="L598">
        <v>2426</v>
      </c>
      <c r="M598">
        <v>2689</v>
      </c>
      <c r="N598">
        <v>2739</v>
      </c>
      <c r="O598" s="173">
        <f t="shared" si="106"/>
        <v>2490.25</v>
      </c>
      <c r="P598" s="173">
        <f t="shared" si="107"/>
        <v>13.75</v>
      </c>
      <c r="Q598" s="177">
        <f t="shared" ref="Q598:Q603" si="109">SUM(P598/O597)</f>
        <v>5.5521905915606705E-3</v>
      </c>
    </row>
    <row r="599" spans="1:17" x14ac:dyDescent="0.2">
      <c r="B599" t="s">
        <v>295</v>
      </c>
      <c r="C599">
        <v>2704</v>
      </c>
      <c r="D599">
        <v>2698</v>
      </c>
      <c r="E599">
        <v>2694</v>
      </c>
      <c r="F599">
        <v>2677</v>
      </c>
      <c r="G599">
        <v>2732</v>
      </c>
      <c r="H599">
        <v>2755</v>
      </c>
      <c r="I599">
        <v>2778</v>
      </c>
      <c r="J599">
        <v>2778</v>
      </c>
      <c r="K599">
        <v>2775</v>
      </c>
      <c r="L599">
        <v>2782</v>
      </c>
      <c r="M599">
        <v>2819</v>
      </c>
      <c r="N599">
        <v>2864</v>
      </c>
      <c r="O599" s="173">
        <f t="shared" si="106"/>
        <v>2754.6666666666665</v>
      </c>
      <c r="P599" s="173">
        <f t="shared" si="107"/>
        <v>264.41666666666652</v>
      </c>
      <c r="Q599" s="177">
        <f t="shared" si="109"/>
        <v>0.10618077167620379</v>
      </c>
    </row>
    <row r="600" spans="1:17" x14ac:dyDescent="0.2">
      <c r="B600" t="s">
        <v>335</v>
      </c>
      <c r="C600">
        <v>2871</v>
      </c>
      <c r="D600">
        <v>2904</v>
      </c>
      <c r="E600">
        <v>2884</v>
      </c>
      <c r="F600">
        <v>2895</v>
      </c>
      <c r="G600">
        <v>2826</v>
      </c>
      <c r="H600">
        <v>2865</v>
      </c>
      <c r="I600">
        <v>2853</v>
      </c>
      <c r="J600">
        <v>2903</v>
      </c>
      <c r="K600">
        <v>2885</v>
      </c>
      <c r="L600">
        <v>2910</v>
      </c>
      <c r="M600">
        <v>2930</v>
      </c>
      <c r="N600">
        <v>2884</v>
      </c>
      <c r="O600" s="173">
        <f t="shared" si="106"/>
        <v>2884.1666666666665</v>
      </c>
      <c r="P600" s="173">
        <f t="shared" si="107"/>
        <v>129.5</v>
      </c>
      <c r="Q600" s="177">
        <f t="shared" si="109"/>
        <v>4.7011132623426911E-2</v>
      </c>
    </row>
    <row r="601" spans="1:17" x14ac:dyDescent="0.2">
      <c r="B601" t="s">
        <v>358</v>
      </c>
      <c r="C601">
        <v>2896</v>
      </c>
      <c r="D601">
        <v>2980</v>
      </c>
      <c r="E601">
        <v>2969</v>
      </c>
      <c r="F601">
        <v>2961</v>
      </c>
      <c r="G601">
        <v>3022</v>
      </c>
      <c r="H601">
        <v>3037</v>
      </c>
      <c r="I601">
        <v>3049</v>
      </c>
      <c r="J601">
        <v>3076</v>
      </c>
      <c r="K601">
        <v>3088</v>
      </c>
      <c r="L601">
        <v>3074</v>
      </c>
      <c r="M601">
        <v>3058</v>
      </c>
      <c r="N601">
        <v>2954</v>
      </c>
      <c r="O601" s="173">
        <f t="shared" si="106"/>
        <v>3013.6666666666665</v>
      </c>
      <c r="P601" s="173">
        <f t="shared" si="107"/>
        <v>129.5</v>
      </c>
      <c r="Q601" s="177">
        <f t="shared" si="109"/>
        <v>4.4900317827217567E-2</v>
      </c>
    </row>
    <row r="602" spans="1:17" x14ac:dyDescent="0.2">
      <c r="B602" t="s">
        <v>437</v>
      </c>
      <c r="C602">
        <v>3027</v>
      </c>
      <c r="D602">
        <v>3039</v>
      </c>
      <c r="E602">
        <v>3034</v>
      </c>
      <c r="F602">
        <v>3040</v>
      </c>
      <c r="G602">
        <v>3022</v>
      </c>
      <c r="H602">
        <v>3057</v>
      </c>
      <c r="I602">
        <v>3074</v>
      </c>
      <c r="J602">
        <v>3088</v>
      </c>
      <c r="K602">
        <v>3056</v>
      </c>
      <c r="L602">
        <v>3094</v>
      </c>
      <c r="M602">
        <v>3138</v>
      </c>
      <c r="N602">
        <v>3130</v>
      </c>
      <c r="O602" s="173">
        <f t="shared" si="106"/>
        <v>3066.5833333333335</v>
      </c>
      <c r="P602" s="173">
        <f t="shared" si="107"/>
        <v>52.91666666666697</v>
      </c>
      <c r="Q602" s="177">
        <f t="shared" si="109"/>
        <v>1.7558898351952318E-2</v>
      </c>
    </row>
    <row r="603" spans="1:17" x14ac:dyDescent="0.2">
      <c r="B603" t="s">
        <v>471</v>
      </c>
      <c r="C603">
        <v>3123</v>
      </c>
      <c r="D603">
        <v>3065</v>
      </c>
      <c r="E603">
        <v>3115</v>
      </c>
      <c r="F603">
        <v>3134</v>
      </c>
      <c r="G603">
        <v>3160</v>
      </c>
      <c r="H603">
        <v>3165</v>
      </c>
      <c r="I603">
        <v>3166</v>
      </c>
      <c r="J603">
        <v>3187</v>
      </c>
      <c r="K603">
        <v>3069</v>
      </c>
      <c r="L603">
        <v>3020</v>
      </c>
      <c r="M603">
        <v>3040</v>
      </c>
      <c r="N603">
        <v>3070</v>
      </c>
      <c r="O603" s="173">
        <f t="shared" si="106"/>
        <v>3109.5</v>
      </c>
      <c r="P603" s="173">
        <f t="shared" si="107"/>
        <v>42.916666666666515</v>
      </c>
      <c r="Q603" s="177">
        <f t="shared" si="109"/>
        <v>1.3994945514823722E-2</v>
      </c>
    </row>
    <row r="604" spans="1:17" x14ac:dyDescent="0.2">
      <c r="B604" t="s">
        <v>537</v>
      </c>
      <c r="C604">
        <v>3068</v>
      </c>
      <c r="D604">
        <v>3065</v>
      </c>
      <c r="E604">
        <v>3103</v>
      </c>
      <c r="F604">
        <v>3034</v>
      </c>
      <c r="G604">
        <v>3036</v>
      </c>
      <c r="H604">
        <v>3045</v>
      </c>
      <c r="I604">
        <v>3049</v>
      </c>
      <c r="J604">
        <v>3041</v>
      </c>
      <c r="K604">
        <v>2986</v>
      </c>
      <c r="L604">
        <v>2936</v>
      </c>
      <c r="M604">
        <v>2897</v>
      </c>
      <c r="N604">
        <v>2906</v>
      </c>
      <c r="O604" s="173">
        <f t="shared" si="106"/>
        <v>3013.8333333333335</v>
      </c>
      <c r="P604" s="173">
        <f t="shared" si="107"/>
        <v>-95.666666666666515</v>
      </c>
      <c r="Q604" s="177">
        <f>SUM(P604/O603)</f>
        <v>-3.0765932357828114E-2</v>
      </c>
    </row>
    <row r="605" spans="1:17" x14ac:dyDescent="0.2">
      <c r="B605" t="s">
        <v>628</v>
      </c>
      <c r="C605">
        <v>2911</v>
      </c>
      <c r="D605">
        <v>2880</v>
      </c>
      <c r="E605">
        <v>2853</v>
      </c>
      <c r="F605">
        <v>2835</v>
      </c>
      <c r="G605">
        <v>2828</v>
      </c>
      <c r="H605">
        <v>2758</v>
      </c>
      <c r="I605">
        <v>2810</v>
      </c>
      <c r="J605">
        <v>2815</v>
      </c>
      <c r="K605">
        <v>2770</v>
      </c>
      <c r="L605">
        <v>2722</v>
      </c>
      <c r="M605">
        <v>2761</v>
      </c>
      <c r="N605">
        <v>2747</v>
      </c>
      <c r="O605" s="173">
        <f t="shared" si="106"/>
        <v>2807.5</v>
      </c>
      <c r="P605" s="173">
        <f t="shared" si="107"/>
        <v>-206.33333333333348</v>
      </c>
      <c r="Q605" s="177">
        <f>SUM(P605/O604)</f>
        <v>-6.846209146712387E-2</v>
      </c>
    </row>
    <row r="606" spans="1:17" x14ac:dyDescent="0.2">
      <c r="B606" t="s">
        <v>629</v>
      </c>
      <c r="C606">
        <v>2607</v>
      </c>
      <c r="D606">
        <v>2654</v>
      </c>
      <c r="E606">
        <v>2602</v>
      </c>
      <c r="O606" s="173"/>
      <c r="P606" s="173"/>
      <c r="Q606" s="177"/>
    </row>
    <row r="607" spans="1:17" x14ac:dyDescent="0.2">
      <c r="O607" s="173"/>
      <c r="P607" s="173"/>
      <c r="Q607" s="177"/>
    </row>
    <row r="608" spans="1:17" ht="25.5" x14ac:dyDescent="0.2">
      <c r="A608" s="175" t="s">
        <v>438</v>
      </c>
      <c r="B608" s="176" t="s">
        <v>418</v>
      </c>
      <c r="C608" s="179" t="s">
        <v>419</v>
      </c>
      <c r="D608" s="179" t="s">
        <v>420</v>
      </c>
      <c r="E608" s="179" t="s">
        <v>421</v>
      </c>
      <c r="F608" s="179" t="s">
        <v>422</v>
      </c>
      <c r="G608" s="179" t="s">
        <v>423</v>
      </c>
      <c r="H608" s="179" t="s">
        <v>424</v>
      </c>
      <c r="I608" s="179" t="s">
        <v>425</v>
      </c>
      <c r="J608" s="179" t="s">
        <v>426</v>
      </c>
      <c r="K608" s="179" t="s">
        <v>427</v>
      </c>
      <c r="L608" s="179" t="s">
        <v>428</v>
      </c>
      <c r="M608" s="179" t="s">
        <v>429</v>
      </c>
      <c r="N608" s="179" t="s">
        <v>430</v>
      </c>
    </row>
    <row r="609" spans="2:17" x14ac:dyDescent="0.2">
      <c r="B609" t="s">
        <v>434</v>
      </c>
      <c r="C609">
        <v>83</v>
      </c>
      <c r="D609">
        <v>80</v>
      </c>
      <c r="E609">
        <v>74</v>
      </c>
      <c r="F609">
        <v>78</v>
      </c>
      <c r="G609">
        <v>79</v>
      </c>
      <c r="H609">
        <v>81</v>
      </c>
      <c r="I609">
        <v>82</v>
      </c>
      <c r="J609">
        <v>83</v>
      </c>
      <c r="K609">
        <v>82</v>
      </c>
      <c r="L609">
        <v>83</v>
      </c>
      <c r="M609">
        <v>85</v>
      </c>
      <c r="N609">
        <v>87</v>
      </c>
      <c r="O609" s="173">
        <f t="shared" ref="O609:O617" si="110">SUM(C609:N609)/12</f>
        <v>81.416666666666671</v>
      </c>
      <c r="P609" s="173"/>
    </row>
    <row r="610" spans="2:17" x14ac:dyDescent="0.2">
      <c r="B610" t="s">
        <v>435</v>
      </c>
      <c r="C610">
        <v>92</v>
      </c>
      <c r="D610">
        <v>93</v>
      </c>
      <c r="E610">
        <v>94</v>
      </c>
      <c r="F610">
        <v>97</v>
      </c>
      <c r="G610">
        <v>98</v>
      </c>
      <c r="H610">
        <v>95</v>
      </c>
      <c r="I610">
        <v>89</v>
      </c>
      <c r="J610">
        <v>93</v>
      </c>
      <c r="K610">
        <v>90</v>
      </c>
      <c r="L610">
        <v>97</v>
      </c>
      <c r="M610">
        <v>99</v>
      </c>
      <c r="N610">
        <v>92</v>
      </c>
      <c r="O610" s="173">
        <f t="shared" si="110"/>
        <v>94.083333333333329</v>
      </c>
      <c r="P610" s="173">
        <f t="shared" ref="P610:P617" si="111">SUM(O610-O609)</f>
        <v>12.666666666666657</v>
      </c>
      <c r="Q610" s="177">
        <f t="shared" ref="Q610:Q616" si="112">SUM(P610/O609)</f>
        <v>0.15557830092118718</v>
      </c>
    </row>
    <row r="611" spans="2:17" x14ac:dyDescent="0.2">
      <c r="B611" t="s">
        <v>436</v>
      </c>
      <c r="C611">
        <v>90</v>
      </c>
      <c r="D611">
        <v>91</v>
      </c>
      <c r="E611">
        <v>92</v>
      </c>
      <c r="F611">
        <v>100</v>
      </c>
      <c r="G611">
        <v>99</v>
      </c>
      <c r="H611">
        <v>111</v>
      </c>
      <c r="I611">
        <v>102</v>
      </c>
      <c r="J611">
        <v>94</v>
      </c>
      <c r="K611">
        <v>96</v>
      </c>
      <c r="L611">
        <v>98</v>
      </c>
      <c r="M611">
        <v>93</v>
      </c>
      <c r="N611">
        <v>89</v>
      </c>
      <c r="O611" s="173">
        <f t="shared" si="110"/>
        <v>96.25</v>
      </c>
      <c r="P611" s="173">
        <f t="shared" si="111"/>
        <v>2.1666666666666714</v>
      </c>
      <c r="Q611" s="177">
        <f t="shared" si="112"/>
        <v>2.3029229406554524E-2</v>
      </c>
    </row>
    <row r="612" spans="2:17" x14ac:dyDescent="0.2">
      <c r="B612" t="s">
        <v>260</v>
      </c>
      <c r="C612">
        <v>72</v>
      </c>
      <c r="D612">
        <v>74</v>
      </c>
      <c r="E612">
        <v>73</v>
      </c>
      <c r="F612">
        <v>73</v>
      </c>
      <c r="G612">
        <v>73</v>
      </c>
      <c r="H612">
        <v>73</v>
      </c>
      <c r="I612">
        <v>73</v>
      </c>
      <c r="J612">
        <v>65</v>
      </c>
      <c r="K612">
        <v>65</v>
      </c>
      <c r="L612">
        <v>65</v>
      </c>
      <c r="M612">
        <v>65</v>
      </c>
      <c r="N612">
        <v>60</v>
      </c>
      <c r="O612" s="173">
        <f t="shared" si="110"/>
        <v>69.25</v>
      </c>
      <c r="P612" s="173">
        <f t="shared" si="111"/>
        <v>-27</v>
      </c>
      <c r="Q612" s="177">
        <f t="shared" si="112"/>
        <v>-0.2805194805194805</v>
      </c>
    </row>
    <row r="613" spans="2:17" x14ac:dyDescent="0.2">
      <c r="B613" t="s">
        <v>259</v>
      </c>
      <c r="C613">
        <v>59</v>
      </c>
      <c r="D613">
        <v>58</v>
      </c>
      <c r="E613">
        <v>59</v>
      </c>
      <c r="F613">
        <v>60</v>
      </c>
      <c r="G613">
        <v>56</v>
      </c>
      <c r="H613">
        <v>54</v>
      </c>
      <c r="I613">
        <v>54</v>
      </c>
      <c r="J613">
        <v>51</v>
      </c>
      <c r="K613">
        <v>53</v>
      </c>
      <c r="L613">
        <v>59</v>
      </c>
      <c r="M613">
        <v>64</v>
      </c>
      <c r="N613">
        <v>62</v>
      </c>
      <c r="O613" s="173">
        <f t="shared" si="110"/>
        <v>57.416666666666664</v>
      </c>
      <c r="P613" s="173">
        <f t="shared" si="111"/>
        <v>-11.833333333333336</v>
      </c>
      <c r="Q613" s="177">
        <f t="shared" si="112"/>
        <v>-0.17087845968712398</v>
      </c>
    </row>
    <row r="614" spans="2:17" x14ac:dyDescent="0.2">
      <c r="B614" t="s">
        <v>280</v>
      </c>
      <c r="C614">
        <v>66</v>
      </c>
      <c r="D614">
        <v>68</v>
      </c>
      <c r="E614">
        <v>66</v>
      </c>
      <c r="F614">
        <v>65</v>
      </c>
      <c r="G614">
        <v>63</v>
      </c>
      <c r="H614">
        <v>68</v>
      </c>
      <c r="I614">
        <v>63</v>
      </c>
      <c r="J614">
        <v>57</v>
      </c>
      <c r="K614">
        <v>45</v>
      </c>
      <c r="L614">
        <v>45</v>
      </c>
      <c r="M614">
        <v>47</v>
      </c>
      <c r="N614">
        <v>49</v>
      </c>
      <c r="O614" s="173">
        <f t="shared" si="110"/>
        <v>58.5</v>
      </c>
      <c r="P614" s="173">
        <f t="shared" si="111"/>
        <v>1.0833333333333357</v>
      </c>
      <c r="Q614" s="177">
        <f t="shared" si="112"/>
        <v>1.8867924528301928E-2</v>
      </c>
    </row>
    <row r="615" spans="2:17" x14ac:dyDescent="0.2">
      <c r="B615" t="s">
        <v>290</v>
      </c>
      <c r="C615">
        <v>47</v>
      </c>
      <c r="D615">
        <v>45</v>
      </c>
      <c r="E615">
        <v>45</v>
      </c>
      <c r="F615">
        <v>47</v>
      </c>
      <c r="G615">
        <v>47</v>
      </c>
      <c r="H615">
        <v>42</v>
      </c>
      <c r="I615">
        <v>40</v>
      </c>
      <c r="J615">
        <v>42</v>
      </c>
      <c r="K615">
        <v>47</v>
      </c>
      <c r="L615">
        <v>46</v>
      </c>
      <c r="M615">
        <v>41</v>
      </c>
      <c r="N615">
        <v>39</v>
      </c>
      <c r="O615" s="173">
        <f t="shared" si="110"/>
        <v>44</v>
      </c>
      <c r="P615" s="173">
        <f t="shared" si="111"/>
        <v>-14.5</v>
      </c>
      <c r="Q615" s="177">
        <f t="shared" si="112"/>
        <v>-0.24786324786324787</v>
      </c>
    </row>
    <row r="616" spans="2:17" x14ac:dyDescent="0.2">
      <c r="B616" t="s">
        <v>293</v>
      </c>
      <c r="C616">
        <v>40</v>
      </c>
      <c r="D616">
        <v>40</v>
      </c>
      <c r="E616">
        <v>40</v>
      </c>
      <c r="F616">
        <v>43</v>
      </c>
      <c r="G616">
        <v>37</v>
      </c>
      <c r="H616">
        <v>38</v>
      </c>
      <c r="I616">
        <v>37</v>
      </c>
      <c r="J616">
        <v>39</v>
      </c>
      <c r="K616">
        <v>41</v>
      </c>
      <c r="L616">
        <v>51</v>
      </c>
      <c r="M616">
        <v>50</v>
      </c>
      <c r="N616">
        <v>37</v>
      </c>
      <c r="O616" s="173">
        <f t="shared" si="110"/>
        <v>41.083333333333336</v>
      </c>
      <c r="P616" s="173">
        <f t="shared" si="111"/>
        <v>-2.9166666666666643</v>
      </c>
      <c r="Q616" s="177">
        <f t="shared" si="112"/>
        <v>-6.6287878787878729E-2</v>
      </c>
    </row>
    <row r="617" spans="2:17" x14ac:dyDescent="0.2">
      <c r="B617" t="s">
        <v>294</v>
      </c>
      <c r="C617">
        <v>39</v>
      </c>
      <c r="D617">
        <v>39</v>
      </c>
      <c r="E617">
        <v>44</v>
      </c>
      <c r="F617">
        <v>39</v>
      </c>
      <c r="G617">
        <v>42</v>
      </c>
      <c r="H617">
        <v>41</v>
      </c>
      <c r="I617">
        <v>40</v>
      </c>
      <c r="J617">
        <v>37</v>
      </c>
      <c r="K617">
        <v>36</v>
      </c>
      <c r="L617">
        <v>36</v>
      </c>
      <c r="M617">
        <v>40</v>
      </c>
      <c r="N617">
        <v>41</v>
      </c>
      <c r="O617" s="173">
        <f t="shared" si="110"/>
        <v>39.5</v>
      </c>
      <c r="P617" s="173">
        <f t="shared" si="111"/>
        <v>-1.5833333333333357</v>
      </c>
      <c r="Q617" s="177">
        <f t="shared" ref="Q617:Q623" si="113">SUM(P617/O616)</f>
        <v>-3.8539553752535552E-2</v>
      </c>
    </row>
    <row r="618" spans="2:17" x14ac:dyDescent="0.2">
      <c r="B618" t="s">
        <v>295</v>
      </c>
      <c r="C618">
        <v>32</v>
      </c>
      <c r="D618">
        <v>34</v>
      </c>
      <c r="E618">
        <v>31</v>
      </c>
      <c r="F618">
        <v>32</v>
      </c>
      <c r="G618">
        <v>33</v>
      </c>
      <c r="H618">
        <v>31</v>
      </c>
      <c r="I618">
        <v>31</v>
      </c>
      <c r="J618">
        <v>31</v>
      </c>
      <c r="K618">
        <v>34</v>
      </c>
      <c r="L618">
        <v>36</v>
      </c>
      <c r="M618">
        <v>40</v>
      </c>
      <c r="N618">
        <v>39</v>
      </c>
      <c r="O618" s="173">
        <f>SUM(C618:N618)/12</f>
        <v>33.666666666666664</v>
      </c>
      <c r="P618" s="173">
        <f t="shared" ref="P618:P623" si="114">SUM(O618-O617)</f>
        <v>-5.8333333333333357</v>
      </c>
      <c r="Q618" s="177">
        <f t="shared" si="113"/>
        <v>-0.14767932489451482</v>
      </c>
    </row>
    <row r="619" spans="2:17" x14ac:dyDescent="0.2">
      <c r="B619" t="s">
        <v>335</v>
      </c>
      <c r="C619">
        <v>43</v>
      </c>
      <c r="D619">
        <v>43</v>
      </c>
      <c r="E619">
        <v>41</v>
      </c>
      <c r="F619">
        <v>0</v>
      </c>
      <c r="G619">
        <v>0</v>
      </c>
      <c r="H619">
        <v>0</v>
      </c>
      <c r="I619">
        <v>35</v>
      </c>
      <c r="J619">
        <v>35</v>
      </c>
      <c r="K619">
        <v>38</v>
      </c>
      <c r="L619">
        <v>36</v>
      </c>
      <c r="M619">
        <v>35</v>
      </c>
      <c r="N619">
        <v>32</v>
      </c>
      <c r="O619" s="173">
        <f>SUM(C619:N619)/9</f>
        <v>37.555555555555557</v>
      </c>
      <c r="P619" s="173">
        <f t="shared" si="114"/>
        <v>3.8888888888888928</v>
      </c>
      <c r="Q619" s="177">
        <f t="shared" si="113"/>
        <v>0.11551155115511563</v>
      </c>
    </row>
    <row r="620" spans="2:17" x14ac:dyDescent="0.2">
      <c r="B620" t="s">
        <v>358</v>
      </c>
      <c r="C620">
        <v>32</v>
      </c>
      <c r="D620">
        <v>33</v>
      </c>
      <c r="E620">
        <v>46</v>
      </c>
      <c r="F620">
        <v>60</v>
      </c>
      <c r="G620">
        <v>63</v>
      </c>
      <c r="H620">
        <v>62</v>
      </c>
      <c r="I620">
        <v>63</v>
      </c>
      <c r="J620">
        <v>64</v>
      </c>
      <c r="K620">
        <v>61</v>
      </c>
      <c r="L620">
        <v>60</v>
      </c>
      <c r="M620">
        <v>67</v>
      </c>
      <c r="N620">
        <v>70</v>
      </c>
      <c r="O620" s="173">
        <f>SUM(C620:N620)/12</f>
        <v>56.75</v>
      </c>
      <c r="P620" s="173">
        <f t="shared" si="114"/>
        <v>19.194444444444443</v>
      </c>
      <c r="Q620" s="177">
        <f t="shared" si="113"/>
        <v>0.51109467455621294</v>
      </c>
    </row>
    <row r="621" spans="2:17" x14ac:dyDescent="0.2">
      <c r="B621" t="s">
        <v>437</v>
      </c>
      <c r="C621">
        <v>68</v>
      </c>
      <c r="D621">
        <v>65</v>
      </c>
      <c r="E621">
        <v>62</v>
      </c>
      <c r="F621">
        <v>61</v>
      </c>
      <c r="G621">
        <v>65</v>
      </c>
      <c r="H621">
        <v>66</v>
      </c>
      <c r="I621">
        <v>68</v>
      </c>
      <c r="J621">
        <v>66</v>
      </c>
      <c r="K621">
        <v>70</v>
      </c>
      <c r="L621">
        <v>68</v>
      </c>
      <c r="M621">
        <v>65</v>
      </c>
      <c r="N621">
        <v>68</v>
      </c>
      <c r="O621" s="173">
        <f>SUM(C621:N621)/12</f>
        <v>66</v>
      </c>
      <c r="P621" s="173">
        <f t="shared" si="114"/>
        <v>9.25</v>
      </c>
      <c r="Q621" s="177">
        <f t="shared" si="113"/>
        <v>0.16299559471365638</v>
      </c>
    </row>
    <row r="622" spans="2:17" x14ac:dyDescent="0.2">
      <c r="B622" t="s">
        <v>471</v>
      </c>
      <c r="C622">
        <v>70</v>
      </c>
      <c r="D622">
        <v>71</v>
      </c>
      <c r="E622">
        <v>74</v>
      </c>
      <c r="F622">
        <v>74</v>
      </c>
      <c r="G622">
        <v>74</v>
      </c>
      <c r="H622">
        <v>79</v>
      </c>
      <c r="I622">
        <v>77</v>
      </c>
      <c r="J622">
        <v>80</v>
      </c>
      <c r="K622">
        <v>70</v>
      </c>
      <c r="L622">
        <v>66</v>
      </c>
      <c r="M622">
        <v>65</v>
      </c>
      <c r="N622">
        <v>57</v>
      </c>
      <c r="O622" s="173">
        <f>SUM(C622:N622)/12</f>
        <v>71.416666666666671</v>
      </c>
      <c r="P622" s="173">
        <f t="shared" si="114"/>
        <v>5.4166666666666714</v>
      </c>
      <c r="Q622" s="177">
        <f t="shared" si="113"/>
        <v>8.2070707070707141E-2</v>
      </c>
    </row>
    <row r="623" spans="2:17" x14ac:dyDescent="0.2">
      <c r="B623" t="s">
        <v>537</v>
      </c>
      <c r="C623">
        <v>55</v>
      </c>
      <c r="D623">
        <v>70</v>
      </c>
      <c r="E623">
        <v>75</v>
      </c>
      <c r="F623">
        <v>77</v>
      </c>
      <c r="G623">
        <v>78</v>
      </c>
      <c r="H623">
        <v>51</v>
      </c>
      <c r="I623">
        <v>46</v>
      </c>
      <c r="J623">
        <v>50</v>
      </c>
      <c r="K623">
        <v>52</v>
      </c>
      <c r="L623">
        <v>52</v>
      </c>
      <c r="M623">
        <v>53</v>
      </c>
      <c r="N623">
        <v>59</v>
      </c>
      <c r="O623" s="173">
        <f>SUM(C623:N623)/12</f>
        <v>59.833333333333336</v>
      </c>
      <c r="P623" s="173">
        <f t="shared" si="114"/>
        <v>-11.583333333333336</v>
      </c>
      <c r="Q623" s="177">
        <f t="shared" si="113"/>
        <v>-0.16219369894982499</v>
      </c>
    </row>
    <row r="624" spans="2:17" x14ac:dyDescent="0.2">
      <c r="B624" t="s">
        <v>628</v>
      </c>
      <c r="C624">
        <v>56</v>
      </c>
      <c r="D624">
        <v>56</v>
      </c>
      <c r="E624">
        <v>56</v>
      </c>
      <c r="F624">
        <v>60</v>
      </c>
      <c r="G624">
        <v>51</v>
      </c>
      <c r="H624">
        <v>50</v>
      </c>
      <c r="I624">
        <v>54</v>
      </c>
      <c r="J624">
        <v>54</v>
      </c>
      <c r="K624">
        <v>7</v>
      </c>
      <c r="L624">
        <v>7</v>
      </c>
      <c r="M624">
        <v>8</v>
      </c>
      <c r="N624">
        <v>8</v>
      </c>
      <c r="O624" s="173">
        <f>SUM(C624:N624)/12</f>
        <v>38.916666666666664</v>
      </c>
      <c r="P624" s="173">
        <f>SUM(O624-O623)</f>
        <v>-20.916666666666671</v>
      </c>
      <c r="Q624" s="177">
        <f>SUM(P624/O623)</f>
        <v>-0.34958217270194991</v>
      </c>
    </row>
    <row r="625" spans="1:18" x14ac:dyDescent="0.2">
      <c r="B625" t="s">
        <v>629</v>
      </c>
      <c r="C625">
        <v>8</v>
      </c>
      <c r="D625">
        <v>7</v>
      </c>
      <c r="E625">
        <v>7</v>
      </c>
      <c r="O625" s="173"/>
      <c r="P625" s="173"/>
      <c r="Q625" s="177"/>
    </row>
    <row r="626" spans="1:18" x14ac:dyDescent="0.2">
      <c r="O626" s="173"/>
      <c r="P626" s="173"/>
      <c r="Q626" s="177"/>
    </row>
    <row r="627" spans="1:18" ht="25.5" x14ac:dyDescent="0.2">
      <c r="A627" s="175" t="s">
        <v>439</v>
      </c>
      <c r="B627" s="176" t="s">
        <v>418</v>
      </c>
      <c r="C627" s="179" t="s">
        <v>419</v>
      </c>
      <c r="D627" s="179" t="s">
        <v>420</v>
      </c>
      <c r="E627" s="179" t="s">
        <v>421</v>
      </c>
      <c r="F627" s="179" t="s">
        <v>422</v>
      </c>
      <c r="G627" s="179" t="s">
        <v>423</v>
      </c>
      <c r="H627" s="179" t="s">
        <v>424</v>
      </c>
      <c r="I627" s="179" t="s">
        <v>425</v>
      </c>
      <c r="J627" s="179" t="s">
        <v>426</v>
      </c>
      <c r="K627" s="179" t="s">
        <v>427</v>
      </c>
      <c r="L627" s="179" t="s">
        <v>428</v>
      </c>
      <c r="M627" s="179" t="s">
        <v>429</v>
      </c>
      <c r="N627" s="179" t="s">
        <v>430</v>
      </c>
    </row>
    <row r="628" spans="1:18" x14ac:dyDescent="0.2">
      <c r="B628" t="s">
        <v>434</v>
      </c>
      <c r="C628">
        <v>305</v>
      </c>
      <c r="D628">
        <v>299</v>
      </c>
      <c r="E628">
        <v>289</v>
      </c>
      <c r="F628">
        <v>276</v>
      </c>
      <c r="G628">
        <v>277</v>
      </c>
      <c r="H628">
        <v>295</v>
      </c>
      <c r="I628">
        <v>283</v>
      </c>
      <c r="J628">
        <v>273</v>
      </c>
      <c r="K628">
        <v>259</v>
      </c>
      <c r="L628">
        <v>249</v>
      </c>
      <c r="M628">
        <v>241</v>
      </c>
      <c r="N628">
        <v>237</v>
      </c>
      <c r="O628" s="173">
        <f t="shared" ref="O628:O643" si="115">SUM(C628:N628)/12</f>
        <v>273.58333333333331</v>
      </c>
      <c r="P628" s="173"/>
    </row>
    <row r="629" spans="1:18" x14ac:dyDescent="0.2">
      <c r="B629" t="s">
        <v>435</v>
      </c>
      <c r="C629">
        <v>237</v>
      </c>
      <c r="D629">
        <v>230</v>
      </c>
      <c r="E629">
        <v>230</v>
      </c>
      <c r="F629">
        <v>230</v>
      </c>
      <c r="G629">
        <v>231</v>
      </c>
      <c r="H629">
        <v>215</v>
      </c>
      <c r="I629">
        <v>218</v>
      </c>
      <c r="J629">
        <v>212</v>
      </c>
      <c r="K629">
        <v>214</v>
      </c>
      <c r="L629">
        <v>217</v>
      </c>
      <c r="M629">
        <v>220</v>
      </c>
      <c r="N629">
        <v>218</v>
      </c>
      <c r="O629" s="173">
        <f t="shared" si="115"/>
        <v>222.66666666666666</v>
      </c>
      <c r="P629" s="173">
        <f t="shared" ref="P629:P636" si="116">SUM(O629-O628)</f>
        <v>-50.916666666666657</v>
      </c>
      <c r="Q629" s="177">
        <f t="shared" ref="Q629:Q635" si="117">SUM(P629/O628)</f>
        <v>-0.18611026500152297</v>
      </c>
    </row>
    <row r="630" spans="1:18" x14ac:dyDescent="0.2">
      <c r="B630" t="s">
        <v>436</v>
      </c>
      <c r="C630">
        <v>231</v>
      </c>
      <c r="D630">
        <v>230</v>
      </c>
      <c r="E630">
        <v>234</v>
      </c>
      <c r="F630">
        <v>229</v>
      </c>
      <c r="G630">
        <v>230</v>
      </c>
      <c r="H630">
        <v>240</v>
      </c>
      <c r="I630">
        <v>245</v>
      </c>
      <c r="J630">
        <v>250</v>
      </c>
      <c r="K630">
        <v>255</v>
      </c>
      <c r="L630">
        <v>260</v>
      </c>
      <c r="M630">
        <v>265</v>
      </c>
      <c r="N630">
        <v>270</v>
      </c>
      <c r="O630" s="173">
        <f t="shared" si="115"/>
        <v>244.91666666666666</v>
      </c>
      <c r="P630" s="173">
        <f t="shared" si="116"/>
        <v>22.25</v>
      </c>
      <c r="Q630" s="177">
        <f t="shared" si="117"/>
        <v>9.9925149700598806E-2</v>
      </c>
    </row>
    <row r="631" spans="1:18" x14ac:dyDescent="0.2">
      <c r="B631" t="s">
        <v>260</v>
      </c>
      <c r="C631">
        <v>280</v>
      </c>
      <c r="D631">
        <v>237</v>
      </c>
      <c r="E631">
        <v>253</v>
      </c>
      <c r="F631">
        <v>253</v>
      </c>
      <c r="G631">
        <v>253</v>
      </c>
      <c r="H631">
        <v>253</v>
      </c>
      <c r="I631">
        <v>253</v>
      </c>
      <c r="J631">
        <v>253</v>
      </c>
      <c r="K631">
        <v>253</v>
      </c>
      <c r="L631">
        <v>260</v>
      </c>
      <c r="M631">
        <v>265</v>
      </c>
      <c r="N631">
        <v>270</v>
      </c>
      <c r="O631" s="173">
        <f t="shared" si="115"/>
        <v>256.91666666666669</v>
      </c>
      <c r="P631" s="173">
        <f t="shared" si="116"/>
        <v>12.000000000000028</v>
      </c>
      <c r="Q631" s="177">
        <f t="shared" si="117"/>
        <v>4.899625723035058E-2</v>
      </c>
    </row>
    <row r="632" spans="1:18" x14ac:dyDescent="0.2">
      <c r="B632" t="s">
        <v>259</v>
      </c>
      <c r="C632">
        <v>288</v>
      </c>
      <c r="D632">
        <v>261</v>
      </c>
      <c r="E632">
        <v>258</v>
      </c>
      <c r="F632">
        <v>267</v>
      </c>
      <c r="G632">
        <v>259</v>
      </c>
      <c r="H632">
        <v>267</v>
      </c>
      <c r="I632">
        <v>272</v>
      </c>
      <c r="J632">
        <v>273</v>
      </c>
      <c r="K632">
        <v>300</v>
      </c>
      <c r="L632">
        <v>296</v>
      </c>
      <c r="M632">
        <v>319</v>
      </c>
      <c r="N632">
        <v>317</v>
      </c>
      <c r="O632" s="173">
        <f t="shared" si="115"/>
        <v>281.41666666666669</v>
      </c>
      <c r="P632" s="173">
        <f t="shared" si="116"/>
        <v>24.5</v>
      </c>
      <c r="Q632" s="177">
        <f t="shared" si="117"/>
        <v>9.5361660720077845E-2</v>
      </c>
    </row>
    <row r="633" spans="1:18" x14ac:dyDescent="0.2">
      <c r="B633" t="s">
        <v>280</v>
      </c>
      <c r="C633">
        <v>297</v>
      </c>
      <c r="D633">
        <v>306</v>
      </c>
      <c r="E633">
        <v>312</v>
      </c>
      <c r="F633">
        <v>311</v>
      </c>
      <c r="G633">
        <v>312</v>
      </c>
      <c r="H633">
        <v>252</v>
      </c>
      <c r="I633">
        <v>312</v>
      </c>
      <c r="J633">
        <v>314</v>
      </c>
      <c r="K633">
        <v>316</v>
      </c>
      <c r="L633">
        <v>235</v>
      </c>
      <c r="M633">
        <v>248</v>
      </c>
      <c r="N633">
        <v>323</v>
      </c>
      <c r="O633" s="173">
        <f t="shared" si="115"/>
        <v>294.83333333333331</v>
      </c>
      <c r="P633" s="173">
        <f t="shared" si="116"/>
        <v>13.416666666666629</v>
      </c>
      <c r="Q633" s="177">
        <f t="shared" si="117"/>
        <v>4.7675451584246235E-2</v>
      </c>
    </row>
    <row r="634" spans="1:18" x14ac:dyDescent="0.2">
      <c r="B634" t="s">
        <v>290</v>
      </c>
      <c r="C634">
        <v>322</v>
      </c>
      <c r="D634">
        <v>318</v>
      </c>
      <c r="E634">
        <v>302</v>
      </c>
      <c r="F634">
        <v>299</v>
      </c>
      <c r="G634">
        <v>301</v>
      </c>
      <c r="H634">
        <v>296</v>
      </c>
      <c r="I634">
        <v>286</v>
      </c>
      <c r="J634">
        <v>290</v>
      </c>
      <c r="K634">
        <v>283</v>
      </c>
      <c r="L634">
        <v>284</v>
      </c>
      <c r="M634">
        <v>289</v>
      </c>
      <c r="N634">
        <v>279</v>
      </c>
      <c r="O634" s="173">
        <f t="shared" si="115"/>
        <v>295.75</v>
      </c>
      <c r="P634" s="173">
        <f t="shared" si="116"/>
        <v>0.91666666666668561</v>
      </c>
      <c r="Q634" s="177">
        <f t="shared" si="117"/>
        <v>3.109101187111427E-3</v>
      </c>
    </row>
    <row r="635" spans="1:18" x14ac:dyDescent="0.2">
      <c r="B635" t="s">
        <v>293</v>
      </c>
      <c r="C635">
        <v>278</v>
      </c>
      <c r="D635">
        <v>270</v>
      </c>
      <c r="E635">
        <v>262</v>
      </c>
      <c r="F635">
        <v>253</v>
      </c>
      <c r="G635">
        <v>261</v>
      </c>
      <c r="H635">
        <v>259</v>
      </c>
      <c r="I635">
        <v>254</v>
      </c>
      <c r="J635">
        <v>255</v>
      </c>
      <c r="K635">
        <v>249</v>
      </c>
      <c r="L635">
        <v>267</v>
      </c>
      <c r="M635">
        <v>263</v>
      </c>
      <c r="N635">
        <v>250</v>
      </c>
      <c r="O635" s="173">
        <f t="shared" si="115"/>
        <v>260.08333333333331</v>
      </c>
      <c r="P635" s="173">
        <f t="shared" si="116"/>
        <v>-35.666666666666686</v>
      </c>
      <c r="Q635" s="177">
        <f t="shared" si="117"/>
        <v>-0.1205973513665822</v>
      </c>
    </row>
    <row r="636" spans="1:18" x14ac:dyDescent="0.2">
      <c r="B636" t="s">
        <v>294</v>
      </c>
      <c r="C636">
        <v>247</v>
      </c>
      <c r="D636">
        <v>250</v>
      </c>
      <c r="E636">
        <v>240</v>
      </c>
      <c r="F636">
        <v>238</v>
      </c>
      <c r="G636">
        <v>230</v>
      </c>
      <c r="H636">
        <v>228</v>
      </c>
      <c r="I636">
        <v>230</v>
      </c>
      <c r="J636">
        <v>228</v>
      </c>
      <c r="K636">
        <v>226</v>
      </c>
      <c r="L636">
        <v>224</v>
      </c>
      <c r="M636">
        <v>228</v>
      </c>
      <c r="N636">
        <v>233</v>
      </c>
      <c r="O636" s="173">
        <f t="shared" si="115"/>
        <v>233.5</v>
      </c>
      <c r="P636" s="173">
        <f t="shared" si="116"/>
        <v>-26.583333333333314</v>
      </c>
      <c r="Q636" s="177">
        <f t="shared" ref="Q636:Q642" si="118">SUM(P636/O635)</f>
        <v>-0.10221082986222359</v>
      </c>
    </row>
    <row r="637" spans="1:18" x14ac:dyDescent="0.2">
      <c r="B637" t="s">
        <v>295</v>
      </c>
      <c r="C637">
        <v>212</v>
      </c>
      <c r="D637">
        <v>216</v>
      </c>
      <c r="E637">
        <v>221</v>
      </c>
      <c r="F637">
        <v>228</v>
      </c>
      <c r="G637">
        <v>226</v>
      </c>
      <c r="H637">
        <v>230</v>
      </c>
      <c r="I637">
        <v>222</v>
      </c>
      <c r="J637">
        <v>225</v>
      </c>
      <c r="K637">
        <v>236</v>
      </c>
      <c r="L637">
        <v>242</v>
      </c>
      <c r="M637">
        <v>246</v>
      </c>
      <c r="N637">
        <v>252</v>
      </c>
      <c r="O637" s="173">
        <f t="shared" si="115"/>
        <v>229.66666666666666</v>
      </c>
      <c r="P637" s="173">
        <f t="shared" ref="P637:P642" si="119">SUM(O637-O636)</f>
        <v>-3.8333333333333428</v>
      </c>
      <c r="Q637" s="177">
        <f t="shared" si="118"/>
        <v>-1.6416845110635302E-2</v>
      </c>
    </row>
    <row r="638" spans="1:18" x14ac:dyDescent="0.2">
      <c r="B638" t="s">
        <v>335</v>
      </c>
      <c r="C638">
        <v>247</v>
      </c>
      <c r="D638">
        <v>248</v>
      </c>
      <c r="E638">
        <v>247</v>
      </c>
      <c r="F638">
        <v>247</v>
      </c>
      <c r="G638">
        <v>254</v>
      </c>
      <c r="H638">
        <v>258</v>
      </c>
      <c r="I638">
        <v>257</v>
      </c>
      <c r="J638">
        <v>255</v>
      </c>
      <c r="K638">
        <v>252</v>
      </c>
      <c r="L638">
        <v>251</v>
      </c>
      <c r="M638">
        <v>249</v>
      </c>
      <c r="N638">
        <v>259</v>
      </c>
      <c r="O638" s="173">
        <f t="shared" si="115"/>
        <v>252</v>
      </c>
      <c r="P638" s="173">
        <f t="shared" si="119"/>
        <v>22.333333333333343</v>
      </c>
      <c r="Q638" s="177">
        <f t="shared" si="118"/>
        <v>9.7242380261248235E-2</v>
      </c>
    </row>
    <row r="639" spans="1:18" x14ac:dyDescent="0.2">
      <c r="B639" t="s">
        <v>358</v>
      </c>
      <c r="C639">
        <v>264</v>
      </c>
      <c r="D639">
        <v>260</v>
      </c>
      <c r="E639">
        <v>262</v>
      </c>
      <c r="F639">
        <v>259</v>
      </c>
      <c r="G639">
        <v>247</v>
      </c>
      <c r="H639">
        <v>238</v>
      </c>
      <c r="I639">
        <v>224</v>
      </c>
      <c r="J639">
        <v>232</v>
      </c>
      <c r="K639">
        <v>239</v>
      </c>
      <c r="L639">
        <v>243</v>
      </c>
      <c r="M639">
        <v>246</v>
      </c>
      <c r="N639">
        <v>247</v>
      </c>
      <c r="O639" s="173">
        <f t="shared" si="115"/>
        <v>246.75</v>
      </c>
      <c r="P639" s="173">
        <f t="shared" si="119"/>
        <v>-5.25</v>
      </c>
      <c r="Q639" s="177">
        <f t="shared" si="118"/>
        <v>-2.0833333333333332E-2</v>
      </c>
      <c r="R639" t="s">
        <v>440</v>
      </c>
    </row>
    <row r="640" spans="1:18" x14ac:dyDescent="0.2">
      <c r="B640" t="s">
        <v>437</v>
      </c>
      <c r="C640">
        <v>257</v>
      </c>
      <c r="D640">
        <v>248</v>
      </c>
      <c r="E640">
        <v>250</v>
      </c>
      <c r="F640">
        <v>264</v>
      </c>
      <c r="G640">
        <v>265</v>
      </c>
      <c r="H640">
        <v>270</v>
      </c>
      <c r="I640">
        <v>279</v>
      </c>
      <c r="J640">
        <v>279</v>
      </c>
      <c r="K640">
        <v>266</v>
      </c>
      <c r="L640">
        <v>260</v>
      </c>
      <c r="M640">
        <v>260</v>
      </c>
      <c r="N640">
        <v>272</v>
      </c>
      <c r="O640" s="173">
        <f t="shared" si="115"/>
        <v>264.16666666666669</v>
      </c>
      <c r="P640" s="173">
        <f t="shared" si="119"/>
        <v>17.416666666666686</v>
      </c>
      <c r="Q640" s="177">
        <f t="shared" si="118"/>
        <v>7.0584262073623852E-2</v>
      </c>
    </row>
    <row r="641" spans="1:17" x14ac:dyDescent="0.2">
      <c r="B641" t="s">
        <v>471</v>
      </c>
      <c r="C641">
        <v>276</v>
      </c>
      <c r="D641">
        <v>277</v>
      </c>
      <c r="E641">
        <v>283</v>
      </c>
      <c r="F641">
        <v>298</v>
      </c>
      <c r="G641">
        <v>294</v>
      </c>
      <c r="H641">
        <v>295</v>
      </c>
      <c r="I641">
        <v>289</v>
      </c>
      <c r="J641">
        <v>284</v>
      </c>
      <c r="K641">
        <v>288</v>
      </c>
      <c r="L641">
        <v>290</v>
      </c>
      <c r="M641">
        <v>303</v>
      </c>
      <c r="N641">
        <v>300</v>
      </c>
      <c r="O641" s="173">
        <f t="shared" si="115"/>
        <v>289.75</v>
      </c>
      <c r="P641" s="173">
        <f t="shared" si="119"/>
        <v>25.583333333333314</v>
      </c>
      <c r="Q641" s="177">
        <f t="shared" si="118"/>
        <v>9.6845425867507814E-2</v>
      </c>
    </row>
    <row r="642" spans="1:17" x14ac:dyDescent="0.2">
      <c r="B642" t="s">
        <v>537</v>
      </c>
      <c r="C642">
        <v>305</v>
      </c>
      <c r="D642">
        <v>296</v>
      </c>
      <c r="E642">
        <v>293</v>
      </c>
      <c r="F642">
        <v>294</v>
      </c>
      <c r="G642">
        <v>286</v>
      </c>
      <c r="H642">
        <v>283</v>
      </c>
      <c r="I642">
        <v>274</v>
      </c>
      <c r="J642">
        <v>260</v>
      </c>
      <c r="K642">
        <v>259</v>
      </c>
      <c r="L642">
        <v>266</v>
      </c>
      <c r="M642">
        <v>259</v>
      </c>
      <c r="N642">
        <v>266</v>
      </c>
      <c r="O642" s="173">
        <f t="shared" si="115"/>
        <v>278.41666666666669</v>
      </c>
      <c r="P642" s="173">
        <f t="shared" si="119"/>
        <v>-11.333333333333314</v>
      </c>
      <c r="Q642" s="177">
        <f t="shared" si="118"/>
        <v>-3.9114178889847508E-2</v>
      </c>
    </row>
    <row r="643" spans="1:17" x14ac:dyDescent="0.2">
      <c r="B643" t="s">
        <v>628</v>
      </c>
      <c r="C643">
        <v>256</v>
      </c>
      <c r="D643">
        <v>252</v>
      </c>
      <c r="E643">
        <v>248</v>
      </c>
      <c r="F643">
        <v>249</v>
      </c>
      <c r="G643">
        <v>253</v>
      </c>
      <c r="H643">
        <v>244</v>
      </c>
      <c r="I643">
        <v>234</v>
      </c>
      <c r="J643">
        <v>221</v>
      </c>
      <c r="K643">
        <v>233</v>
      </c>
      <c r="L643">
        <v>230</v>
      </c>
      <c r="M643">
        <v>238</v>
      </c>
      <c r="N643">
        <v>251</v>
      </c>
      <c r="O643" s="173">
        <f t="shared" si="115"/>
        <v>242.41666666666666</v>
      </c>
      <c r="P643" s="173">
        <f>SUM(O643-O642)</f>
        <v>-36.000000000000028</v>
      </c>
      <c r="Q643" s="177">
        <f>SUM(P643/O642)</f>
        <v>-0.12930260401077531</v>
      </c>
    </row>
    <row r="644" spans="1:17" x14ac:dyDescent="0.2">
      <c r="B644" t="s">
        <v>629</v>
      </c>
      <c r="C644">
        <v>254</v>
      </c>
      <c r="D644">
        <v>242</v>
      </c>
      <c r="E644">
        <v>239</v>
      </c>
      <c r="O644" s="173"/>
      <c r="P644" s="173"/>
      <c r="Q644" s="177"/>
    </row>
    <row r="645" spans="1:17" x14ac:dyDescent="0.2">
      <c r="O645" s="173"/>
      <c r="P645" s="173"/>
      <c r="Q645" s="177"/>
    </row>
    <row r="646" spans="1:17" x14ac:dyDescent="0.2">
      <c r="A646" s="178"/>
      <c r="B646" s="178"/>
      <c r="C646" s="178"/>
      <c r="D646" s="178"/>
      <c r="E646" s="178"/>
      <c r="F646" s="178"/>
      <c r="G646" s="178"/>
      <c r="H646" s="178"/>
      <c r="I646" s="178"/>
      <c r="J646" s="178"/>
      <c r="K646" s="178"/>
      <c r="L646" s="178"/>
      <c r="M646" s="178"/>
      <c r="N646" s="178"/>
      <c r="O646" s="178"/>
      <c r="P646" s="178"/>
      <c r="Q646" s="178"/>
    </row>
    <row r="647" spans="1:17" ht="25.5" x14ac:dyDescent="0.2">
      <c r="A647" s="175" t="s">
        <v>441</v>
      </c>
      <c r="B647" s="176" t="s">
        <v>418</v>
      </c>
      <c r="C647" s="179" t="s">
        <v>419</v>
      </c>
      <c r="D647" s="179" t="s">
        <v>420</v>
      </c>
      <c r="E647" s="179" t="s">
        <v>421</v>
      </c>
      <c r="F647" s="179" t="s">
        <v>422</v>
      </c>
      <c r="G647" s="179" t="s">
        <v>423</v>
      </c>
      <c r="H647" s="179" t="s">
        <v>424</v>
      </c>
      <c r="I647" s="179" t="s">
        <v>425</v>
      </c>
      <c r="J647" s="179" t="s">
        <v>426</v>
      </c>
      <c r="K647" s="179" t="s">
        <v>427</v>
      </c>
      <c r="L647" s="179" t="s">
        <v>428</v>
      </c>
      <c r="M647" s="179" t="s">
        <v>429</v>
      </c>
      <c r="N647" s="179" t="s">
        <v>430</v>
      </c>
    </row>
    <row r="648" spans="1:17" x14ac:dyDescent="0.2">
      <c r="B648" t="s">
        <v>434</v>
      </c>
      <c r="C648">
        <v>65</v>
      </c>
      <c r="D648">
        <v>62</v>
      </c>
      <c r="E648">
        <v>57</v>
      </c>
      <c r="F648">
        <v>56</v>
      </c>
      <c r="G648">
        <v>52</v>
      </c>
      <c r="H648">
        <v>51</v>
      </c>
      <c r="I648">
        <v>49</v>
      </c>
      <c r="J648">
        <v>55</v>
      </c>
      <c r="K648">
        <v>59</v>
      </c>
      <c r="L648">
        <v>55</v>
      </c>
      <c r="M648">
        <v>54</v>
      </c>
      <c r="N648">
        <v>66</v>
      </c>
      <c r="O648" s="173">
        <f t="shared" ref="O648:O663" si="120">SUM(C648:N648)/12</f>
        <v>56.75</v>
      </c>
      <c r="P648" s="173"/>
    </row>
    <row r="649" spans="1:17" x14ac:dyDescent="0.2">
      <c r="B649" t="s">
        <v>435</v>
      </c>
      <c r="C649">
        <v>67</v>
      </c>
      <c r="D649">
        <v>72</v>
      </c>
      <c r="E649">
        <v>72</v>
      </c>
      <c r="F649">
        <v>73</v>
      </c>
      <c r="G649">
        <v>71</v>
      </c>
      <c r="H649">
        <v>74</v>
      </c>
      <c r="I649">
        <v>74</v>
      </c>
      <c r="J649">
        <v>74</v>
      </c>
      <c r="K649">
        <v>70</v>
      </c>
      <c r="L649">
        <v>66</v>
      </c>
      <c r="M649">
        <v>62</v>
      </c>
      <c r="N649">
        <v>63</v>
      </c>
      <c r="O649" s="173">
        <f t="shared" si="120"/>
        <v>69.833333333333329</v>
      </c>
      <c r="P649" s="173">
        <f t="shared" ref="P649:P656" si="121">SUM(O649-O648)</f>
        <v>13.083333333333329</v>
      </c>
      <c r="Q649" s="177">
        <f t="shared" ref="Q649:Q655" si="122">SUM(P649/O648)</f>
        <v>0.23054331864904543</v>
      </c>
    </row>
    <row r="650" spans="1:17" x14ac:dyDescent="0.2">
      <c r="B650" t="s">
        <v>436</v>
      </c>
      <c r="C650">
        <v>68</v>
      </c>
      <c r="D650">
        <v>75</v>
      </c>
      <c r="E650">
        <v>74</v>
      </c>
      <c r="F650">
        <v>79</v>
      </c>
      <c r="G650">
        <v>75</v>
      </c>
      <c r="H650">
        <v>74</v>
      </c>
      <c r="I650">
        <v>64</v>
      </c>
      <c r="J650">
        <v>75</v>
      </c>
      <c r="K650">
        <v>76</v>
      </c>
      <c r="L650">
        <v>78</v>
      </c>
      <c r="M650">
        <v>79</v>
      </c>
      <c r="N650">
        <v>81</v>
      </c>
      <c r="O650" s="173">
        <f t="shared" si="120"/>
        <v>74.833333333333329</v>
      </c>
      <c r="P650" s="173">
        <f t="shared" si="121"/>
        <v>5</v>
      </c>
      <c r="Q650" s="177">
        <f t="shared" si="122"/>
        <v>7.1599045346062054E-2</v>
      </c>
    </row>
    <row r="651" spans="1:17" x14ac:dyDescent="0.2">
      <c r="B651" t="s">
        <v>260</v>
      </c>
      <c r="C651">
        <v>76</v>
      </c>
      <c r="D651">
        <v>79</v>
      </c>
      <c r="E651">
        <v>76</v>
      </c>
      <c r="F651">
        <v>74</v>
      </c>
      <c r="G651">
        <v>72</v>
      </c>
      <c r="H651">
        <v>70</v>
      </c>
      <c r="I651">
        <v>68</v>
      </c>
      <c r="J651">
        <v>59</v>
      </c>
      <c r="K651">
        <v>67</v>
      </c>
      <c r="L651">
        <v>66</v>
      </c>
      <c r="M651">
        <v>67</v>
      </c>
      <c r="N651">
        <v>64</v>
      </c>
      <c r="O651" s="173">
        <f t="shared" si="120"/>
        <v>69.833333333333329</v>
      </c>
      <c r="P651" s="173">
        <f t="shared" si="121"/>
        <v>-5</v>
      </c>
      <c r="Q651" s="177">
        <f t="shared" si="122"/>
        <v>-6.6815144766147E-2</v>
      </c>
    </row>
    <row r="652" spans="1:17" x14ac:dyDescent="0.2">
      <c r="B652" t="s">
        <v>259</v>
      </c>
      <c r="C652">
        <v>67</v>
      </c>
      <c r="D652">
        <v>57</v>
      </c>
      <c r="E652">
        <v>57</v>
      </c>
      <c r="F652">
        <v>58</v>
      </c>
      <c r="G652">
        <v>57</v>
      </c>
      <c r="H652">
        <v>60</v>
      </c>
      <c r="I652">
        <v>55</v>
      </c>
      <c r="J652">
        <v>55</v>
      </c>
      <c r="K652">
        <v>64</v>
      </c>
      <c r="L652">
        <v>61</v>
      </c>
      <c r="M652">
        <v>68</v>
      </c>
      <c r="N652">
        <v>67</v>
      </c>
      <c r="O652" s="173">
        <f t="shared" si="120"/>
        <v>60.5</v>
      </c>
      <c r="P652" s="173">
        <f t="shared" si="121"/>
        <v>-9.3333333333333286</v>
      </c>
      <c r="Q652" s="177">
        <f t="shared" si="122"/>
        <v>-0.13365155131264911</v>
      </c>
    </row>
    <row r="653" spans="1:17" x14ac:dyDescent="0.2">
      <c r="B653" t="s">
        <v>280</v>
      </c>
      <c r="C653">
        <v>71</v>
      </c>
      <c r="D653">
        <v>62</v>
      </c>
      <c r="E653">
        <v>61</v>
      </c>
      <c r="F653">
        <v>59</v>
      </c>
      <c r="G653">
        <v>54</v>
      </c>
      <c r="H653">
        <v>56</v>
      </c>
      <c r="I653">
        <v>56</v>
      </c>
      <c r="J653">
        <v>58</v>
      </c>
      <c r="K653">
        <v>60</v>
      </c>
      <c r="L653">
        <v>65</v>
      </c>
      <c r="M653">
        <v>72</v>
      </c>
      <c r="N653">
        <v>75</v>
      </c>
      <c r="O653" s="173">
        <f t="shared" si="120"/>
        <v>62.416666666666664</v>
      </c>
      <c r="P653" s="173">
        <f t="shared" si="121"/>
        <v>1.9166666666666643</v>
      </c>
      <c r="Q653" s="177">
        <f t="shared" si="122"/>
        <v>3.1680440771349822E-2</v>
      </c>
    </row>
    <row r="654" spans="1:17" x14ac:dyDescent="0.2">
      <c r="B654" t="s">
        <v>290</v>
      </c>
      <c r="C654">
        <v>76</v>
      </c>
      <c r="D654">
        <v>73</v>
      </c>
      <c r="E654">
        <v>67</v>
      </c>
      <c r="F654">
        <v>66</v>
      </c>
      <c r="G654">
        <v>66</v>
      </c>
      <c r="H654">
        <v>68</v>
      </c>
      <c r="I654">
        <v>69</v>
      </c>
      <c r="J654">
        <v>72</v>
      </c>
      <c r="K654">
        <v>69</v>
      </c>
      <c r="L654">
        <v>75</v>
      </c>
      <c r="M654">
        <v>73</v>
      </c>
      <c r="N654">
        <v>74</v>
      </c>
      <c r="O654" s="173">
        <f t="shared" si="120"/>
        <v>70.666666666666671</v>
      </c>
      <c r="P654" s="173">
        <f t="shared" si="121"/>
        <v>8.2500000000000071</v>
      </c>
      <c r="Q654" s="177">
        <f t="shared" si="122"/>
        <v>0.13217623497997341</v>
      </c>
    </row>
    <row r="655" spans="1:17" x14ac:dyDescent="0.2">
      <c r="B655" t="s">
        <v>293</v>
      </c>
      <c r="C655">
        <v>72</v>
      </c>
      <c r="D655">
        <v>72</v>
      </c>
      <c r="E655">
        <v>71</v>
      </c>
      <c r="F655">
        <v>73</v>
      </c>
      <c r="G655">
        <v>77</v>
      </c>
      <c r="H655">
        <v>76</v>
      </c>
      <c r="I655">
        <v>76</v>
      </c>
      <c r="J655">
        <v>78</v>
      </c>
      <c r="K655">
        <v>74</v>
      </c>
      <c r="L655">
        <v>88</v>
      </c>
      <c r="M655">
        <v>92</v>
      </c>
      <c r="N655">
        <v>76</v>
      </c>
      <c r="O655" s="173">
        <f t="shared" si="120"/>
        <v>77.083333333333329</v>
      </c>
      <c r="P655" s="173">
        <f t="shared" si="121"/>
        <v>6.4166666666666572</v>
      </c>
      <c r="Q655" s="177">
        <f t="shared" si="122"/>
        <v>9.0801886792452685E-2</v>
      </c>
    </row>
    <row r="656" spans="1:17" x14ac:dyDescent="0.2">
      <c r="B656" t="s">
        <v>294</v>
      </c>
      <c r="C656">
        <v>76</v>
      </c>
      <c r="D656">
        <v>79</v>
      </c>
      <c r="E656">
        <v>94</v>
      </c>
      <c r="F656">
        <v>75</v>
      </c>
      <c r="G656">
        <v>79</v>
      </c>
      <c r="H656">
        <v>77</v>
      </c>
      <c r="I656">
        <v>83</v>
      </c>
      <c r="J656">
        <v>83</v>
      </c>
      <c r="K656">
        <v>86</v>
      </c>
      <c r="L656">
        <v>85</v>
      </c>
      <c r="M656">
        <v>82</v>
      </c>
      <c r="N656">
        <v>89</v>
      </c>
      <c r="O656" s="173">
        <f t="shared" si="120"/>
        <v>82.333333333333329</v>
      </c>
      <c r="P656" s="173">
        <f t="shared" si="121"/>
        <v>5.25</v>
      </c>
      <c r="Q656" s="177">
        <f t="shared" ref="Q656:Q662" si="123">SUM(P656/O655)</f>
        <v>6.8108108108108106E-2</v>
      </c>
    </row>
    <row r="657" spans="1:17" x14ac:dyDescent="0.2">
      <c r="B657" t="s">
        <v>295</v>
      </c>
      <c r="C657">
        <v>92</v>
      </c>
      <c r="D657">
        <v>91</v>
      </c>
      <c r="E657">
        <v>95</v>
      </c>
      <c r="F657">
        <v>93</v>
      </c>
      <c r="G657">
        <v>96</v>
      </c>
      <c r="H657">
        <v>94</v>
      </c>
      <c r="I657">
        <v>91</v>
      </c>
      <c r="J657">
        <v>90</v>
      </c>
      <c r="K657">
        <v>91</v>
      </c>
      <c r="L657">
        <v>95</v>
      </c>
      <c r="M657">
        <v>96</v>
      </c>
      <c r="N657">
        <v>73</v>
      </c>
      <c r="O657" s="173">
        <f t="shared" si="120"/>
        <v>91.416666666666671</v>
      </c>
      <c r="P657" s="173">
        <f t="shared" ref="P657:P662" si="124">SUM(O657-O656)</f>
        <v>9.0833333333333428</v>
      </c>
      <c r="Q657" s="177">
        <f t="shared" si="123"/>
        <v>0.11032388663967624</v>
      </c>
    </row>
    <row r="658" spans="1:17" x14ac:dyDescent="0.2">
      <c r="B658" t="s">
        <v>335</v>
      </c>
      <c r="C658">
        <v>72</v>
      </c>
      <c r="D658">
        <v>72</v>
      </c>
      <c r="E658">
        <v>65</v>
      </c>
      <c r="F658">
        <v>62</v>
      </c>
      <c r="G658">
        <v>61</v>
      </c>
      <c r="H658">
        <v>65</v>
      </c>
      <c r="I658">
        <v>68</v>
      </c>
      <c r="J658">
        <v>70</v>
      </c>
      <c r="K658">
        <v>68</v>
      </c>
      <c r="L658">
        <v>70</v>
      </c>
      <c r="M658">
        <v>71</v>
      </c>
      <c r="N658">
        <v>73</v>
      </c>
      <c r="O658" s="173">
        <f t="shared" si="120"/>
        <v>68.083333333333329</v>
      </c>
      <c r="P658" s="173">
        <f t="shared" si="124"/>
        <v>-23.333333333333343</v>
      </c>
      <c r="Q658" s="177">
        <f t="shared" si="123"/>
        <v>-0.2552415679124887</v>
      </c>
    </row>
    <row r="659" spans="1:17" x14ac:dyDescent="0.2">
      <c r="B659" t="s">
        <v>358</v>
      </c>
      <c r="C659">
        <v>72</v>
      </c>
      <c r="D659">
        <v>70</v>
      </c>
      <c r="E659">
        <v>73</v>
      </c>
      <c r="F659">
        <v>77</v>
      </c>
      <c r="G659">
        <v>74</v>
      </c>
      <c r="H659">
        <v>74</v>
      </c>
      <c r="I659">
        <v>76</v>
      </c>
      <c r="J659">
        <v>75</v>
      </c>
      <c r="K659">
        <v>77</v>
      </c>
      <c r="L659">
        <v>82</v>
      </c>
      <c r="M659">
        <v>85</v>
      </c>
      <c r="N659">
        <v>88</v>
      </c>
      <c r="O659" s="173">
        <f t="shared" si="120"/>
        <v>76.916666666666671</v>
      </c>
      <c r="P659" s="173">
        <f t="shared" si="124"/>
        <v>8.8333333333333428</v>
      </c>
      <c r="Q659" s="177">
        <f t="shared" si="123"/>
        <v>0.1297429620563037</v>
      </c>
    </row>
    <row r="660" spans="1:17" x14ac:dyDescent="0.2">
      <c r="B660" t="s">
        <v>437</v>
      </c>
      <c r="C660">
        <v>88</v>
      </c>
      <c r="D660">
        <v>84</v>
      </c>
      <c r="E660">
        <v>81</v>
      </c>
      <c r="F660">
        <v>81</v>
      </c>
      <c r="G660">
        <v>79</v>
      </c>
      <c r="H660">
        <v>79</v>
      </c>
      <c r="I660">
        <v>77</v>
      </c>
      <c r="J660">
        <v>82</v>
      </c>
      <c r="K660">
        <v>80</v>
      </c>
      <c r="L660">
        <v>73</v>
      </c>
      <c r="M660">
        <v>76</v>
      </c>
      <c r="N660">
        <v>76</v>
      </c>
      <c r="O660" s="173">
        <f t="shared" si="120"/>
        <v>79.666666666666671</v>
      </c>
      <c r="P660" s="173">
        <f t="shared" si="124"/>
        <v>2.75</v>
      </c>
      <c r="Q660" s="177">
        <f t="shared" si="123"/>
        <v>3.5752979414951244E-2</v>
      </c>
    </row>
    <row r="661" spans="1:17" x14ac:dyDescent="0.2">
      <c r="B661" t="s">
        <v>471</v>
      </c>
      <c r="C661">
        <v>75</v>
      </c>
      <c r="D661">
        <v>77</v>
      </c>
      <c r="E661">
        <v>75</v>
      </c>
      <c r="F661">
        <v>75</v>
      </c>
      <c r="G661">
        <v>79</v>
      </c>
      <c r="H661">
        <v>74</v>
      </c>
      <c r="I661">
        <v>75</v>
      </c>
      <c r="J661">
        <v>77</v>
      </c>
      <c r="K661">
        <v>74</v>
      </c>
      <c r="L661">
        <v>70</v>
      </c>
      <c r="M661">
        <v>70</v>
      </c>
      <c r="N661">
        <v>72</v>
      </c>
      <c r="O661" s="173">
        <f t="shared" si="120"/>
        <v>74.416666666666671</v>
      </c>
      <c r="P661" s="173">
        <f t="shared" si="124"/>
        <v>-5.25</v>
      </c>
      <c r="Q661" s="177">
        <f t="shared" si="123"/>
        <v>-6.5899581589958151E-2</v>
      </c>
    </row>
    <row r="662" spans="1:17" x14ac:dyDescent="0.2">
      <c r="B662" t="s">
        <v>537</v>
      </c>
      <c r="C662">
        <v>74</v>
      </c>
      <c r="D662">
        <v>71</v>
      </c>
      <c r="E662">
        <v>73</v>
      </c>
      <c r="F662">
        <v>76</v>
      </c>
      <c r="G662">
        <v>72</v>
      </c>
      <c r="H662">
        <v>70</v>
      </c>
      <c r="I662">
        <v>73</v>
      </c>
      <c r="J662">
        <v>73</v>
      </c>
      <c r="K662">
        <v>72</v>
      </c>
      <c r="L662">
        <v>73</v>
      </c>
      <c r="M662">
        <v>76</v>
      </c>
      <c r="N662">
        <v>77</v>
      </c>
      <c r="O662" s="173">
        <f t="shared" si="120"/>
        <v>73.333333333333329</v>
      </c>
      <c r="P662" s="173">
        <f t="shared" si="124"/>
        <v>-1.0833333333333428</v>
      </c>
      <c r="Q662" s="177">
        <f t="shared" si="123"/>
        <v>-1.4557670772676497E-2</v>
      </c>
    </row>
    <row r="663" spans="1:17" x14ac:dyDescent="0.2">
      <c r="B663" t="s">
        <v>628</v>
      </c>
      <c r="C663">
        <v>71</v>
      </c>
      <c r="D663">
        <v>70</v>
      </c>
      <c r="E663">
        <v>68</v>
      </c>
      <c r="F663">
        <v>71</v>
      </c>
      <c r="G663">
        <v>69</v>
      </c>
      <c r="H663">
        <v>69</v>
      </c>
      <c r="I663">
        <v>67</v>
      </c>
      <c r="J663">
        <v>70</v>
      </c>
      <c r="K663">
        <v>69</v>
      </c>
      <c r="L663">
        <v>69</v>
      </c>
      <c r="M663">
        <v>69</v>
      </c>
      <c r="N663">
        <v>65</v>
      </c>
      <c r="O663" s="173">
        <f t="shared" si="120"/>
        <v>68.916666666666671</v>
      </c>
      <c r="P663" s="173">
        <f>SUM(O663-O662)</f>
        <v>-4.4166666666666572</v>
      </c>
      <c r="Q663" s="177">
        <f>SUM(P663/O662)</f>
        <v>-6.0227272727272602E-2</v>
      </c>
    </row>
    <row r="664" spans="1:17" x14ac:dyDescent="0.2">
      <c r="B664" t="s">
        <v>629</v>
      </c>
      <c r="C664">
        <v>69</v>
      </c>
      <c r="D664">
        <v>66</v>
      </c>
      <c r="E664">
        <v>63</v>
      </c>
      <c r="O664" s="173"/>
      <c r="P664" s="173"/>
      <c r="Q664" s="177"/>
    </row>
    <row r="665" spans="1:17" x14ac:dyDescent="0.2">
      <c r="O665" s="173"/>
      <c r="P665" s="173"/>
      <c r="Q665" s="177"/>
    </row>
    <row r="666" spans="1:17" ht="25.5" x14ac:dyDescent="0.2">
      <c r="A666" s="175" t="s">
        <v>442</v>
      </c>
      <c r="B666" s="176" t="s">
        <v>418</v>
      </c>
      <c r="C666" s="179" t="s">
        <v>419</v>
      </c>
      <c r="D666" s="179" t="s">
        <v>420</v>
      </c>
      <c r="E666" s="179" t="s">
        <v>421</v>
      </c>
      <c r="F666" s="179" t="s">
        <v>422</v>
      </c>
      <c r="G666" s="179" t="s">
        <v>423</v>
      </c>
      <c r="H666" s="179" t="s">
        <v>424</v>
      </c>
      <c r="I666" s="179" t="s">
        <v>425</v>
      </c>
      <c r="J666" s="179" t="s">
        <v>426</v>
      </c>
      <c r="K666" s="179" t="s">
        <v>427</v>
      </c>
      <c r="L666" s="179" t="s">
        <v>428</v>
      </c>
      <c r="M666" s="179" t="s">
        <v>429</v>
      </c>
      <c r="N666" s="179" t="s">
        <v>430</v>
      </c>
    </row>
    <row r="667" spans="1:17" x14ac:dyDescent="0.2">
      <c r="B667" t="s">
        <v>434</v>
      </c>
      <c r="C667">
        <v>683</v>
      </c>
      <c r="D667">
        <v>675</v>
      </c>
      <c r="E667">
        <v>696</v>
      </c>
      <c r="F667">
        <v>659</v>
      </c>
      <c r="G667">
        <v>661</v>
      </c>
      <c r="H667">
        <v>650</v>
      </c>
      <c r="I667">
        <v>666</v>
      </c>
      <c r="J667">
        <v>688</v>
      </c>
      <c r="K667">
        <v>667</v>
      </c>
      <c r="L667">
        <v>670</v>
      </c>
      <c r="M667">
        <v>639</v>
      </c>
      <c r="N667">
        <v>653</v>
      </c>
      <c r="O667" s="173">
        <f t="shared" ref="O667:O682" si="125">SUM(C667:N667)/12</f>
        <v>667.25</v>
      </c>
      <c r="P667" s="173"/>
    </row>
    <row r="668" spans="1:17" x14ac:dyDescent="0.2">
      <c r="B668" t="s">
        <v>435</v>
      </c>
      <c r="C668">
        <v>624</v>
      </c>
      <c r="D668">
        <v>643</v>
      </c>
      <c r="E668">
        <v>636</v>
      </c>
      <c r="F668">
        <v>670</v>
      </c>
      <c r="G668">
        <v>642</v>
      </c>
      <c r="H668">
        <v>655</v>
      </c>
      <c r="I668">
        <v>650</v>
      </c>
      <c r="J668">
        <v>660</v>
      </c>
      <c r="K668">
        <v>644</v>
      </c>
      <c r="L668">
        <v>672</v>
      </c>
      <c r="M668">
        <v>658</v>
      </c>
      <c r="N668">
        <v>659</v>
      </c>
      <c r="O668" s="173">
        <f t="shared" si="125"/>
        <v>651.08333333333337</v>
      </c>
      <c r="P668" s="173">
        <f t="shared" ref="P668:P675" si="126">SUM(O668-O667)</f>
        <v>-16.166666666666629</v>
      </c>
      <c r="Q668" s="177">
        <f t="shared" ref="Q668:Q674" si="127">SUM(P668/O667)</f>
        <v>-2.422879980017479E-2</v>
      </c>
    </row>
    <row r="669" spans="1:17" x14ac:dyDescent="0.2">
      <c r="B669" t="s">
        <v>436</v>
      </c>
      <c r="C669">
        <v>661</v>
      </c>
      <c r="D669">
        <v>673</v>
      </c>
      <c r="E669">
        <v>672</v>
      </c>
      <c r="F669">
        <v>632</v>
      </c>
      <c r="G669">
        <v>611</v>
      </c>
      <c r="H669">
        <v>620</v>
      </c>
      <c r="I669">
        <v>633</v>
      </c>
      <c r="J669">
        <v>653</v>
      </c>
      <c r="K669">
        <v>659</v>
      </c>
      <c r="L669">
        <v>665</v>
      </c>
      <c r="M669">
        <v>671</v>
      </c>
      <c r="N669">
        <v>677</v>
      </c>
      <c r="O669" s="173">
        <f t="shared" si="125"/>
        <v>652.25</v>
      </c>
      <c r="P669" s="173">
        <f t="shared" si="126"/>
        <v>1.1666666666666288</v>
      </c>
      <c r="Q669" s="177">
        <f t="shared" si="127"/>
        <v>1.7918853193395041E-3</v>
      </c>
    </row>
    <row r="670" spans="1:17" x14ac:dyDescent="0.2">
      <c r="B670" t="s">
        <v>260</v>
      </c>
      <c r="C670">
        <v>561</v>
      </c>
      <c r="D670">
        <v>574</v>
      </c>
      <c r="E670">
        <v>593</v>
      </c>
      <c r="F670">
        <v>589</v>
      </c>
      <c r="G670">
        <v>589</v>
      </c>
      <c r="H670">
        <v>589</v>
      </c>
      <c r="I670">
        <v>589</v>
      </c>
      <c r="J670">
        <v>589</v>
      </c>
      <c r="K670">
        <v>589</v>
      </c>
      <c r="L670">
        <v>589</v>
      </c>
      <c r="M670">
        <v>589</v>
      </c>
      <c r="N670">
        <v>623</v>
      </c>
      <c r="O670" s="173">
        <f t="shared" si="125"/>
        <v>588.58333333333337</v>
      </c>
      <c r="P670" s="173">
        <f t="shared" si="126"/>
        <v>-63.666666666666629</v>
      </c>
      <c r="Q670" s="177">
        <f t="shared" si="127"/>
        <v>-9.7610834291554816E-2</v>
      </c>
    </row>
    <row r="671" spans="1:17" x14ac:dyDescent="0.2">
      <c r="B671" t="s">
        <v>259</v>
      </c>
      <c r="C671">
        <v>585</v>
      </c>
      <c r="D671">
        <v>542</v>
      </c>
      <c r="E671">
        <v>535</v>
      </c>
      <c r="F671">
        <v>545</v>
      </c>
      <c r="G671">
        <v>547</v>
      </c>
      <c r="H671">
        <v>584</v>
      </c>
      <c r="I671">
        <v>608</v>
      </c>
      <c r="J671">
        <v>604</v>
      </c>
      <c r="K671">
        <v>592</v>
      </c>
      <c r="L671">
        <v>599</v>
      </c>
      <c r="M671">
        <v>628</v>
      </c>
      <c r="N671">
        <v>595</v>
      </c>
      <c r="O671" s="173">
        <f t="shared" si="125"/>
        <v>580.33333333333337</v>
      </c>
      <c r="P671" s="173">
        <f t="shared" si="126"/>
        <v>-8.25</v>
      </c>
      <c r="Q671" s="177">
        <f t="shared" si="127"/>
        <v>-1.4016706781820756E-2</v>
      </c>
    </row>
    <row r="672" spans="1:17" x14ac:dyDescent="0.2">
      <c r="B672" t="s">
        <v>280</v>
      </c>
      <c r="C672">
        <v>601</v>
      </c>
      <c r="D672">
        <v>626</v>
      </c>
      <c r="E672">
        <v>662</v>
      </c>
      <c r="F672">
        <v>646</v>
      </c>
      <c r="G672">
        <v>635</v>
      </c>
      <c r="H672">
        <v>634</v>
      </c>
      <c r="I672">
        <v>628</v>
      </c>
      <c r="J672">
        <v>656</v>
      </c>
      <c r="K672">
        <v>666</v>
      </c>
      <c r="L672">
        <v>657</v>
      </c>
      <c r="M672">
        <v>576</v>
      </c>
      <c r="N672">
        <v>650</v>
      </c>
      <c r="O672" s="173">
        <f t="shared" si="125"/>
        <v>636.41666666666663</v>
      </c>
      <c r="P672" s="173">
        <f t="shared" si="126"/>
        <v>56.083333333333258</v>
      </c>
      <c r="Q672" s="177">
        <f t="shared" si="127"/>
        <v>9.6639862148190564E-2</v>
      </c>
    </row>
    <row r="673" spans="1:17" x14ac:dyDescent="0.2">
      <c r="B673" t="s">
        <v>290</v>
      </c>
      <c r="C673">
        <v>648</v>
      </c>
      <c r="D673">
        <v>660</v>
      </c>
      <c r="E673">
        <v>652</v>
      </c>
      <c r="F673">
        <v>651</v>
      </c>
      <c r="G673">
        <v>646</v>
      </c>
      <c r="H673">
        <v>659</v>
      </c>
      <c r="I673">
        <v>646</v>
      </c>
      <c r="J673">
        <v>702</v>
      </c>
      <c r="K673">
        <v>699</v>
      </c>
      <c r="L673">
        <v>703</v>
      </c>
      <c r="M673">
        <v>711</v>
      </c>
      <c r="N673">
        <v>718</v>
      </c>
      <c r="O673" s="173">
        <f t="shared" si="125"/>
        <v>674.58333333333337</v>
      </c>
      <c r="P673" s="173">
        <f t="shared" si="126"/>
        <v>38.166666666666742</v>
      </c>
      <c r="Q673" s="177">
        <f t="shared" si="127"/>
        <v>5.99711928767842E-2</v>
      </c>
    </row>
    <row r="674" spans="1:17" x14ac:dyDescent="0.2">
      <c r="B674" t="s">
        <v>293</v>
      </c>
      <c r="C674">
        <v>731</v>
      </c>
      <c r="D674">
        <v>726</v>
      </c>
      <c r="E674">
        <v>720</v>
      </c>
      <c r="F674">
        <v>696</v>
      </c>
      <c r="G674">
        <v>731</v>
      </c>
      <c r="H674">
        <v>721</v>
      </c>
      <c r="I674">
        <v>713</v>
      </c>
      <c r="J674">
        <v>701</v>
      </c>
      <c r="K674">
        <v>691</v>
      </c>
      <c r="L674">
        <v>789</v>
      </c>
      <c r="M674">
        <v>764</v>
      </c>
      <c r="N674">
        <v>691</v>
      </c>
      <c r="O674" s="173">
        <f t="shared" si="125"/>
        <v>722.83333333333337</v>
      </c>
      <c r="P674" s="173">
        <f t="shared" si="126"/>
        <v>48.25</v>
      </c>
      <c r="Q674" s="177">
        <f t="shared" si="127"/>
        <v>7.1525633106856085E-2</v>
      </c>
    </row>
    <row r="675" spans="1:17" x14ac:dyDescent="0.2">
      <c r="B675" t="s">
        <v>294</v>
      </c>
      <c r="C675">
        <v>684</v>
      </c>
      <c r="D675">
        <v>691</v>
      </c>
      <c r="E675">
        <v>716</v>
      </c>
      <c r="F675">
        <v>676</v>
      </c>
      <c r="G675">
        <v>671</v>
      </c>
      <c r="H675">
        <v>676</v>
      </c>
      <c r="I675">
        <v>674</v>
      </c>
      <c r="J675">
        <v>667</v>
      </c>
      <c r="K675">
        <v>669</v>
      </c>
      <c r="L675">
        <v>676</v>
      </c>
      <c r="M675">
        <v>714</v>
      </c>
      <c r="N675">
        <v>718</v>
      </c>
      <c r="O675" s="173">
        <f t="shared" si="125"/>
        <v>686</v>
      </c>
      <c r="P675" s="173">
        <f t="shared" si="126"/>
        <v>-36.833333333333371</v>
      </c>
      <c r="Q675" s="177">
        <f t="shared" ref="Q675:Q681" si="128">SUM(P675/O674)</f>
        <v>-5.095688263776809E-2</v>
      </c>
    </row>
    <row r="676" spans="1:17" x14ac:dyDescent="0.2">
      <c r="B676" t="s">
        <v>295</v>
      </c>
      <c r="C676">
        <v>681</v>
      </c>
      <c r="D676">
        <v>689</v>
      </c>
      <c r="E676">
        <v>680</v>
      </c>
      <c r="F676">
        <v>661</v>
      </c>
      <c r="G676">
        <v>661</v>
      </c>
      <c r="H676">
        <v>678</v>
      </c>
      <c r="I676">
        <v>672</v>
      </c>
      <c r="J676">
        <v>687</v>
      </c>
      <c r="K676">
        <v>677</v>
      </c>
      <c r="L676">
        <v>674</v>
      </c>
      <c r="M676">
        <v>674</v>
      </c>
      <c r="N676">
        <v>691</v>
      </c>
      <c r="O676" s="173">
        <f t="shared" si="125"/>
        <v>677.08333333333337</v>
      </c>
      <c r="P676" s="173">
        <f t="shared" ref="P676:P681" si="129">SUM(O676-O675)</f>
        <v>-8.9166666666666288</v>
      </c>
      <c r="Q676" s="177">
        <f t="shared" si="128"/>
        <v>-1.2998056365403248E-2</v>
      </c>
    </row>
    <row r="677" spans="1:17" x14ac:dyDescent="0.2">
      <c r="B677" t="s">
        <v>335</v>
      </c>
      <c r="C677">
        <v>685</v>
      </c>
      <c r="D677">
        <v>703</v>
      </c>
      <c r="E677">
        <v>697</v>
      </c>
      <c r="F677">
        <v>714</v>
      </c>
      <c r="G677">
        <v>713</v>
      </c>
      <c r="H677">
        <v>746</v>
      </c>
      <c r="I677">
        <v>722</v>
      </c>
      <c r="J677">
        <v>724</v>
      </c>
      <c r="K677">
        <v>728</v>
      </c>
      <c r="L677">
        <v>696</v>
      </c>
      <c r="M677">
        <v>695</v>
      </c>
      <c r="N677">
        <v>676</v>
      </c>
      <c r="O677" s="173">
        <f t="shared" si="125"/>
        <v>708.25</v>
      </c>
      <c r="P677" s="173">
        <f t="shared" si="129"/>
        <v>31.166666666666629</v>
      </c>
      <c r="Q677" s="177">
        <f t="shared" si="128"/>
        <v>4.6030769230769174E-2</v>
      </c>
    </row>
    <row r="678" spans="1:17" x14ac:dyDescent="0.2">
      <c r="B678" t="s">
        <v>358</v>
      </c>
      <c r="C678">
        <v>691</v>
      </c>
      <c r="D678">
        <v>666</v>
      </c>
      <c r="E678">
        <v>624</v>
      </c>
      <c r="F678">
        <v>670</v>
      </c>
      <c r="G678">
        <v>672</v>
      </c>
      <c r="H678">
        <v>675</v>
      </c>
      <c r="I678">
        <v>651</v>
      </c>
      <c r="J678">
        <v>642</v>
      </c>
      <c r="K678">
        <v>588</v>
      </c>
      <c r="L678">
        <v>663</v>
      </c>
      <c r="M678">
        <v>660</v>
      </c>
      <c r="N678">
        <v>646</v>
      </c>
      <c r="O678" s="173">
        <f t="shared" si="125"/>
        <v>654</v>
      </c>
      <c r="P678" s="173">
        <f t="shared" si="129"/>
        <v>-54.25</v>
      </c>
      <c r="Q678" s="177">
        <f t="shared" si="128"/>
        <v>-7.6597246734909988E-2</v>
      </c>
    </row>
    <row r="679" spans="1:17" x14ac:dyDescent="0.2">
      <c r="B679" t="s">
        <v>437</v>
      </c>
      <c r="C679">
        <v>652</v>
      </c>
      <c r="D679">
        <v>655</v>
      </c>
      <c r="E679">
        <v>667</v>
      </c>
      <c r="F679">
        <v>658</v>
      </c>
      <c r="G679">
        <v>671</v>
      </c>
      <c r="H679">
        <v>681</v>
      </c>
      <c r="I679">
        <v>677</v>
      </c>
      <c r="J679">
        <v>673</v>
      </c>
      <c r="K679">
        <v>663</v>
      </c>
      <c r="L679">
        <v>656</v>
      </c>
      <c r="M679">
        <v>662</v>
      </c>
      <c r="N679">
        <v>679</v>
      </c>
      <c r="O679" s="173">
        <f t="shared" si="125"/>
        <v>666.16666666666663</v>
      </c>
      <c r="P679" s="173">
        <f t="shared" si="129"/>
        <v>12.166666666666629</v>
      </c>
      <c r="Q679" s="177">
        <f t="shared" si="128"/>
        <v>1.8603465851172216E-2</v>
      </c>
    </row>
    <row r="680" spans="1:17" x14ac:dyDescent="0.2">
      <c r="B680" t="s">
        <v>471</v>
      </c>
      <c r="C680">
        <v>674</v>
      </c>
      <c r="D680">
        <v>675</v>
      </c>
      <c r="E680">
        <v>693</v>
      </c>
      <c r="F680">
        <v>708</v>
      </c>
      <c r="G680">
        <v>741</v>
      </c>
      <c r="H680">
        <v>687</v>
      </c>
      <c r="I680">
        <v>729</v>
      </c>
      <c r="J680">
        <v>690</v>
      </c>
      <c r="K680">
        <v>701</v>
      </c>
      <c r="L680">
        <v>693</v>
      </c>
      <c r="M680">
        <v>738</v>
      </c>
      <c r="N680">
        <v>729</v>
      </c>
      <c r="O680" s="173">
        <f t="shared" si="125"/>
        <v>704.83333333333337</v>
      </c>
      <c r="P680" s="173">
        <f t="shared" si="129"/>
        <v>38.666666666666742</v>
      </c>
      <c r="Q680" s="177">
        <f t="shared" si="128"/>
        <v>5.804353264948723E-2</v>
      </c>
    </row>
    <row r="681" spans="1:17" x14ac:dyDescent="0.2">
      <c r="B681" t="s">
        <v>537</v>
      </c>
      <c r="C681">
        <v>722</v>
      </c>
      <c r="D681">
        <v>713</v>
      </c>
      <c r="E681">
        <v>717</v>
      </c>
      <c r="F681">
        <v>696</v>
      </c>
      <c r="G681">
        <v>673</v>
      </c>
      <c r="H681">
        <v>688</v>
      </c>
      <c r="I681">
        <v>676</v>
      </c>
      <c r="J681">
        <v>681</v>
      </c>
      <c r="K681">
        <v>670</v>
      </c>
      <c r="L681">
        <v>672</v>
      </c>
      <c r="M681">
        <v>697</v>
      </c>
      <c r="N681">
        <v>744</v>
      </c>
      <c r="O681" s="173">
        <f t="shared" si="125"/>
        <v>695.75</v>
      </c>
      <c r="P681" s="173">
        <f t="shared" si="129"/>
        <v>-9.0833333333333712</v>
      </c>
      <c r="Q681" s="177">
        <f t="shared" si="128"/>
        <v>-1.2887207377630699E-2</v>
      </c>
    </row>
    <row r="682" spans="1:17" x14ac:dyDescent="0.2">
      <c r="B682" t="s">
        <v>628</v>
      </c>
      <c r="C682">
        <v>681</v>
      </c>
      <c r="D682">
        <v>668</v>
      </c>
      <c r="E682">
        <v>662</v>
      </c>
      <c r="F682">
        <v>638</v>
      </c>
      <c r="G682">
        <v>665</v>
      </c>
      <c r="H682">
        <v>654</v>
      </c>
      <c r="I682">
        <v>640</v>
      </c>
      <c r="J682">
        <v>628</v>
      </c>
      <c r="K682">
        <v>699</v>
      </c>
      <c r="L682">
        <v>611</v>
      </c>
      <c r="M682">
        <v>605</v>
      </c>
      <c r="N682">
        <v>589</v>
      </c>
      <c r="O682" s="173">
        <f t="shared" si="125"/>
        <v>645</v>
      </c>
      <c r="P682" s="173">
        <f>SUM(O682-O681)</f>
        <v>-50.75</v>
      </c>
      <c r="Q682" s="177">
        <f>SUM(P682/O681)</f>
        <v>-7.294286740927057E-2</v>
      </c>
    </row>
    <row r="683" spans="1:17" x14ac:dyDescent="0.2">
      <c r="B683" t="s">
        <v>629</v>
      </c>
      <c r="C683">
        <v>578</v>
      </c>
      <c r="D683">
        <v>579</v>
      </c>
      <c r="E683">
        <v>577</v>
      </c>
      <c r="O683" s="173"/>
      <c r="P683" s="173"/>
      <c r="Q683" s="177"/>
    </row>
    <row r="684" spans="1:17" x14ac:dyDescent="0.2">
      <c r="O684" s="173"/>
      <c r="P684" s="173"/>
      <c r="Q684" s="177"/>
    </row>
    <row r="685" spans="1:17" ht="25.5" x14ac:dyDescent="0.2">
      <c r="A685" s="175" t="s">
        <v>443</v>
      </c>
      <c r="B685" s="176" t="s">
        <v>418</v>
      </c>
      <c r="C685" s="179" t="s">
        <v>419</v>
      </c>
      <c r="D685" s="179" t="s">
        <v>420</v>
      </c>
      <c r="E685" s="179" t="s">
        <v>421</v>
      </c>
      <c r="F685" s="179" t="s">
        <v>422</v>
      </c>
      <c r="G685" s="179" t="s">
        <v>423</v>
      </c>
      <c r="H685" s="179" t="s">
        <v>424</v>
      </c>
      <c r="I685" s="179" t="s">
        <v>425</v>
      </c>
      <c r="J685" s="179" t="s">
        <v>426</v>
      </c>
      <c r="K685" s="179" t="s">
        <v>427</v>
      </c>
      <c r="L685" s="179" t="s">
        <v>428</v>
      </c>
      <c r="M685" s="179" t="s">
        <v>429</v>
      </c>
      <c r="N685" s="179" t="s">
        <v>430</v>
      </c>
    </row>
    <row r="686" spans="1:17" x14ac:dyDescent="0.2">
      <c r="B686" t="s">
        <v>434</v>
      </c>
      <c r="C686">
        <v>227</v>
      </c>
      <c r="D686">
        <v>238</v>
      </c>
      <c r="E686">
        <v>241</v>
      </c>
      <c r="F686">
        <v>237</v>
      </c>
      <c r="G686">
        <v>237</v>
      </c>
      <c r="H686">
        <v>245</v>
      </c>
      <c r="I686">
        <v>239</v>
      </c>
      <c r="J686">
        <v>232</v>
      </c>
      <c r="K686">
        <v>228</v>
      </c>
      <c r="L686">
        <v>226</v>
      </c>
      <c r="M686">
        <v>226</v>
      </c>
      <c r="N686">
        <v>238</v>
      </c>
      <c r="O686" s="173">
        <f t="shared" ref="O686:O701" si="130">SUM(C686:N686)/12</f>
        <v>234.5</v>
      </c>
      <c r="P686" s="173"/>
    </row>
    <row r="687" spans="1:17" x14ac:dyDescent="0.2">
      <c r="B687" t="s">
        <v>435</v>
      </c>
      <c r="C687">
        <v>227</v>
      </c>
      <c r="D687">
        <v>234</v>
      </c>
      <c r="E687">
        <v>235</v>
      </c>
      <c r="F687">
        <v>220</v>
      </c>
      <c r="G687">
        <v>231</v>
      </c>
      <c r="H687">
        <v>222</v>
      </c>
      <c r="I687">
        <v>209</v>
      </c>
      <c r="J687">
        <v>216</v>
      </c>
      <c r="K687">
        <v>219</v>
      </c>
      <c r="L687">
        <v>212</v>
      </c>
      <c r="M687">
        <v>211</v>
      </c>
      <c r="N687">
        <v>211</v>
      </c>
      <c r="O687" s="173">
        <f t="shared" si="130"/>
        <v>220.58333333333334</v>
      </c>
      <c r="P687" s="173">
        <f t="shared" ref="P687:P694" si="131">SUM(O687-O686)</f>
        <v>-13.916666666666657</v>
      </c>
      <c r="Q687" s="177">
        <f t="shared" ref="Q687:Q693" si="132">SUM(P687/O686)</f>
        <v>-5.9346126510305575E-2</v>
      </c>
    </row>
    <row r="688" spans="1:17" x14ac:dyDescent="0.2">
      <c r="B688" t="s">
        <v>436</v>
      </c>
      <c r="C688">
        <v>210</v>
      </c>
      <c r="D688">
        <v>212</v>
      </c>
      <c r="E688">
        <v>205</v>
      </c>
      <c r="F688">
        <v>205</v>
      </c>
      <c r="G688">
        <v>220</v>
      </c>
      <c r="H688">
        <v>221</v>
      </c>
      <c r="I688">
        <v>223</v>
      </c>
      <c r="J688">
        <v>227</v>
      </c>
      <c r="K688">
        <v>230</v>
      </c>
      <c r="L688">
        <v>204</v>
      </c>
      <c r="M688">
        <v>178</v>
      </c>
      <c r="N688">
        <v>152</v>
      </c>
      <c r="O688" s="173">
        <f t="shared" si="130"/>
        <v>207.25</v>
      </c>
      <c r="P688" s="173">
        <f t="shared" si="131"/>
        <v>-13.333333333333343</v>
      </c>
      <c r="Q688" s="177">
        <f t="shared" si="132"/>
        <v>-6.0445787684170797E-2</v>
      </c>
    </row>
    <row r="689" spans="1:17" x14ac:dyDescent="0.2">
      <c r="B689" t="s">
        <v>260</v>
      </c>
      <c r="C689">
        <v>257</v>
      </c>
      <c r="D689">
        <v>269</v>
      </c>
      <c r="E689">
        <v>265</v>
      </c>
      <c r="F689">
        <v>244</v>
      </c>
      <c r="G689">
        <v>244</v>
      </c>
      <c r="H689">
        <v>244</v>
      </c>
      <c r="I689">
        <v>244</v>
      </c>
      <c r="J689">
        <v>244</v>
      </c>
      <c r="K689">
        <v>244</v>
      </c>
      <c r="L689">
        <v>244</v>
      </c>
      <c r="M689">
        <v>244</v>
      </c>
      <c r="N689">
        <v>244</v>
      </c>
      <c r="O689" s="173">
        <f t="shared" si="130"/>
        <v>248.91666666666666</v>
      </c>
      <c r="P689" s="173">
        <f t="shared" si="131"/>
        <v>41.666666666666657</v>
      </c>
      <c r="Q689" s="177">
        <f t="shared" si="132"/>
        <v>0.20104543626859667</v>
      </c>
    </row>
    <row r="690" spans="1:17" x14ac:dyDescent="0.2">
      <c r="B690" t="s">
        <v>259</v>
      </c>
      <c r="C690">
        <v>239</v>
      </c>
      <c r="D690">
        <v>224</v>
      </c>
      <c r="E690">
        <v>226</v>
      </c>
      <c r="F690">
        <v>219</v>
      </c>
      <c r="G690">
        <v>227</v>
      </c>
      <c r="H690">
        <v>220</v>
      </c>
      <c r="I690">
        <v>214</v>
      </c>
      <c r="J690">
        <v>214</v>
      </c>
      <c r="K690">
        <v>205</v>
      </c>
      <c r="L690">
        <v>216</v>
      </c>
      <c r="M690">
        <v>210</v>
      </c>
      <c r="N690">
        <v>213</v>
      </c>
      <c r="O690" s="173">
        <f t="shared" si="130"/>
        <v>218.91666666666666</v>
      </c>
      <c r="P690" s="173">
        <f t="shared" si="131"/>
        <v>-30</v>
      </c>
      <c r="Q690" s="177">
        <f t="shared" si="132"/>
        <v>-0.12052226314027453</v>
      </c>
    </row>
    <row r="691" spans="1:17" x14ac:dyDescent="0.2">
      <c r="B691" t="s">
        <v>280</v>
      </c>
      <c r="C691">
        <v>214</v>
      </c>
      <c r="D691">
        <v>211</v>
      </c>
      <c r="E691">
        <v>207</v>
      </c>
      <c r="F691">
        <v>229</v>
      </c>
      <c r="G691">
        <v>243</v>
      </c>
      <c r="H691">
        <v>240</v>
      </c>
      <c r="I691">
        <v>243</v>
      </c>
      <c r="J691">
        <v>245</v>
      </c>
      <c r="K691">
        <v>245</v>
      </c>
      <c r="L691">
        <v>259</v>
      </c>
      <c r="M691">
        <v>261</v>
      </c>
      <c r="N691">
        <v>263</v>
      </c>
      <c r="O691" s="173">
        <f t="shared" si="130"/>
        <v>238.33333333333334</v>
      </c>
      <c r="P691" s="173">
        <f t="shared" si="131"/>
        <v>19.416666666666686</v>
      </c>
      <c r="Q691" s="177">
        <f t="shared" si="132"/>
        <v>8.8694328130947936E-2</v>
      </c>
    </row>
    <row r="692" spans="1:17" x14ac:dyDescent="0.2">
      <c r="B692" t="s">
        <v>290</v>
      </c>
      <c r="C692">
        <v>264</v>
      </c>
      <c r="D692">
        <v>263</v>
      </c>
      <c r="E692">
        <v>264</v>
      </c>
      <c r="F692">
        <v>259</v>
      </c>
      <c r="G692">
        <v>262</v>
      </c>
      <c r="H692">
        <v>259</v>
      </c>
      <c r="I692">
        <v>244</v>
      </c>
      <c r="J692">
        <v>246</v>
      </c>
      <c r="K692">
        <v>253</v>
      </c>
      <c r="L692">
        <v>249</v>
      </c>
      <c r="M692">
        <v>248</v>
      </c>
      <c r="N692">
        <v>256</v>
      </c>
      <c r="O692" s="173">
        <f t="shared" si="130"/>
        <v>255.58333333333334</v>
      </c>
      <c r="P692" s="173">
        <f t="shared" si="131"/>
        <v>17.25</v>
      </c>
      <c r="Q692" s="177">
        <f t="shared" si="132"/>
        <v>7.237762237762238E-2</v>
      </c>
    </row>
    <row r="693" spans="1:17" x14ac:dyDescent="0.2">
      <c r="B693" t="s">
        <v>293</v>
      </c>
      <c r="C693">
        <v>259</v>
      </c>
      <c r="D693">
        <v>269</v>
      </c>
      <c r="E693">
        <v>262</v>
      </c>
      <c r="F693">
        <v>281</v>
      </c>
      <c r="G693">
        <v>292</v>
      </c>
      <c r="H693">
        <v>287</v>
      </c>
      <c r="I693">
        <v>285</v>
      </c>
      <c r="J693">
        <v>271</v>
      </c>
      <c r="K693">
        <v>263</v>
      </c>
      <c r="L693">
        <v>304</v>
      </c>
      <c r="M693">
        <v>301</v>
      </c>
      <c r="N693">
        <v>256</v>
      </c>
      <c r="O693" s="173">
        <f t="shared" si="130"/>
        <v>277.5</v>
      </c>
      <c r="P693" s="173">
        <f t="shared" si="131"/>
        <v>21.916666666666657</v>
      </c>
      <c r="Q693" s="177">
        <f t="shared" si="132"/>
        <v>8.5751548744701617E-2</v>
      </c>
    </row>
    <row r="694" spans="1:17" x14ac:dyDescent="0.2">
      <c r="B694" t="s">
        <v>294</v>
      </c>
      <c r="C694">
        <v>263</v>
      </c>
      <c r="D694">
        <v>269</v>
      </c>
      <c r="E694">
        <v>260</v>
      </c>
      <c r="F694">
        <v>254</v>
      </c>
      <c r="G694">
        <v>247</v>
      </c>
      <c r="H694">
        <v>251</v>
      </c>
      <c r="I694">
        <v>244</v>
      </c>
      <c r="J694">
        <v>235</v>
      </c>
      <c r="K694">
        <v>233</v>
      </c>
      <c r="L694">
        <v>251</v>
      </c>
      <c r="M694">
        <v>278</v>
      </c>
      <c r="N694">
        <v>279</v>
      </c>
      <c r="O694" s="173">
        <f t="shared" si="130"/>
        <v>255.33333333333334</v>
      </c>
      <c r="P694" s="173">
        <f t="shared" si="131"/>
        <v>-22.166666666666657</v>
      </c>
      <c r="Q694" s="177">
        <f t="shared" ref="Q694:Q700" si="133">SUM(P694/O693)</f>
        <v>-7.987987987987985E-2</v>
      </c>
    </row>
    <row r="695" spans="1:17" x14ac:dyDescent="0.2">
      <c r="B695" t="s">
        <v>295</v>
      </c>
      <c r="C695">
        <v>271</v>
      </c>
      <c r="D695">
        <v>264</v>
      </c>
      <c r="E695">
        <v>264</v>
      </c>
      <c r="F695">
        <v>265</v>
      </c>
      <c r="G695">
        <v>260</v>
      </c>
      <c r="H695">
        <v>261</v>
      </c>
      <c r="I695">
        <v>266</v>
      </c>
      <c r="J695">
        <v>257</v>
      </c>
      <c r="K695">
        <v>261</v>
      </c>
      <c r="L695">
        <v>270</v>
      </c>
      <c r="M695">
        <v>273</v>
      </c>
      <c r="N695">
        <v>267</v>
      </c>
      <c r="O695" s="173">
        <f t="shared" si="130"/>
        <v>264.91666666666669</v>
      </c>
      <c r="P695" s="173">
        <f t="shared" ref="P695:P700" si="134">SUM(O695-O694)</f>
        <v>9.5833333333333428</v>
      </c>
      <c r="Q695" s="177">
        <f t="shared" si="133"/>
        <v>3.7532637075718051E-2</v>
      </c>
    </row>
    <row r="696" spans="1:17" x14ac:dyDescent="0.2">
      <c r="B696" t="s">
        <v>335</v>
      </c>
      <c r="C696">
        <v>267</v>
      </c>
      <c r="D696">
        <v>266</v>
      </c>
      <c r="E696">
        <v>268</v>
      </c>
      <c r="F696">
        <v>273</v>
      </c>
      <c r="G696">
        <v>266</v>
      </c>
      <c r="H696">
        <v>255</v>
      </c>
      <c r="I696">
        <v>256</v>
      </c>
      <c r="J696">
        <v>248</v>
      </c>
      <c r="K696">
        <v>253</v>
      </c>
      <c r="L696">
        <v>255</v>
      </c>
      <c r="M696">
        <v>251</v>
      </c>
      <c r="N696">
        <v>255</v>
      </c>
      <c r="O696" s="173">
        <f t="shared" si="130"/>
        <v>259.41666666666669</v>
      </c>
      <c r="P696" s="173">
        <f t="shared" si="134"/>
        <v>-5.5</v>
      </c>
      <c r="Q696" s="177">
        <f t="shared" si="133"/>
        <v>-2.0761245674740483E-2</v>
      </c>
    </row>
    <row r="697" spans="1:17" x14ac:dyDescent="0.2">
      <c r="B697" t="s">
        <v>358</v>
      </c>
      <c r="C697">
        <v>260</v>
      </c>
      <c r="D697">
        <v>250</v>
      </c>
      <c r="E697">
        <v>251</v>
      </c>
      <c r="F697">
        <v>257</v>
      </c>
      <c r="G697">
        <v>258</v>
      </c>
      <c r="H697">
        <v>252</v>
      </c>
      <c r="I697">
        <v>247</v>
      </c>
      <c r="J697">
        <v>244</v>
      </c>
      <c r="K697">
        <v>299</v>
      </c>
      <c r="L697">
        <v>242</v>
      </c>
      <c r="M697">
        <v>246</v>
      </c>
      <c r="N697">
        <v>247</v>
      </c>
      <c r="O697" s="173">
        <f t="shared" si="130"/>
        <v>254.41666666666666</v>
      </c>
      <c r="P697" s="173">
        <f t="shared" si="134"/>
        <v>-5.0000000000000284</v>
      </c>
      <c r="Q697" s="177">
        <f t="shared" si="133"/>
        <v>-1.9274012206874507E-2</v>
      </c>
    </row>
    <row r="698" spans="1:17" x14ac:dyDescent="0.2">
      <c r="B698" t="s">
        <v>437</v>
      </c>
      <c r="C698">
        <v>247</v>
      </c>
      <c r="D698">
        <v>250</v>
      </c>
      <c r="E698">
        <v>259</v>
      </c>
      <c r="F698">
        <v>259</v>
      </c>
      <c r="G698">
        <v>260</v>
      </c>
      <c r="H698">
        <v>269</v>
      </c>
      <c r="I698">
        <v>253</v>
      </c>
      <c r="J698">
        <v>246</v>
      </c>
      <c r="K698">
        <v>259</v>
      </c>
      <c r="L698">
        <v>253</v>
      </c>
      <c r="M698">
        <v>236</v>
      </c>
      <c r="N698">
        <v>227</v>
      </c>
      <c r="O698" s="173">
        <f t="shared" si="130"/>
        <v>251.5</v>
      </c>
      <c r="P698" s="173">
        <f t="shared" si="134"/>
        <v>-2.9166666666666572</v>
      </c>
      <c r="Q698" s="177">
        <f t="shared" si="133"/>
        <v>-1.1464133639043526E-2</v>
      </c>
    </row>
    <row r="699" spans="1:17" x14ac:dyDescent="0.2">
      <c r="B699" t="s">
        <v>471</v>
      </c>
      <c r="C699">
        <v>230</v>
      </c>
      <c r="D699">
        <v>228</v>
      </c>
      <c r="E699">
        <v>245</v>
      </c>
      <c r="F699">
        <v>241</v>
      </c>
      <c r="G699">
        <v>241</v>
      </c>
      <c r="H699">
        <v>233</v>
      </c>
      <c r="I699">
        <v>245</v>
      </c>
      <c r="J699">
        <v>265</v>
      </c>
      <c r="K699">
        <v>258</v>
      </c>
      <c r="L699">
        <v>261</v>
      </c>
      <c r="M699">
        <v>241</v>
      </c>
      <c r="N699">
        <v>231</v>
      </c>
      <c r="O699" s="173">
        <f t="shared" si="130"/>
        <v>243.25</v>
      </c>
      <c r="P699" s="173">
        <f t="shared" si="134"/>
        <v>-8.25</v>
      </c>
      <c r="Q699" s="177">
        <f t="shared" si="133"/>
        <v>-3.2803180914512925E-2</v>
      </c>
    </row>
    <row r="700" spans="1:17" x14ac:dyDescent="0.2">
      <c r="B700" t="s">
        <v>537</v>
      </c>
      <c r="C700">
        <v>265</v>
      </c>
      <c r="D700">
        <v>253</v>
      </c>
      <c r="E700">
        <v>234</v>
      </c>
      <c r="F700">
        <v>254</v>
      </c>
      <c r="G700">
        <v>242</v>
      </c>
      <c r="H700">
        <v>256</v>
      </c>
      <c r="I700">
        <v>262</v>
      </c>
      <c r="J700">
        <v>264</v>
      </c>
      <c r="K700">
        <v>253</v>
      </c>
      <c r="L700">
        <v>262</v>
      </c>
      <c r="M700">
        <v>274</v>
      </c>
      <c r="N700">
        <v>288</v>
      </c>
      <c r="O700" s="173">
        <f t="shared" si="130"/>
        <v>258.91666666666669</v>
      </c>
      <c r="P700" s="173">
        <f t="shared" si="134"/>
        <v>15.666666666666686</v>
      </c>
      <c r="Q700" s="177">
        <f t="shared" si="133"/>
        <v>6.4405618362452968E-2</v>
      </c>
    </row>
    <row r="701" spans="1:17" x14ac:dyDescent="0.2">
      <c r="B701" t="s">
        <v>628</v>
      </c>
      <c r="C701">
        <v>270</v>
      </c>
      <c r="D701">
        <v>256</v>
      </c>
      <c r="E701">
        <v>264</v>
      </c>
      <c r="F701">
        <v>262</v>
      </c>
      <c r="G701">
        <v>273</v>
      </c>
      <c r="H701">
        <v>282</v>
      </c>
      <c r="I701">
        <v>278</v>
      </c>
      <c r="J701">
        <v>289</v>
      </c>
      <c r="K701">
        <v>303</v>
      </c>
      <c r="L701">
        <v>332</v>
      </c>
      <c r="M701">
        <v>335</v>
      </c>
      <c r="N701">
        <v>367</v>
      </c>
      <c r="O701" s="173">
        <f t="shared" si="130"/>
        <v>292.58333333333331</v>
      </c>
      <c r="P701" s="173">
        <f>SUM(O701-O700)</f>
        <v>33.666666666666629</v>
      </c>
      <c r="Q701" s="177">
        <f>SUM(P701/O700)</f>
        <v>0.13002896684905038</v>
      </c>
    </row>
    <row r="702" spans="1:17" x14ac:dyDescent="0.2">
      <c r="B702" t="s">
        <v>629</v>
      </c>
      <c r="C702">
        <v>331</v>
      </c>
      <c r="D702">
        <v>343</v>
      </c>
      <c r="E702">
        <v>340</v>
      </c>
      <c r="O702" s="173"/>
      <c r="P702" s="173"/>
      <c r="Q702" s="177"/>
    </row>
    <row r="703" spans="1:17" x14ac:dyDescent="0.2">
      <c r="O703" s="173"/>
      <c r="P703" s="173"/>
      <c r="Q703" s="177"/>
    </row>
    <row r="704" spans="1:17" x14ac:dyDescent="0.2">
      <c r="A704" s="178"/>
      <c r="B704" s="178"/>
      <c r="C704" s="178"/>
      <c r="D704" s="178"/>
      <c r="E704" s="178"/>
      <c r="F704" s="178"/>
      <c r="G704" s="178"/>
      <c r="H704" s="178"/>
      <c r="I704" s="178"/>
      <c r="J704" s="178"/>
      <c r="K704" s="178"/>
      <c r="L704" s="178"/>
      <c r="M704" s="178"/>
      <c r="N704" s="178"/>
      <c r="O704" s="178"/>
      <c r="P704" s="178"/>
      <c r="Q704" s="178"/>
    </row>
    <row r="705" spans="1:17" ht="25.5" x14ac:dyDescent="0.2">
      <c r="A705" s="175" t="s">
        <v>444</v>
      </c>
      <c r="B705" s="176" t="s">
        <v>418</v>
      </c>
      <c r="C705" s="179" t="s">
        <v>419</v>
      </c>
      <c r="D705" s="179" t="s">
        <v>420</v>
      </c>
      <c r="E705" s="179" t="s">
        <v>421</v>
      </c>
      <c r="F705" s="179" t="s">
        <v>422</v>
      </c>
      <c r="G705" s="179" t="s">
        <v>423</v>
      </c>
      <c r="H705" s="179" t="s">
        <v>424</v>
      </c>
      <c r="I705" s="179" t="s">
        <v>425</v>
      </c>
      <c r="J705" s="179" t="s">
        <v>426</v>
      </c>
      <c r="K705" s="179" t="s">
        <v>427</v>
      </c>
      <c r="L705" s="179" t="s">
        <v>428</v>
      </c>
      <c r="M705" s="179" t="s">
        <v>429</v>
      </c>
      <c r="N705" s="179" t="s">
        <v>430</v>
      </c>
    </row>
    <row r="706" spans="1:17" x14ac:dyDescent="0.2">
      <c r="B706" t="s">
        <v>434</v>
      </c>
      <c r="C706">
        <v>204</v>
      </c>
      <c r="D706">
        <v>210</v>
      </c>
      <c r="E706">
        <v>215</v>
      </c>
      <c r="F706">
        <v>213</v>
      </c>
      <c r="G706">
        <v>212</v>
      </c>
      <c r="H706">
        <v>207</v>
      </c>
      <c r="I706">
        <v>200</v>
      </c>
      <c r="J706">
        <v>199</v>
      </c>
      <c r="K706">
        <v>192</v>
      </c>
      <c r="L706">
        <v>192</v>
      </c>
      <c r="M706">
        <v>181</v>
      </c>
      <c r="N706">
        <v>189</v>
      </c>
      <c r="O706" s="173">
        <f t="shared" ref="O706:O721" si="135">SUM(C706:N706)/12</f>
        <v>201.16666666666666</v>
      </c>
      <c r="P706" s="173"/>
    </row>
    <row r="707" spans="1:17" x14ac:dyDescent="0.2">
      <c r="B707" t="s">
        <v>435</v>
      </c>
      <c r="C707">
        <v>191</v>
      </c>
      <c r="D707">
        <v>194</v>
      </c>
      <c r="E707">
        <v>194</v>
      </c>
      <c r="F707">
        <v>191</v>
      </c>
      <c r="G707">
        <v>191</v>
      </c>
      <c r="H707">
        <v>198</v>
      </c>
      <c r="I707">
        <v>185</v>
      </c>
      <c r="J707">
        <v>192</v>
      </c>
      <c r="K707">
        <v>188</v>
      </c>
      <c r="L707">
        <v>198</v>
      </c>
      <c r="M707">
        <v>203</v>
      </c>
      <c r="N707">
        <v>203</v>
      </c>
      <c r="O707" s="173">
        <f t="shared" si="135"/>
        <v>194</v>
      </c>
      <c r="P707" s="173">
        <f t="shared" ref="P707:P714" si="136">SUM(O707-O706)</f>
        <v>-7.1666666666666572</v>
      </c>
      <c r="Q707" s="177">
        <f t="shared" ref="Q707:Q713" si="137">SUM(P707/O706)</f>
        <v>-3.5625517812758863E-2</v>
      </c>
    </row>
    <row r="708" spans="1:17" x14ac:dyDescent="0.2">
      <c r="B708" t="s">
        <v>436</v>
      </c>
      <c r="C708">
        <v>201</v>
      </c>
      <c r="D708">
        <v>196</v>
      </c>
      <c r="E708">
        <v>198</v>
      </c>
      <c r="F708">
        <v>188</v>
      </c>
      <c r="G708">
        <v>188</v>
      </c>
      <c r="H708">
        <v>192</v>
      </c>
      <c r="I708">
        <v>189</v>
      </c>
      <c r="J708">
        <v>200</v>
      </c>
      <c r="K708">
        <v>219</v>
      </c>
      <c r="L708">
        <v>228</v>
      </c>
      <c r="M708">
        <v>234</v>
      </c>
      <c r="N708">
        <v>237</v>
      </c>
      <c r="O708" s="173">
        <f t="shared" si="135"/>
        <v>205.83333333333334</v>
      </c>
      <c r="P708" s="173">
        <f t="shared" si="136"/>
        <v>11.833333333333343</v>
      </c>
      <c r="Q708" s="177">
        <f t="shared" si="137"/>
        <v>6.0996563573883208E-2</v>
      </c>
    </row>
    <row r="709" spans="1:17" x14ac:dyDescent="0.2">
      <c r="B709" t="s">
        <v>260</v>
      </c>
      <c r="C709">
        <v>246</v>
      </c>
      <c r="D709">
        <v>242</v>
      </c>
      <c r="E709">
        <v>245</v>
      </c>
      <c r="F709">
        <v>245</v>
      </c>
      <c r="G709">
        <v>245</v>
      </c>
      <c r="H709">
        <v>245</v>
      </c>
      <c r="I709">
        <v>245</v>
      </c>
      <c r="J709">
        <v>245</v>
      </c>
      <c r="K709">
        <v>245</v>
      </c>
      <c r="L709">
        <v>245</v>
      </c>
      <c r="M709">
        <v>245</v>
      </c>
      <c r="N709">
        <v>245</v>
      </c>
      <c r="O709" s="173">
        <f t="shared" si="135"/>
        <v>244.83333333333334</v>
      </c>
      <c r="P709" s="173">
        <f t="shared" si="136"/>
        <v>39</v>
      </c>
      <c r="Q709" s="177">
        <f t="shared" si="137"/>
        <v>0.18947368421052629</v>
      </c>
    </row>
    <row r="710" spans="1:17" x14ac:dyDescent="0.2">
      <c r="B710" t="s">
        <v>259</v>
      </c>
      <c r="C710">
        <v>219</v>
      </c>
      <c r="D710">
        <v>239</v>
      </c>
      <c r="E710">
        <v>239</v>
      </c>
      <c r="F710">
        <v>242</v>
      </c>
      <c r="G710">
        <v>237</v>
      </c>
      <c r="H710">
        <v>248</v>
      </c>
      <c r="I710">
        <v>255</v>
      </c>
      <c r="J710">
        <v>262</v>
      </c>
      <c r="K710">
        <v>263</v>
      </c>
      <c r="L710">
        <v>274</v>
      </c>
      <c r="M710">
        <v>266</v>
      </c>
      <c r="N710">
        <v>278</v>
      </c>
      <c r="O710" s="173">
        <f t="shared" si="135"/>
        <v>251.83333333333334</v>
      </c>
      <c r="P710" s="173">
        <f t="shared" si="136"/>
        <v>7</v>
      </c>
      <c r="Q710" s="177">
        <f t="shared" si="137"/>
        <v>2.8590878148400271E-2</v>
      </c>
    </row>
    <row r="711" spans="1:17" x14ac:dyDescent="0.2">
      <c r="B711" t="s">
        <v>280</v>
      </c>
      <c r="C711">
        <v>278</v>
      </c>
      <c r="D711">
        <v>279</v>
      </c>
      <c r="E711">
        <v>277</v>
      </c>
      <c r="F711">
        <v>279</v>
      </c>
      <c r="G711">
        <v>282</v>
      </c>
      <c r="H711">
        <v>282</v>
      </c>
      <c r="I711">
        <v>287</v>
      </c>
      <c r="J711">
        <v>293</v>
      </c>
      <c r="K711">
        <v>299</v>
      </c>
      <c r="L711">
        <v>299</v>
      </c>
      <c r="M711">
        <v>316</v>
      </c>
      <c r="N711">
        <v>325</v>
      </c>
      <c r="O711" s="173">
        <f t="shared" si="135"/>
        <v>291.33333333333331</v>
      </c>
      <c r="P711" s="173">
        <f t="shared" si="136"/>
        <v>39.499999999999972</v>
      </c>
      <c r="Q711" s="177">
        <f t="shared" si="137"/>
        <v>0.15684976836532086</v>
      </c>
    </row>
    <row r="712" spans="1:17" x14ac:dyDescent="0.2">
      <c r="B712" t="s">
        <v>290</v>
      </c>
      <c r="C712">
        <v>335</v>
      </c>
      <c r="D712">
        <v>349</v>
      </c>
      <c r="E712">
        <v>352</v>
      </c>
      <c r="F712">
        <v>352</v>
      </c>
      <c r="G712">
        <v>348</v>
      </c>
      <c r="H712">
        <v>363</v>
      </c>
      <c r="I712">
        <v>362</v>
      </c>
      <c r="J712">
        <v>370</v>
      </c>
      <c r="K712">
        <v>376</v>
      </c>
      <c r="L712">
        <v>393</v>
      </c>
      <c r="M712">
        <v>401</v>
      </c>
      <c r="N712">
        <v>400</v>
      </c>
      <c r="O712" s="173">
        <f t="shared" si="135"/>
        <v>366.75</v>
      </c>
      <c r="P712" s="173">
        <f t="shared" si="136"/>
        <v>75.416666666666686</v>
      </c>
      <c r="Q712" s="177">
        <f t="shared" si="137"/>
        <v>0.25886727688787192</v>
      </c>
    </row>
    <row r="713" spans="1:17" x14ac:dyDescent="0.2">
      <c r="B713" t="s">
        <v>293</v>
      </c>
      <c r="C713">
        <v>397</v>
      </c>
      <c r="D713">
        <v>402</v>
      </c>
      <c r="E713">
        <v>398</v>
      </c>
      <c r="F713">
        <v>408</v>
      </c>
      <c r="G713">
        <v>409</v>
      </c>
      <c r="H713">
        <v>416</v>
      </c>
      <c r="I713">
        <v>415</v>
      </c>
      <c r="J713">
        <v>414</v>
      </c>
      <c r="K713">
        <v>405</v>
      </c>
      <c r="L713">
        <v>486</v>
      </c>
      <c r="M713">
        <v>472</v>
      </c>
      <c r="N713">
        <v>409</v>
      </c>
      <c r="O713" s="173">
        <f t="shared" si="135"/>
        <v>419.25</v>
      </c>
      <c r="P713" s="173">
        <f t="shared" si="136"/>
        <v>52.5</v>
      </c>
      <c r="Q713" s="177">
        <f t="shared" si="137"/>
        <v>0.14314928425357873</v>
      </c>
    </row>
    <row r="714" spans="1:17" x14ac:dyDescent="0.2">
      <c r="B714" t="s">
        <v>294</v>
      </c>
      <c r="C714">
        <v>426</v>
      </c>
      <c r="D714">
        <v>431</v>
      </c>
      <c r="E714">
        <v>506</v>
      </c>
      <c r="F714">
        <v>455</v>
      </c>
      <c r="G714">
        <v>489</v>
      </c>
      <c r="H714">
        <v>513</v>
      </c>
      <c r="I714">
        <v>514</v>
      </c>
      <c r="J714">
        <v>518</v>
      </c>
      <c r="K714">
        <v>505</v>
      </c>
      <c r="L714">
        <v>502</v>
      </c>
      <c r="M714">
        <v>516</v>
      </c>
      <c r="N714">
        <v>530</v>
      </c>
      <c r="O714" s="173">
        <f t="shared" si="135"/>
        <v>492.08333333333331</v>
      </c>
      <c r="P714" s="173">
        <f t="shared" si="136"/>
        <v>72.833333333333314</v>
      </c>
      <c r="Q714" s="177">
        <f t="shared" ref="Q714:Q720" si="138">SUM(P714/O713)</f>
        <v>0.17372291790896438</v>
      </c>
    </row>
    <row r="715" spans="1:17" x14ac:dyDescent="0.2">
      <c r="B715" t="s">
        <v>295</v>
      </c>
      <c r="C715">
        <v>482</v>
      </c>
      <c r="D715">
        <v>466</v>
      </c>
      <c r="E715">
        <v>463</v>
      </c>
      <c r="F715">
        <v>466</v>
      </c>
      <c r="G715">
        <v>455</v>
      </c>
      <c r="H715">
        <v>458</v>
      </c>
      <c r="I715">
        <v>448</v>
      </c>
      <c r="J715">
        <v>451</v>
      </c>
      <c r="K715">
        <v>454</v>
      </c>
      <c r="L715">
        <v>449</v>
      </c>
      <c r="M715">
        <v>443</v>
      </c>
      <c r="N715">
        <v>447</v>
      </c>
      <c r="O715" s="173">
        <f t="shared" si="135"/>
        <v>456.83333333333331</v>
      </c>
      <c r="P715" s="173">
        <f t="shared" ref="P715:P720" si="139">SUM(O715-O714)</f>
        <v>-35.25</v>
      </c>
      <c r="Q715" s="177">
        <f t="shared" si="138"/>
        <v>-7.1634208298052504E-2</v>
      </c>
    </row>
    <row r="716" spans="1:17" x14ac:dyDescent="0.2">
      <c r="B716" t="s">
        <v>335</v>
      </c>
      <c r="C716">
        <v>441</v>
      </c>
      <c r="D716">
        <v>439</v>
      </c>
      <c r="E716">
        <v>439</v>
      </c>
      <c r="F716">
        <v>426</v>
      </c>
      <c r="G716">
        <v>432</v>
      </c>
      <c r="H716">
        <v>465</v>
      </c>
      <c r="I716">
        <v>452</v>
      </c>
      <c r="J716">
        <v>441</v>
      </c>
      <c r="K716">
        <v>443</v>
      </c>
      <c r="L716">
        <v>462</v>
      </c>
      <c r="M716">
        <v>480</v>
      </c>
      <c r="N716">
        <v>467</v>
      </c>
      <c r="O716" s="173">
        <f t="shared" si="135"/>
        <v>448.91666666666669</v>
      </c>
      <c r="P716" s="173">
        <f t="shared" si="139"/>
        <v>-7.9166666666666288</v>
      </c>
      <c r="Q716" s="177">
        <f t="shared" si="138"/>
        <v>-1.7329441809558473E-2</v>
      </c>
    </row>
    <row r="717" spans="1:17" x14ac:dyDescent="0.2">
      <c r="B717" t="s">
        <v>358</v>
      </c>
      <c r="C717">
        <v>465</v>
      </c>
      <c r="D717">
        <v>456</v>
      </c>
      <c r="E717">
        <v>455</v>
      </c>
      <c r="F717">
        <v>464</v>
      </c>
      <c r="G717">
        <v>461</v>
      </c>
      <c r="H717">
        <v>470</v>
      </c>
      <c r="I717">
        <v>443</v>
      </c>
      <c r="J717">
        <v>469</v>
      </c>
      <c r="K717">
        <v>478</v>
      </c>
      <c r="L717">
        <v>471</v>
      </c>
      <c r="M717">
        <v>457</v>
      </c>
      <c r="N717">
        <v>468</v>
      </c>
      <c r="O717" s="173">
        <f t="shared" si="135"/>
        <v>463.08333333333331</v>
      </c>
      <c r="P717" s="173">
        <f t="shared" si="139"/>
        <v>14.166666666666629</v>
      </c>
      <c r="Q717" s="177">
        <f t="shared" si="138"/>
        <v>3.1557453127900419E-2</v>
      </c>
    </row>
    <row r="718" spans="1:17" x14ac:dyDescent="0.2">
      <c r="B718" t="s">
        <v>437</v>
      </c>
      <c r="C718">
        <v>486</v>
      </c>
      <c r="D718">
        <v>496</v>
      </c>
      <c r="E718">
        <v>489</v>
      </c>
      <c r="F718">
        <v>495</v>
      </c>
      <c r="G718">
        <v>495</v>
      </c>
      <c r="H718">
        <v>495</v>
      </c>
      <c r="I718">
        <v>495</v>
      </c>
      <c r="J718">
        <v>500</v>
      </c>
      <c r="K718">
        <v>502</v>
      </c>
      <c r="L718">
        <v>508</v>
      </c>
      <c r="M718">
        <v>497</v>
      </c>
      <c r="N718">
        <v>504</v>
      </c>
      <c r="O718" s="173">
        <f t="shared" si="135"/>
        <v>496.83333333333331</v>
      </c>
      <c r="P718" s="173">
        <f t="shared" si="139"/>
        <v>33.75</v>
      </c>
      <c r="Q718" s="177">
        <f t="shared" si="138"/>
        <v>7.2881050926759047E-2</v>
      </c>
    </row>
    <row r="719" spans="1:17" x14ac:dyDescent="0.2">
      <c r="B719" t="s">
        <v>471</v>
      </c>
      <c r="C719">
        <v>496</v>
      </c>
      <c r="D719">
        <v>494</v>
      </c>
      <c r="E719">
        <v>478</v>
      </c>
      <c r="F719">
        <v>497</v>
      </c>
      <c r="G719">
        <v>499</v>
      </c>
      <c r="H719">
        <v>494</v>
      </c>
      <c r="I719">
        <v>489</v>
      </c>
      <c r="J719">
        <v>495</v>
      </c>
      <c r="K719">
        <v>490</v>
      </c>
      <c r="L719">
        <v>488</v>
      </c>
      <c r="M719">
        <v>497</v>
      </c>
      <c r="N719">
        <v>488</v>
      </c>
      <c r="O719" s="173">
        <f t="shared" si="135"/>
        <v>492.08333333333331</v>
      </c>
      <c r="P719" s="173">
        <f t="shared" si="139"/>
        <v>-4.75</v>
      </c>
      <c r="Q719" s="177">
        <f t="shared" si="138"/>
        <v>-9.5605501509560559E-3</v>
      </c>
    </row>
    <row r="720" spans="1:17" x14ac:dyDescent="0.2">
      <c r="B720" t="s">
        <v>537</v>
      </c>
      <c r="C720">
        <v>487</v>
      </c>
      <c r="D720">
        <v>474</v>
      </c>
      <c r="E720">
        <v>466</v>
      </c>
      <c r="F720">
        <v>470</v>
      </c>
      <c r="G720">
        <v>464</v>
      </c>
      <c r="H720">
        <v>474</v>
      </c>
      <c r="I720">
        <v>469</v>
      </c>
      <c r="J720">
        <v>478</v>
      </c>
      <c r="K720">
        <v>472</v>
      </c>
      <c r="L720">
        <v>468</v>
      </c>
      <c r="M720">
        <v>474</v>
      </c>
      <c r="N720">
        <v>471</v>
      </c>
      <c r="O720" s="173">
        <f t="shared" si="135"/>
        <v>472.25</v>
      </c>
      <c r="P720" s="173">
        <f t="shared" si="139"/>
        <v>-19.833333333333314</v>
      </c>
      <c r="Q720" s="177">
        <f t="shared" si="138"/>
        <v>-4.0304826418289551E-2</v>
      </c>
    </row>
    <row r="721" spans="1:17" x14ac:dyDescent="0.2">
      <c r="B721" t="s">
        <v>628</v>
      </c>
      <c r="C721">
        <v>468</v>
      </c>
      <c r="D721">
        <v>469</v>
      </c>
      <c r="E721">
        <v>451</v>
      </c>
      <c r="F721">
        <v>438</v>
      </c>
      <c r="G721">
        <v>433</v>
      </c>
      <c r="H721">
        <v>425</v>
      </c>
      <c r="I721">
        <v>420</v>
      </c>
      <c r="J721">
        <v>419</v>
      </c>
      <c r="K721">
        <v>418</v>
      </c>
      <c r="L721">
        <v>421</v>
      </c>
      <c r="M721">
        <v>413</v>
      </c>
      <c r="N721">
        <v>411</v>
      </c>
      <c r="O721" s="173">
        <f t="shared" si="135"/>
        <v>432.16666666666669</v>
      </c>
      <c r="P721" s="173">
        <f>SUM(O721-O720)</f>
        <v>-40.083333333333314</v>
      </c>
      <c r="Q721" s="177">
        <f>SUM(P721/O720)</f>
        <v>-8.4877360155284937E-2</v>
      </c>
    </row>
    <row r="722" spans="1:17" x14ac:dyDescent="0.2">
      <c r="B722" t="s">
        <v>629</v>
      </c>
      <c r="C722">
        <v>402</v>
      </c>
      <c r="D722">
        <v>427</v>
      </c>
      <c r="E722">
        <v>427</v>
      </c>
      <c r="O722" s="173"/>
      <c r="P722" s="173"/>
      <c r="Q722" s="177"/>
    </row>
    <row r="723" spans="1:17" x14ac:dyDescent="0.2">
      <c r="O723" s="173"/>
      <c r="P723" s="173"/>
      <c r="Q723" s="177"/>
    </row>
    <row r="724" spans="1:17" ht="25.5" x14ac:dyDescent="0.2">
      <c r="A724" s="175" t="s">
        <v>445</v>
      </c>
      <c r="B724" s="176" t="s">
        <v>418</v>
      </c>
      <c r="C724" s="179" t="s">
        <v>419</v>
      </c>
      <c r="D724" s="179" t="s">
        <v>420</v>
      </c>
      <c r="E724" s="179" t="s">
        <v>421</v>
      </c>
      <c r="F724" s="179" t="s">
        <v>422</v>
      </c>
      <c r="G724" s="179" t="s">
        <v>423</v>
      </c>
      <c r="H724" s="179" t="s">
        <v>424</v>
      </c>
      <c r="I724" s="179" t="s">
        <v>425</v>
      </c>
      <c r="J724" s="179" t="s">
        <v>426</v>
      </c>
      <c r="K724" s="179" t="s">
        <v>427</v>
      </c>
      <c r="L724" s="179" t="s">
        <v>428</v>
      </c>
      <c r="M724" s="179" t="s">
        <v>429</v>
      </c>
      <c r="N724" s="179" t="s">
        <v>430</v>
      </c>
    </row>
    <row r="725" spans="1:17" x14ac:dyDescent="0.2">
      <c r="B725" t="s">
        <v>434</v>
      </c>
      <c r="C725">
        <v>173</v>
      </c>
      <c r="D725">
        <v>167</v>
      </c>
      <c r="E725">
        <v>163</v>
      </c>
      <c r="F725">
        <v>169</v>
      </c>
      <c r="G725">
        <v>161</v>
      </c>
      <c r="H725">
        <v>164</v>
      </c>
      <c r="I725">
        <v>156</v>
      </c>
      <c r="J725">
        <v>157</v>
      </c>
      <c r="K725">
        <v>148</v>
      </c>
      <c r="L725">
        <v>156</v>
      </c>
      <c r="M725">
        <v>171</v>
      </c>
      <c r="N725">
        <v>177</v>
      </c>
      <c r="O725" s="173">
        <f t="shared" ref="O725:O740" si="140">SUM(C725:N725)/12</f>
        <v>163.5</v>
      </c>
      <c r="P725" s="173"/>
    </row>
    <row r="726" spans="1:17" x14ac:dyDescent="0.2">
      <c r="B726" t="s">
        <v>435</v>
      </c>
      <c r="C726">
        <v>169</v>
      </c>
      <c r="D726">
        <v>160</v>
      </c>
      <c r="E726">
        <v>150</v>
      </c>
      <c r="F726">
        <v>143</v>
      </c>
      <c r="G726">
        <v>143</v>
      </c>
      <c r="H726">
        <v>140</v>
      </c>
      <c r="I726">
        <v>144</v>
      </c>
      <c r="J726">
        <v>152</v>
      </c>
      <c r="K726">
        <v>152</v>
      </c>
      <c r="L726">
        <v>143</v>
      </c>
      <c r="M726">
        <v>151</v>
      </c>
      <c r="N726">
        <v>152</v>
      </c>
      <c r="O726" s="173">
        <f t="shared" si="140"/>
        <v>149.91666666666666</v>
      </c>
      <c r="P726" s="173">
        <f t="shared" ref="P726:P733" si="141">SUM(O726-O725)</f>
        <v>-13.583333333333343</v>
      </c>
      <c r="Q726" s="177">
        <f t="shared" ref="Q726:Q732" si="142">SUM(P726/O725)</f>
        <v>-8.3078491335372123E-2</v>
      </c>
    </row>
    <row r="727" spans="1:17" x14ac:dyDescent="0.2">
      <c r="B727" t="s">
        <v>436</v>
      </c>
      <c r="C727">
        <v>144</v>
      </c>
      <c r="D727">
        <v>141</v>
      </c>
      <c r="E727">
        <v>140</v>
      </c>
      <c r="F727">
        <v>142</v>
      </c>
      <c r="G727">
        <v>138</v>
      </c>
      <c r="H727">
        <v>143</v>
      </c>
      <c r="I727">
        <v>143</v>
      </c>
      <c r="J727">
        <v>152</v>
      </c>
      <c r="K727">
        <v>157</v>
      </c>
      <c r="L727">
        <v>162</v>
      </c>
      <c r="M727">
        <v>167</v>
      </c>
      <c r="N727">
        <v>172</v>
      </c>
      <c r="O727" s="173">
        <f t="shared" si="140"/>
        <v>150.08333333333334</v>
      </c>
      <c r="P727" s="173">
        <f t="shared" si="141"/>
        <v>0.16666666666668561</v>
      </c>
      <c r="Q727" s="177">
        <f t="shared" si="142"/>
        <v>1.1117287381880085E-3</v>
      </c>
    </row>
    <row r="728" spans="1:17" x14ac:dyDescent="0.2">
      <c r="B728" t="s">
        <v>260</v>
      </c>
      <c r="C728">
        <v>175</v>
      </c>
      <c r="D728">
        <v>144</v>
      </c>
      <c r="E728">
        <v>144</v>
      </c>
      <c r="F728">
        <v>144</v>
      </c>
      <c r="G728">
        <v>153</v>
      </c>
      <c r="H728">
        <v>153</v>
      </c>
      <c r="I728">
        <v>153</v>
      </c>
      <c r="J728">
        <v>153</v>
      </c>
      <c r="K728">
        <v>153</v>
      </c>
      <c r="L728">
        <v>162</v>
      </c>
      <c r="M728">
        <v>167</v>
      </c>
      <c r="N728">
        <v>172</v>
      </c>
      <c r="O728" s="173">
        <f t="shared" si="140"/>
        <v>156.08333333333334</v>
      </c>
      <c r="P728" s="173">
        <f t="shared" si="141"/>
        <v>6</v>
      </c>
      <c r="Q728" s="177">
        <f t="shared" si="142"/>
        <v>3.9977790116601887E-2</v>
      </c>
    </row>
    <row r="729" spans="1:17" x14ac:dyDescent="0.2">
      <c r="B729" t="s">
        <v>259</v>
      </c>
      <c r="C729">
        <v>189</v>
      </c>
      <c r="D729">
        <v>147</v>
      </c>
      <c r="E729">
        <v>150</v>
      </c>
      <c r="F729">
        <v>149</v>
      </c>
      <c r="G729">
        <v>143</v>
      </c>
      <c r="H729">
        <v>144</v>
      </c>
      <c r="I729">
        <v>145</v>
      </c>
      <c r="J729">
        <v>150</v>
      </c>
      <c r="K729">
        <v>156</v>
      </c>
      <c r="L729">
        <v>156</v>
      </c>
      <c r="M729">
        <v>137</v>
      </c>
      <c r="N729">
        <v>137</v>
      </c>
      <c r="O729" s="173">
        <f t="shared" si="140"/>
        <v>150.25</v>
      </c>
      <c r="P729" s="173">
        <f t="shared" si="141"/>
        <v>-5.8333333333333428</v>
      </c>
      <c r="Q729" s="177">
        <f t="shared" si="142"/>
        <v>-3.7373198077949872E-2</v>
      </c>
    </row>
    <row r="730" spans="1:17" x14ac:dyDescent="0.2">
      <c r="B730" t="s">
        <v>280</v>
      </c>
      <c r="C730">
        <v>121</v>
      </c>
      <c r="D730">
        <v>120</v>
      </c>
      <c r="E730">
        <v>127</v>
      </c>
      <c r="F730">
        <v>130</v>
      </c>
      <c r="G730">
        <v>134</v>
      </c>
      <c r="H730">
        <v>143</v>
      </c>
      <c r="I730">
        <v>142</v>
      </c>
      <c r="J730">
        <v>138</v>
      </c>
      <c r="K730">
        <v>139</v>
      </c>
      <c r="L730">
        <v>146</v>
      </c>
      <c r="M730">
        <v>148</v>
      </c>
      <c r="N730">
        <v>147</v>
      </c>
      <c r="O730" s="173">
        <f t="shared" si="140"/>
        <v>136.25</v>
      </c>
      <c r="P730" s="173">
        <f t="shared" si="141"/>
        <v>-14</v>
      </c>
      <c r="Q730" s="177">
        <f t="shared" si="142"/>
        <v>-9.3178036605657238E-2</v>
      </c>
    </row>
    <row r="731" spans="1:17" x14ac:dyDescent="0.2">
      <c r="B731" t="s">
        <v>290</v>
      </c>
      <c r="C731">
        <v>146</v>
      </c>
      <c r="D731">
        <v>146</v>
      </c>
      <c r="E731">
        <v>146</v>
      </c>
      <c r="F731">
        <v>152</v>
      </c>
      <c r="G731">
        <v>150</v>
      </c>
      <c r="H731">
        <v>141</v>
      </c>
      <c r="I731">
        <v>136</v>
      </c>
      <c r="J731">
        <v>139</v>
      </c>
      <c r="K731">
        <v>141</v>
      </c>
      <c r="L731">
        <v>149</v>
      </c>
      <c r="M731">
        <v>155</v>
      </c>
      <c r="N731">
        <v>142</v>
      </c>
      <c r="O731" s="173">
        <f t="shared" si="140"/>
        <v>145.25</v>
      </c>
      <c r="P731" s="173">
        <f t="shared" si="141"/>
        <v>9</v>
      </c>
      <c r="Q731" s="177">
        <f t="shared" si="142"/>
        <v>6.6055045871559637E-2</v>
      </c>
    </row>
    <row r="732" spans="1:17" x14ac:dyDescent="0.2">
      <c r="B732" t="s">
        <v>293</v>
      </c>
      <c r="C732">
        <v>148</v>
      </c>
      <c r="D732">
        <v>149</v>
      </c>
      <c r="E732">
        <v>149</v>
      </c>
      <c r="F732">
        <v>151</v>
      </c>
      <c r="G732">
        <v>139</v>
      </c>
      <c r="H732">
        <v>141</v>
      </c>
      <c r="I732">
        <v>136</v>
      </c>
      <c r="J732">
        <v>148</v>
      </c>
      <c r="K732">
        <v>146</v>
      </c>
      <c r="L732">
        <v>210</v>
      </c>
      <c r="M732">
        <v>211</v>
      </c>
      <c r="N732">
        <v>152</v>
      </c>
      <c r="O732" s="173">
        <f t="shared" si="140"/>
        <v>156.66666666666666</v>
      </c>
      <c r="P732" s="173">
        <f t="shared" si="141"/>
        <v>11.416666666666657</v>
      </c>
      <c r="Q732" s="177">
        <f t="shared" si="142"/>
        <v>7.8600114744692987E-2</v>
      </c>
    </row>
    <row r="733" spans="1:17" x14ac:dyDescent="0.2">
      <c r="B733" t="s">
        <v>294</v>
      </c>
      <c r="C733">
        <v>146</v>
      </c>
      <c r="D733">
        <v>150</v>
      </c>
      <c r="E733">
        <v>146</v>
      </c>
      <c r="F733">
        <v>146</v>
      </c>
      <c r="G733">
        <v>114</v>
      </c>
      <c r="H733">
        <v>99</v>
      </c>
      <c r="I733">
        <v>169</v>
      </c>
      <c r="J733">
        <v>145</v>
      </c>
      <c r="K733">
        <v>145</v>
      </c>
      <c r="L733">
        <v>145</v>
      </c>
      <c r="M733">
        <v>139</v>
      </c>
      <c r="N733">
        <v>138</v>
      </c>
      <c r="O733" s="173">
        <f t="shared" si="140"/>
        <v>140.16666666666666</v>
      </c>
      <c r="P733" s="173">
        <f t="shared" si="141"/>
        <v>-16.5</v>
      </c>
      <c r="Q733" s="177">
        <f t="shared" ref="Q733:Q739" si="143">SUM(P733/O732)</f>
        <v>-0.10531914893617023</v>
      </c>
    </row>
    <row r="734" spans="1:17" x14ac:dyDescent="0.2">
      <c r="B734" t="s">
        <v>295</v>
      </c>
      <c r="C734">
        <v>133</v>
      </c>
      <c r="D734">
        <v>135</v>
      </c>
      <c r="E734">
        <v>136</v>
      </c>
      <c r="F734">
        <v>143</v>
      </c>
      <c r="G734">
        <v>140</v>
      </c>
      <c r="H734">
        <v>144</v>
      </c>
      <c r="I734">
        <v>145</v>
      </c>
      <c r="J734">
        <v>144</v>
      </c>
      <c r="K734">
        <v>166</v>
      </c>
      <c r="L734">
        <v>162</v>
      </c>
      <c r="M734">
        <v>166</v>
      </c>
      <c r="N734">
        <v>161</v>
      </c>
      <c r="O734" s="173">
        <f t="shared" si="140"/>
        <v>147.91666666666666</v>
      </c>
      <c r="P734" s="173">
        <f t="shared" ref="P734:P739" si="144">SUM(O734-O733)</f>
        <v>7.75</v>
      </c>
      <c r="Q734" s="177">
        <f t="shared" si="143"/>
        <v>5.5291319857312726E-2</v>
      </c>
    </row>
    <row r="735" spans="1:17" x14ac:dyDescent="0.2">
      <c r="B735" t="s">
        <v>335</v>
      </c>
      <c r="C735">
        <v>159</v>
      </c>
      <c r="D735">
        <v>157</v>
      </c>
      <c r="E735">
        <v>154</v>
      </c>
      <c r="F735">
        <v>156</v>
      </c>
      <c r="G735">
        <v>155</v>
      </c>
      <c r="H735">
        <v>151</v>
      </c>
      <c r="I735">
        <v>152</v>
      </c>
      <c r="J735">
        <v>148</v>
      </c>
      <c r="K735">
        <v>152</v>
      </c>
      <c r="L735">
        <v>155</v>
      </c>
      <c r="M735">
        <v>161</v>
      </c>
      <c r="N735">
        <v>156</v>
      </c>
      <c r="O735" s="173">
        <f t="shared" si="140"/>
        <v>154.66666666666666</v>
      </c>
      <c r="P735" s="173">
        <f t="shared" si="144"/>
        <v>6.75</v>
      </c>
      <c r="Q735" s="177">
        <f t="shared" si="143"/>
        <v>4.5633802816901409E-2</v>
      </c>
    </row>
    <row r="736" spans="1:17" x14ac:dyDescent="0.2">
      <c r="B736" t="s">
        <v>358</v>
      </c>
      <c r="C736">
        <v>150</v>
      </c>
      <c r="D736">
        <v>158</v>
      </c>
      <c r="E736">
        <v>160</v>
      </c>
      <c r="F736">
        <v>142</v>
      </c>
      <c r="G736">
        <v>141</v>
      </c>
      <c r="H736">
        <v>138</v>
      </c>
      <c r="I736">
        <v>139</v>
      </c>
      <c r="J736">
        <v>136</v>
      </c>
      <c r="K736">
        <v>134</v>
      </c>
      <c r="L736">
        <v>142</v>
      </c>
      <c r="M736">
        <v>143</v>
      </c>
      <c r="N736">
        <v>135</v>
      </c>
      <c r="O736" s="173">
        <f t="shared" si="140"/>
        <v>143.16666666666666</v>
      </c>
      <c r="P736" s="173">
        <f t="shared" si="144"/>
        <v>-11.5</v>
      </c>
      <c r="Q736" s="177">
        <f t="shared" si="143"/>
        <v>-7.4353448275862072E-2</v>
      </c>
    </row>
    <row r="737" spans="1:17" x14ac:dyDescent="0.2">
      <c r="B737" t="s">
        <v>437</v>
      </c>
      <c r="C737">
        <v>137</v>
      </c>
      <c r="D737">
        <v>145</v>
      </c>
      <c r="E737">
        <v>146</v>
      </c>
      <c r="F737">
        <v>150</v>
      </c>
      <c r="G737">
        <v>146</v>
      </c>
      <c r="H737">
        <v>138</v>
      </c>
      <c r="I737">
        <v>137</v>
      </c>
      <c r="J737">
        <v>135</v>
      </c>
      <c r="K737">
        <v>138</v>
      </c>
      <c r="L737">
        <v>141</v>
      </c>
      <c r="M737">
        <v>147</v>
      </c>
      <c r="N737">
        <v>140</v>
      </c>
      <c r="O737" s="173">
        <f t="shared" si="140"/>
        <v>141.66666666666666</v>
      </c>
      <c r="P737" s="173">
        <f t="shared" si="144"/>
        <v>-1.5</v>
      </c>
      <c r="Q737" s="177">
        <f t="shared" si="143"/>
        <v>-1.0477299185098952E-2</v>
      </c>
    </row>
    <row r="738" spans="1:17" x14ac:dyDescent="0.2">
      <c r="B738" t="s">
        <v>471</v>
      </c>
      <c r="C738">
        <v>140</v>
      </c>
      <c r="D738">
        <v>137</v>
      </c>
      <c r="E738">
        <v>119</v>
      </c>
      <c r="F738">
        <v>113</v>
      </c>
      <c r="G738">
        <v>111</v>
      </c>
      <c r="H738">
        <v>112</v>
      </c>
      <c r="I738">
        <v>117</v>
      </c>
      <c r="J738">
        <v>109</v>
      </c>
      <c r="K738">
        <v>106</v>
      </c>
      <c r="L738">
        <v>117</v>
      </c>
      <c r="M738">
        <v>122</v>
      </c>
      <c r="N738">
        <v>124</v>
      </c>
      <c r="O738" s="173">
        <f t="shared" si="140"/>
        <v>118.91666666666667</v>
      </c>
      <c r="P738" s="173">
        <f t="shared" si="144"/>
        <v>-22.749999999999986</v>
      </c>
      <c r="Q738" s="177">
        <f t="shared" si="143"/>
        <v>-0.16058823529411756</v>
      </c>
    </row>
    <row r="739" spans="1:17" x14ac:dyDescent="0.2">
      <c r="B739" t="s">
        <v>537</v>
      </c>
      <c r="C739">
        <v>138</v>
      </c>
      <c r="D739">
        <v>145</v>
      </c>
      <c r="E739">
        <v>142</v>
      </c>
      <c r="F739">
        <v>146</v>
      </c>
      <c r="G739">
        <v>148</v>
      </c>
      <c r="H739">
        <v>149</v>
      </c>
      <c r="I739">
        <v>150</v>
      </c>
      <c r="J739">
        <v>147</v>
      </c>
      <c r="K739">
        <v>152</v>
      </c>
      <c r="L739">
        <v>159</v>
      </c>
      <c r="M739">
        <v>160</v>
      </c>
      <c r="N739">
        <v>157</v>
      </c>
      <c r="O739" s="173">
        <f t="shared" si="140"/>
        <v>149.41666666666666</v>
      </c>
      <c r="P739" s="173">
        <f t="shared" si="144"/>
        <v>30.499999999999986</v>
      </c>
      <c r="Q739" s="177">
        <f t="shared" si="143"/>
        <v>0.25648213034337758</v>
      </c>
    </row>
    <row r="740" spans="1:17" x14ac:dyDescent="0.2">
      <c r="B740" t="s">
        <v>628</v>
      </c>
      <c r="C740">
        <v>156</v>
      </c>
      <c r="D740">
        <v>161</v>
      </c>
      <c r="E740">
        <v>163</v>
      </c>
      <c r="F740">
        <v>164</v>
      </c>
      <c r="G740">
        <v>162</v>
      </c>
      <c r="H740">
        <v>158</v>
      </c>
      <c r="I740">
        <v>166</v>
      </c>
      <c r="J740">
        <v>166</v>
      </c>
      <c r="K740">
        <v>170</v>
      </c>
      <c r="L740">
        <v>164</v>
      </c>
      <c r="M740">
        <v>162</v>
      </c>
      <c r="N740">
        <v>160</v>
      </c>
      <c r="O740" s="173">
        <f t="shared" si="140"/>
        <v>162.66666666666666</v>
      </c>
      <c r="P740" s="173">
        <f>SUM(O740-O739)</f>
        <v>13.25</v>
      </c>
      <c r="Q740" s="177">
        <f>SUM(P740/O739)</f>
        <v>8.8678192972671502E-2</v>
      </c>
    </row>
    <row r="741" spans="1:17" x14ac:dyDescent="0.2">
      <c r="B741" t="s">
        <v>629</v>
      </c>
      <c r="C741">
        <v>156</v>
      </c>
      <c r="D741">
        <v>155</v>
      </c>
      <c r="E741">
        <v>149</v>
      </c>
      <c r="O741" s="173"/>
      <c r="P741" s="173"/>
      <c r="Q741" s="177"/>
    </row>
    <row r="742" spans="1:17" x14ac:dyDescent="0.2">
      <c r="O742" s="173"/>
      <c r="P742" s="173"/>
      <c r="Q742" s="177"/>
    </row>
    <row r="743" spans="1:17" ht="25.5" x14ac:dyDescent="0.2">
      <c r="A743" s="175" t="s">
        <v>446</v>
      </c>
      <c r="B743" s="176" t="s">
        <v>418</v>
      </c>
      <c r="C743" s="179" t="s">
        <v>419</v>
      </c>
      <c r="D743" s="179" t="s">
        <v>420</v>
      </c>
      <c r="E743" s="179" t="s">
        <v>421</v>
      </c>
      <c r="F743" s="179" t="s">
        <v>422</v>
      </c>
      <c r="G743" s="179" t="s">
        <v>423</v>
      </c>
      <c r="H743" s="179" t="s">
        <v>424</v>
      </c>
      <c r="I743" s="179" t="s">
        <v>425</v>
      </c>
      <c r="J743" s="179" t="s">
        <v>426</v>
      </c>
      <c r="K743" s="179" t="s">
        <v>427</v>
      </c>
      <c r="L743" s="179" t="s">
        <v>428</v>
      </c>
      <c r="M743" s="179" t="s">
        <v>429</v>
      </c>
      <c r="N743" s="179" t="s">
        <v>430</v>
      </c>
    </row>
    <row r="744" spans="1:17" x14ac:dyDescent="0.2">
      <c r="B744" t="s">
        <v>434</v>
      </c>
      <c r="C744">
        <v>88</v>
      </c>
      <c r="D744">
        <v>88</v>
      </c>
      <c r="E744">
        <v>91</v>
      </c>
      <c r="F744">
        <v>89</v>
      </c>
      <c r="G744">
        <v>92</v>
      </c>
      <c r="H744">
        <v>87</v>
      </c>
      <c r="I744">
        <v>92</v>
      </c>
      <c r="J744">
        <v>98</v>
      </c>
      <c r="K744">
        <v>100</v>
      </c>
      <c r="L744">
        <v>101</v>
      </c>
      <c r="M744">
        <v>101</v>
      </c>
      <c r="N744">
        <v>103</v>
      </c>
      <c r="O744" s="173">
        <f t="shared" ref="O744:O752" si="145">SUM(C744:N744)/12</f>
        <v>94.166666666666671</v>
      </c>
      <c r="P744" s="173"/>
    </row>
    <row r="745" spans="1:17" x14ac:dyDescent="0.2">
      <c r="B745" t="s">
        <v>435</v>
      </c>
      <c r="C745">
        <v>99</v>
      </c>
      <c r="D745">
        <v>99</v>
      </c>
      <c r="E745">
        <v>93</v>
      </c>
      <c r="F745">
        <v>96</v>
      </c>
      <c r="G745">
        <v>87</v>
      </c>
      <c r="H745">
        <v>98</v>
      </c>
      <c r="I745">
        <v>92</v>
      </c>
      <c r="J745">
        <v>97</v>
      </c>
      <c r="K745">
        <v>96</v>
      </c>
      <c r="L745">
        <v>96</v>
      </c>
      <c r="M745">
        <v>99</v>
      </c>
      <c r="N745">
        <v>104</v>
      </c>
      <c r="O745" s="173">
        <f t="shared" si="145"/>
        <v>96.333333333333329</v>
      </c>
      <c r="P745" s="173">
        <f t="shared" ref="P745:P752" si="146">SUM(O745-O744)</f>
        <v>2.1666666666666572</v>
      </c>
      <c r="Q745" s="177">
        <f t="shared" ref="Q745:Q751" si="147">SUM(P745/O744)</f>
        <v>2.3008849557522023E-2</v>
      </c>
    </row>
    <row r="746" spans="1:17" x14ac:dyDescent="0.2">
      <c r="B746" t="s">
        <v>436</v>
      </c>
      <c r="C746">
        <v>103</v>
      </c>
      <c r="D746">
        <v>108</v>
      </c>
      <c r="E746">
        <v>99</v>
      </c>
      <c r="F746">
        <v>108</v>
      </c>
      <c r="G746">
        <v>104</v>
      </c>
      <c r="H746">
        <v>89</v>
      </c>
      <c r="I746">
        <v>81</v>
      </c>
      <c r="J746">
        <v>73</v>
      </c>
      <c r="K746">
        <v>71</v>
      </c>
      <c r="L746">
        <v>75</v>
      </c>
      <c r="M746">
        <v>110</v>
      </c>
      <c r="N746">
        <v>120</v>
      </c>
      <c r="O746" s="173">
        <f t="shared" si="145"/>
        <v>95.083333333333329</v>
      </c>
      <c r="P746" s="173">
        <f t="shared" si="146"/>
        <v>-1.25</v>
      </c>
      <c r="Q746" s="177">
        <f t="shared" si="147"/>
        <v>-1.2975778546712804E-2</v>
      </c>
    </row>
    <row r="747" spans="1:17" x14ac:dyDescent="0.2">
      <c r="B747" t="s">
        <v>260</v>
      </c>
      <c r="C747">
        <v>75</v>
      </c>
      <c r="D747">
        <v>134</v>
      </c>
      <c r="E747">
        <v>85</v>
      </c>
      <c r="F747">
        <v>85</v>
      </c>
      <c r="G747">
        <v>86</v>
      </c>
      <c r="H747">
        <v>89</v>
      </c>
      <c r="I747">
        <v>85</v>
      </c>
      <c r="J747">
        <v>85</v>
      </c>
      <c r="K747">
        <v>85</v>
      </c>
      <c r="L747">
        <v>85</v>
      </c>
      <c r="M747">
        <v>85</v>
      </c>
      <c r="N747">
        <v>85</v>
      </c>
      <c r="O747" s="173">
        <f t="shared" si="145"/>
        <v>88.666666666666671</v>
      </c>
      <c r="P747" s="173">
        <f t="shared" si="146"/>
        <v>-6.4166666666666572</v>
      </c>
      <c r="Q747" s="177">
        <f t="shared" si="147"/>
        <v>-6.7484662576687018E-2</v>
      </c>
    </row>
    <row r="748" spans="1:17" x14ac:dyDescent="0.2">
      <c r="B748" t="s">
        <v>259</v>
      </c>
      <c r="C748">
        <v>107</v>
      </c>
      <c r="D748">
        <v>90</v>
      </c>
      <c r="E748">
        <v>90</v>
      </c>
      <c r="F748">
        <v>91</v>
      </c>
      <c r="G748">
        <v>89</v>
      </c>
      <c r="H748">
        <v>89</v>
      </c>
      <c r="I748">
        <v>87</v>
      </c>
      <c r="J748">
        <v>83</v>
      </c>
      <c r="K748">
        <v>79</v>
      </c>
      <c r="L748">
        <v>83</v>
      </c>
      <c r="M748">
        <v>84</v>
      </c>
      <c r="N748">
        <v>86</v>
      </c>
      <c r="O748" s="173">
        <f t="shared" si="145"/>
        <v>88.166666666666671</v>
      </c>
      <c r="P748" s="173">
        <f t="shared" si="146"/>
        <v>-0.5</v>
      </c>
      <c r="Q748" s="177">
        <f t="shared" si="147"/>
        <v>-5.6390977443609019E-3</v>
      </c>
    </row>
    <row r="749" spans="1:17" x14ac:dyDescent="0.2">
      <c r="B749" t="s">
        <v>280</v>
      </c>
      <c r="C749">
        <v>94</v>
      </c>
      <c r="D749">
        <v>94</v>
      </c>
      <c r="E749">
        <v>95</v>
      </c>
      <c r="F749">
        <v>92</v>
      </c>
      <c r="G749">
        <v>92</v>
      </c>
      <c r="H749">
        <v>91</v>
      </c>
      <c r="I749">
        <v>93</v>
      </c>
      <c r="J749">
        <v>90</v>
      </c>
      <c r="K749">
        <v>87</v>
      </c>
      <c r="L749">
        <v>86</v>
      </c>
      <c r="M749">
        <v>86</v>
      </c>
      <c r="N749">
        <v>85</v>
      </c>
      <c r="O749" s="173">
        <f t="shared" si="145"/>
        <v>90.416666666666671</v>
      </c>
      <c r="P749" s="173">
        <f t="shared" si="146"/>
        <v>2.25</v>
      </c>
      <c r="Q749" s="177">
        <f t="shared" si="147"/>
        <v>2.5519848771266538E-2</v>
      </c>
    </row>
    <row r="750" spans="1:17" x14ac:dyDescent="0.2">
      <c r="B750" t="s">
        <v>290</v>
      </c>
      <c r="C750">
        <v>88</v>
      </c>
      <c r="D750">
        <v>90</v>
      </c>
      <c r="E750">
        <v>90</v>
      </c>
      <c r="F750">
        <v>93</v>
      </c>
      <c r="G750">
        <v>90</v>
      </c>
      <c r="H750">
        <v>89</v>
      </c>
      <c r="I750">
        <v>112</v>
      </c>
      <c r="J750">
        <v>108</v>
      </c>
      <c r="K750">
        <v>112</v>
      </c>
      <c r="L750">
        <v>113</v>
      </c>
      <c r="M750">
        <v>109</v>
      </c>
      <c r="N750">
        <v>108</v>
      </c>
      <c r="O750" s="173">
        <f t="shared" si="145"/>
        <v>100.16666666666667</v>
      </c>
      <c r="P750" s="173">
        <f t="shared" si="146"/>
        <v>9.75</v>
      </c>
      <c r="Q750" s="177">
        <f t="shared" si="147"/>
        <v>0.10783410138248847</v>
      </c>
    </row>
    <row r="751" spans="1:17" x14ac:dyDescent="0.2">
      <c r="B751" t="s">
        <v>293</v>
      </c>
      <c r="C751">
        <v>107</v>
      </c>
      <c r="D751">
        <v>106</v>
      </c>
      <c r="E751">
        <v>105</v>
      </c>
      <c r="F751">
        <v>96</v>
      </c>
      <c r="G751">
        <v>99</v>
      </c>
      <c r="H751">
        <v>101</v>
      </c>
      <c r="I751">
        <v>103</v>
      </c>
      <c r="J751">
        <v>103</v>
      </c>
      <c r="K751">
        <v>100</v>
      </c>
      <c r="L751">
        <v>113</v>
      </c>
      <c r="M751">
        <v>118</v>
      </c>
      <c r="N751">
        <v>104</v>
      </c>
      <c r="O751" s="173">
        <f t="shared" si="145"/>
        <v>104.58333333333333</v>
      </c>
      <c r="P751" s="173">
        <f t="shared" si="146"/>
        <v>4.4166666666666572</v>
      </c>
      <c r="Q751" s="177">
        <f t="shared" si="147"/>
        <v>4.4093178036605563E-2</v>
      </c>
    </row>
    <row r="752" spans="1:17" x14ac:dyDescent="0.2">
      <c r="B752" t="s">
        <v>294</v>
      </c>
      <c r="C752">
        <v>106</v>
      </c>
      <c r="D752">
        <v>102</v>
      </c>
      <c r="E752">
        <v>105</v>
      </c>
      <c r="F752">
        <v>103</v>
      </c>
      <c r="G752">
        <v>103</v>
      </c>
      <c r="H752">
        <v>103</v>
      </c>
      <c r="I752">
        <v>99</v>
      </c>
      <c r="J752">
        <v>98</v>
      </c>
      <c r="K752">
        <v>100</v>
      </c>
      <c r="L752">
        <v>101</v>
      </c>
      <c r="M752">
        <v>100</v>
      </c>
      <c r="N752">
        <v>103</v>
      </c>
      <c r="O752" s="173">
        <f t="shared" si="145"/>
        <v>101.91666666666667</v>
      </c>
      <c r="P752" s="173">
        <f t="shared" si="146"/>
        <v>-2.6666666666666572</v>
      </c>
      <c r="Q752" s="177">
        <f t="shared" ref="Q752:Q758" si="148">SUM(P752/O751)</f>
        <v>-2.5498007968127401E-2</v>
      </c>
    </row>
    <row r="753" spans="1:17" x14ac:dyDescent="0.2">
      <c r="B753" t="s">
        <v>295</v>
      </c>
      <c r="C753">
        <v>96</v>
      </c>
      <c r="D753">
        <v>95</v>
      </c>
      <c r="E753">
        <v>92</v>
      </c>
      <c r="F753">
        <v>93</v>
      </c>
      <c r="G753">
        <v>90</v>
      </c>
      <c r="H753">
        <v>90</v>
      </c>
      <c r="I753">
        <v>90</v>
      </c>
      <c r="J753">
        <v>90</v>
      </c>
      <c r="K753">
        <v>91</v>
      </c>
      <c r="L753">
        <v>90</v>
      </c>
      <c r="M753">
        <v>75</v>
      </c>
      <c r="N753">
        <v>74</v>
      </c>
      <c r="O753" s="173">
        <f>SUM(C753:N753)/12</f>
        <v>88.833333333333329</v>
      </c>
      <c r="P753" s="173">
        <f t="shared" ref="P753:P758" si="149">SUM(O753-O752)</f>
        <v>-13.083333333333343</v>
      </c>
      <c r="Q753" s="177">
        <f t="shared" si="148"/>
        <v>-0.12837285363859371</v>
      </c>
    </row>
    <row r="754" spans="1:17" x14ac:dyDescent="0.2">
      <c r="B754" t="s">
        <v>335</v>
      </c>
      <c r="C754">
        <v>73</v>
      </c>
      <c r="D754">
        <v>73</v>
      </c>
      <c r="E754">
        <v>68</v>
      </c>
      <c r="F754">
        <v>69</v>
      </c>
      <c r="G754">
        <v>70</v>
      </c>
      <c r="H754">
        <v>77</v>
      </c>
      <c r="I754">
        <v>71</v>
      </c>
      <c r="J754">
        <v>74</v>
      </c>
      <c r="K754">
        <v>74</v>
      </c>
      <c r="L754">
        <v>72</v>
      </c>
      <c r="N754">
        <v>93</v>
      </c>
      <c r="O754" s="173">
        <f>SUM(C754:N754)/11</f>
        <v>74</v>
      </c>
      <c r="P754" s="173">
        <f t="shared" si="149"/>
        <v>-14.833333333333329</v>
      </c>
      <c r="Q754" s="177">
        <f t="shared" si="148"/>
        <v>-0.16697936210131328</v>
      </c>
    </row>
    <row r="755" spans="1:17" x14ac:dyDescent="0.2">
      <c r="B755" t="s">
        <v>358</v>
      </c>
      <c r="C755">
        <v>95</v>
      </c>
      <c r="D755">
        <v>93</v>
      </c>
      <c r="E755">
        <v>89</v>
      </c>
      <c r="F755">
        <v>84</v>
      </c>
      <c r="G755">
        <v>84</v>
      </c>
      <c r="H755">
        <v>86</v>
      </c>
      <c r="I755">
        <v>87</v>
      </c>
      <c r="J755">
        <v>84</v>
      </c>
      <c r="K755">
        <v>86</v>
      </c>
      <c r="L755">
        <v>89</v>
      </c>
      <c r="M755">
        <v>91</v>
      </c>
      <c r="N755">
        <v>96</v>
      </c>
      <c r="O755" s="173">
        <f>SUM(C755:N755)/12</f>
        <v>88.666666666666671</v>
      </c>
      <c r="P755" s="173">
        <f t="shared" si="149"/>
        <v>14.666666666666671</v>
      </c>
      <c r="Q755" s="177">
        <f t="shared" si="148"/>
        <v>0.19819819819819826</v>
      </c>
    </row>
    <row r="756" spans="1:17" x14ac:dyDescent="0.2">
      <c r="B756" t="s">
        <v>437</v>
      </c>
      <c r="C756">
        <v>100</v>
      </c>
      <c r="D756">
        <v>99</v>
      </c>
      <c r="E756">
        <v>98</v>
      </c>
      <c r="F756">
        <v>99</v>
      </c>
      <c r="G756">
        <v>98</v>
      </c>
      <c r="H756">
        <v>99</v>
      </c>
      <c r="I756">
        <v>101</v>
      </c>
      <c r="J756">
        <v>102</v>
      </c>
      <c r="K756">
        <v>101</v>
      </c>
      <c r="L756">
        <v>102</v>
      </c>
      <c r="M756">
        <v>103</v>
      </c>
      <c r="N756">
        <v>107</v>
      </c>
      <c r="O756" s="173">
        <f>SUM(C756:N756)/12</f>
        <v>100.75</v>
      </c>
      <c r="P756" s="173">
        <f t="shared" si="149"/>
        <v>12.083333333333329</v>
      </c>
      <c r="Q756" s="177">
        <f t="shared" si="148"/>
        <v>0.13627819548872175</v>
      </c>
    </row>
    <row r="757" spans="1:17" x14ac:dyDescent="0.2">
      <c r="B757" t="s">
        <v>471</v>
      </c>
      <c r="C757">
        <v>108</v>
      </c>
      <c r="D757">
        <v>108</v>
      </c>
      <c r="E757">
        <v>109</v>
      </c>
      <c r="F757">
        <v>106</v>
      </c>
      <c r="G757">
        <v>102</v>
      </c>
      <c r="H757">
        <v>100</v>
      </c>
      <c r="I757">
        <v>97</v>
      </c>
      <c r="J757">
        <v>94</v>
      </c>
      <c r="K757">
        <v>98</v>
      </c>
      <c r="L757">
        <v>100</v>
      </c>
      <c r="M757">
        <v>105</v>
      </c>
      <c r="N757">
        <v>101</v>
      </c>
      <c r="O757" s="173">
        <f>SUM(C757:N757)/12</f>
        <v>102.33333333333333</v>
      </c>
      <c r="P757" s="173">
        <f t="shared" si="149"/>
        <v>1.5833333333333286</v>
      </c>
      <c r="Q757" s="177">
        <f t="shared" si="148"/>
        <v>1.5715467328370508E-2</v>
      </c>
    </row>
    <row r="758" spans="1:17" x14ac:dyDescent="0.2">
      <c r="B758" t="s">
        <v>537</v>
      </c>
      <c r="C758">
        <v>100</v>
      </c>
      <c r="D758">
        <v>100</v>
      </c>
      <c r="E758">
        <v>101</v>
      </c>
      <c r="F758">
        <v>94</v>
      </c>
      <c r="G758">
        <v>95</v>
      </c>
      <c r="H758">
        <v>102</v>
      </c>
      <c r="I758">
        <v>97</v>
      </c>
      <c r="J758">
        <v>96</v>
      </c>
      <c r="K758">
        <v>95</v>
      </c>
      <c r="L758">
        <v>97</v>
      </c>
      <c r="M758">
        <v>98</v>
      </c>
      <c r="N758">
        <v>97</v>
      </c>
      <c r="O758" s="173">
        <f>SUM(C758:N758)/12</f>
        <v>97.666666666666671</v>
      </c>
      <c r="P758" s="173">
        <f t="shared" si="149"/>
        <v>-4.6666666666666572</v>
      </c>
      <c r="Q758" s="177">
        <f t="shared" si="148"/>
        <v>-4.5602605863192092E-2</v>
      </c>
    </row>
    <row r="759" spans="1:17" x14ac:dyDescent="0.2">
      <c r="B759" t="s">
        <v>628</v>
      </c>
      <c r="C759">
        <v>92</v>
      </c>
      <c r="D759">
        <v>97</v>
      </c>
      <c r="E759">
        <v>96</v>
      </c>
      <c r="F759">
        <v>95</v>
      </c>
      <c r="G759">
        <v>94</v>
      </c>
      <c r="H759">
        <v>93</v>
      </c>
      <c r="I759">
        <v>92</v>
      </c>
      <c r="J759">
        <v>94</v>
      </c>
      <c r="K759">
        <v>96</v>
      </c>
      <c r="L759">
        <v>90</v>
      </c>
      <c r="M759">
        <v>89</v>
      </c>
      <c r="N759">
        <v>85</v>
      </c>
      <c r="O759" s="173">
        <f>SUM(C759:N759)/12</f>
        <v>92.75</v>
      </c>
      <c r="P759" s="173">
        <f>SUM(O759-O758)</f>
        <v>-4.9166666666666714</v>
      </c>
      <c r="Q759" s="177">
        <f>SUM(P759/O758)</f>
        <v>-5.0341296928327693E-2</v>
      </c>
    </row>
    <row r="760" spans="1:17" x14ac:dyDescent="0.2">
      <c r="B760" t="s">
        <v>629</v>
      </c>
      <c r="C760">
        <v>84</v>
      </c>
      <c r="D760">
        <v>85</v>
      </c>
      <c r="E760">
        <v>82</v>
      </c>
      <c r="O760" s="173"/>
      <c r="P760" s="173"/>
      <c r="Q760" s="177"/>
    </row>
    <row r="761" spans="1:17" x14ac:dyDescent="0.2">
      <c r="O761" s="173"/>
      <c r="P761" s="173"/>
      <c r="Q761" s="177"/>
    </row>
    <row r="762" spans="1:17" x14ac:dyDescent="0.2">
      <c r="A762" s="178"/>
      <c r="B762" s="178"/>
      <c r="C762" s="178"/>
      <c r="D762" s="178"/>
      <c r="E762" s="178"/>
      <c r="F762" s="178"/>
      <c r="G762" s="178"/>
      <c r="H762" s="178"/>
      <c r="I762" s="178"/>
      <c r="J762" s="178"/>
      <c r="K762" s="178"/>
      <c r="L762" s="178"/>
      <c r="M762" s="178"/>
      <c r="N762" s="178"/>
      <c r="O762" s="178"/>
      <c r="P762" s="178"/>
      <c r="Q762" s="178"/>
    </row>
    <row r="763" spans="1:17" ht="25.5" x14ac:dyDescent="0.2">
      <c r="A763" s="175" t="s">
        <v>447</v>
      </c>
      <c r="B763" s="176" t="s">
        <v>418</v>
      </c>
      <c r="C763" s="179" t="s">
        <v>419</v>
      </c>
      <c r="D763" s="179" t="s">
        <v>420</v>
      </c>
      <c r="E763" s="179" t="s">
        <v>421</v>
      </c>
      <c r="F763" s="179" t="s">
        <v>422</v>
      </c>
      <c r="G763" s="179" t="s">
        <v>423</v>
      </c>
      <c r="H763" s="179" t="s">
        <v>424</v>
      </c>
      <c r="I763" s="179" t="s">
        <v>425</v>
      </c>
      <c r="J763" s="179" t="s">
        <v>426</v>
      </c>
      <c r="K763" s="179" t="s">
        <v>427</v>
      </c>
      <c r="L763" s="179" t="s">
        <v>428</v>
      </c>
      <c r="M763" s="179" t="s">
        <v>429</v>
      </c>
      <c r="N763" s="179" t="s">
        <v>430</v>
      </c>
    </row>
    <row r="764" spans="1:17" x14ac:dyDescent="0.2">
      <c r="B764" t="s">
        <v>434</v>
      </c>
      <c r="C764">
        <v>69</v>
      </c>
      <c r="D764">
        <v>69</v>
      </c>
      <c r="E764">
        <v>69</v>
      </c>
      <c r="F764">
        <v>69</v>
      </c>
      <c r="G764">
        <v>56</v>
      </c>
      <c r="H764">
        <v>58</v>
      </c>
      <c r="I764">
        <v>57</v>
      </c>
      <c r="J764">
        <v>58</v>
      </c>
      <c r="K764">
        <v>56</v>
      </c>
      <c r="L764">
        <v>62</v>
      </c>
      <c r="M764">
        <v>57</v>
      </c>
      <c r="N764">
        <v>58</v>
      </c>
      <c r="O764" s="173">
        <f t="shared" ref="O764:O779" si="150">SUM(C764:N764)/12</f>
        <v>61.5</v>
      </c>
      <c r="P764" s="173"/>
    </row>
    <row r="765" spans="1:17" x14ac:dyDescent="0.2">
      <c r="B765" t="s">
        <v>435</v>
      </c>
      <c r="C765">
        <v>52</v>
      </c>
      <c r="D765">
        <v>56</v>
      </c>
      <c r="E765">
        <v>51</v>
      </c>
      <c r="F765">
        <v>57</v>
      </c>
      <c r="G765">
        <v>60</v>
      </c>
      <c r="H765">
        <v>58</v>
      </c>
      <c r="I765">
        <v>62</v>
      </c>
      <c r="J765">
        <v>63</v>
      </c>
      <c r="K765">
        <v>59</v>
      </c>
      <c r="L765">
        <v>59</v>
      </c>
      <c r="M765">
        <v>62</v>
      </c>
      <c r="N765">
        <v>60</v>
      </c>
      <c r="O765" s="173">
        <f t="shared" si="150"/>
        <v>58.25</v>
      </c>
      <c r="P765" s="173">
        <f t="shared" ref="P765:P772" si="151">SUM(O765-O764)</f>
        <v>-3.25</v>
      </c>
      <c r="Q765" s="177">
        <f t="shared" ref="Q765:Q771" si="152">SUM(P765/O764)</f>
        <v>-5.2845528455284556E-2</v>
      </c>
    </row>
    <row r="766" spans="1:17" x14ac:dyDescent="0.2">
      <c r="B766" t="s">
        <v>436</v>
      </c>
      <c r="C766">
        <v>60</v>
      </c>
      <c r="D766">
        <v>55</v>
      </c>
      <c r="E766">
        <v>57</v>
      </c>
      <c r="F766">
        <v>55</v>
      </c>
      <c r="G766">
        <v>55</v>
      </c>
      <c r="H766">
        <v>52</v>
      </c>
      <c r="I766">
        <v>60</v>
      </c>
      <c r="J766">
        <v>72</v>
      </c>
      <c r="K766">
        <v>77</v>
      </c>
      <c r="L766">
        <v>82</v>
      </c>
      <c r="M766">
        <v>87</v>
      </c>
      <c r="N766">
        <v>92</v>
      </c>
      <c r="O766" s="173">
        <f t="shared" si="150"/>
        <v>67</v>
      </c>
      <c r="P766" s="173">
        <f t="shared" si="151"/>
        <v>8.75</v>
      </c>
      <c r="Q766" s="177">
        <f t="shared" si="152"/>
        <v>0.15021459227467812</v>
      </c>
    </row>
    <row r="767" spans="1:17" x14ac:dyDescent="0.2">
      <c r="B767" t="s">
        <v>260</v>
      </c>
      <c r="C767">
        <v>87</v>
      </c>
      <c r="D767">
        <v>86</v>
      </c>
      <c r="E767">
        <v>88</v>
      </c>
      <c r="F767">
        <v>86</v>
      </c>
      <c r="G767">
        <v>86</v>
      </c>
      <c r="H767">
        <v>86</v>
      </c>
      <c r="I767">
        <v>86</v>
      </c>
      <c r="J767">
        <v>86</v>
      </c>
      <c r="K767">
        <v>86</v>
      </c>
      <c r="L767">
        <v>86</v>
      </c>
      <c r="M767">
        <v>86</v>
      </c>
      <c r="N767">
        <v>86</v>
      </c>
      <c r="O767" s="173">
        <f t="shared" si="150"/>
        <v>86.25</v>
      </c>
      <c r="P767" s="173">
        <f t="shared" si="151"/>
        <v>19.25</v>
      </c>
      <c r="Q767" s="177">
        <f t="shared" si="152"/>
        <v>0.28731343283582089</v>
      </c>
    </row>
    <row r="768" spans="1:17" x14ac:dyDescent="0.2">
      <c r="B768" t="s">
        <v>259</v>
      </c>
      <c r="C768">
        <v>93</v>
      </c>
      <c r="D768">
        <v>80</v>
      </c>
      <c r="E768">
        <v>78</v>
      </c>
      <c r="F768">
        <v>78</v>
      </c>
      <c r="G768">
        <v>84</v>
      </c>
      <c r="H768">
        <v>90</v>
      </c>
      <c r="I768">
        <v>88</v>
      </c>
      <c r="J768">
        <v>92</v>
      </c>
      <c r="K768">
        <v>94</v>
      </c>
      <c r="L768">
        <v>84</v>
      </c>
      <c r="M768">
        <v>84</v>
      </c>
      <c r="N768">
        <v>85</v>
      </c>
      <c r="O768" s="173">
        <f t="shared" si="150"/>
        <v>85.833333333333329</v>
      </c>
      <c r="P768" s="173">
        <f t="shared" si="151"/>
        <v>-0.4166666666666714</v>
      </c>
      <c r="Q768" s="177">
        <f t="shared" si="152"/>
        <v>-4.8309178743961905E-3</v>
      </c>
    </row>
    <row r="769" spans="1:17" x14ac:dyDescent="0.2">
      <c r="B769" t="s">
        <v>280</v>
      </c>
      <c r="C769">
        <v>80</v>
      </c>
      <c r="D769">
        <v>84</v>
      </c>
      <c r="E769">
        <v>85</v>
      </c>
      <c r="F769">
        <v>88</v>
      </c>
      <c r="G769">
        <v>90</v>
      </c>
      <c r="H769">
        <v>95</v>
      </c>
      <c r="I769">
        <v>101</v>
      </c>
      <c r="J769">
        <v>94</v>
      </c>
      <c r="K769">
        <v>90</v>
      </c>
      <c r="L769">
        <v>93</v>
      </c>
      <c r="M769">
        <v>101</v>
      </c>
      <c r="N769">
        <v>107</v>
      </c>
      <c r="O769" s="173">
        <f t="shared" si="150"/>
        <v>92.333333333333329</v>
      </c>
      <c r="P769" s="173">
        <f t="shared" si="151"/>
        <v>6.5</v>
      </c>
      <c r="Q769" s="177">
        <f t="shared" si="152"/>
        <v>7.5728155339805828E-2</v>
      </c>
    </row>
    <row r="770" spans="1:17" x14ac:dyDescent="0.2">
      <c r="B770" t="s">
        <v>290</v>
      </c>
      <c r="C770">
        <v>112</v>
      </c>
      <c r="D770">
        <v>110</v>
      </c>
      <c r="E770">
        <v>108</v>
      </c>
      <c r="F770">
        <v>113</v>
      </c>
      <c r="G770">
        <v>112</v>
      </c>
      <c r="H770">
        <v>108</v>
      </c>
      <c r="I770">
        <v>107</v>
      </c>
      <c r="J770">
        <v>123</v>
      </c>
      <c r="K770">
        <v>114</v>
      </c>
      <c r="L770">
        <v>116</v>
      </c>
      <c r="M770">
        <v>117</v>
      </c>
      <c r="N770">
        <v>121</v>
      </c>
      <c r="O770" s="173">
        <f t="shared" si="150"/>
        <v>113.41666666666667</v>
      </c>
      <c r="P770" s="173">
        <f t="shared" si="151"/>
        <v>21.083333333333343</v>
      </c>
      <c r="Q770" s="177">
        <f t="shared" si="152"/>
        <v>0.22833935018050552</v>
      </c>
    </row>
    <row r="771" spans="1:17" x14ac:dyDescent="0.2">
      <c r="B771" t="s">
        <v>293</v>
      </c>
      <c r="C771">
        <v>121</v>
      </c>
      <c r="D771">
        <v>122</v>
      </c>
      <c r="E771">
        <v>122</v>
      </c>
      <c r="F771">
        <v>126</v>
      </c>
      <c r="G771">
        <v>124</v>
      </c>
      <c r="H771">
        <v>122</v>
      </c>
      <c r="I771">
        <v>124</v>
      </c>
      <c r="J771">
        <v>122</v>
      </c>
      <c r="K771">
        <v>121</v>
      </c>
      <c r="L771">
        <v>115</v>
      </c>
      <c r="M771">
        <v>114</v>
      </c>
      <c r="N771">
        <v>121</v>
      </c>
      <c r="O771" s="173">
        <f t="shared" si="150"/>
        <v>121.16666666666667</v>
      </c>
      <c r="P771" s="173">
        <f t="shared" si="151"/>
        <v>7.75</v>
      </c>
      <c r="Q771" s="177">
        <f t="shared" si="152"/>
        <v>6.8332108743570902E-2</v>
      </c>
    </row>
    <row r="772" spans="1:17" x14ac:dyDescent="0.2">
      <c r="B772" t="s">
        <v>294</v>
      </c>
      <c r="C772">
        <v>99</v>
      </c>
      <c r="D772">
        <v>100</v>
      </c>
      <c r="E772">
        <v>107</v>
      </c>
      <c r="F772">
        <v>104</v>
      </c>
      <c r="G772">
        <v>103</v>
      </c>
      <c r="H772">
        <v>100</v>
      </c>
      <c r="I772">
        <v>101</v>
      </c>
      <c r="J772">
        <v>98</v>
      </c>
      <c r="K772">
        <v>92</v>
      </c>
      <c r="L772">
        <v>85</v>
      </c>
      <c r="M772">
        <v>92</v>
      </c>
      <c r="N772">
        <v>88</v>
      </c>
      <c r="O772" s="173">
        <f t="shared" si="150"/>
        <v>97.416666666666671</v>
      </c>
      <c r="P772" s="173">
        <f t="shared" si="151"/>
        <v>-23.75</v>
      </c>
      <c r="Q772" s="177">
        <f t="shared" ref="Q772:Q778" si="153">SUM(P772/O771)</f>
        <v>-0.19601100412654746</v>
      </c>
    </row>
    <row r="773" spans="1:17" x14ac:dyDescent="0.2">
      <c r="B773" t="s">
        <v>295</v>
      </c>
      <c r="C773">
        <v>79</v>
      </c>
      <c r="D773">
        <v>82</v>
      </c>
      <c r="E773">
        <v>82</v>
      </c>
      <c r="F773">
        <v>78</v>
      </c>
      <c r="G773">
        <v>79</v>
      </c>
      <c r="H773">
        <v>83</v>
      </c>
      <c r="I773">
        <v>84</v>
      </c>
      <c r="J773">
        <v>90</v>
      </c>
      <c r="K773">
        <v>95</v>
      </c>
      <c r="L773">
        <v>94</v>
      </c>
      <c r="M773">
        <v>94</v>
      </c>
      <c r="N773">
        <v>72</v>
      </c>
      <c r="O773" s="173">
        <f t="shared" si="150"/>
        <v>84.333333333333329</v>
      </c>
      <c r="P773" s="173">
        <f t="shared" ref="P773:P778" si="154">SUM(O773-O772)</f>
        <v>-13.083333333333343</v>
      </c>
      <c r="Q773" s="177">
        <f t="shared" si="153"/>
        <v>-0.13430282292557752</v>
      </c>
    </row>
    <row r="774" spans="1:17" x14ac:dyDescent="0.2">
      <c r="B774" t="s">
        <v>335</v>
      </c>
      <c r="C774">
        <v>84</v>
      </c>
      <c r="D774">
        <v>87</v>
      </c>
      <c r="E774">
        <v>92</v>
      </c>
      <c r="F774">
        <v>97</v>
      </c>
      <c r="G774">
        <v>101</v>
      </c>
      <c r="H774">
        <v>100</v>
      </c>
      <c r="I774">
        <v>85</v>
      </c>
      <c r="J774">
        <v>86</v>
      </c>
      <c r="K774">
        <v>90</v>
      </c>
      <c r="L774">
        <v>89</v>
      </c>
      <c r="M774">
        <v>83</v>
      </c>
      <c r="N774">
        <v>82</v>
      </c>
      <c r="O774" s="173">
        <f t="shared" si="150"/>
        <v>89.666666666666671</v>
      </c>
      <c r="P774" s="173">
        <f t="shared" si="154"/>
        <v>5.3333333333333428</v>
      </c>
      <c r="Q774" s="177">
        <f t="shared" si="153"/>
        <v>6.324110671936771E-2</v>
      </c>
    </row>
    <row r="775" spans="1:17" x14ac:dyDescent="0.2">
      <c r="B775" t="s">
        <v>358</v>
      </c>
      <c r="C775">
        <v>87</v>
      </c>
      <c r="D775">
        <v>86</v>
      </c>
      <c r="E775">
        <v>87</v>
      </c>
      <c r="F775">
        <v>77</v>
      </c>
      <c r="G775">
        <v>76</v>
      </c>
      <c r="H775">
        <v>73</v>
      </c>
      <c r="I775">
        <v>69</v>
      </c>
      <c r="J775">
        <v>75</v>
      </c>
      <c r="K775">
        <v>74</v>
      </c>
      <c r="L775">
        <v>74</v>
      </c>
      <c r="M775">
        <v>72</v>
      </c>
      <c r="N775">
        <v>73</v>
      </c>
      <c r="O775" s="173">
        <f t="shared" si="150"/>
        <v>76.916666666666671</v>
      </c>
      <c r="P775" s="173">
        <f t="shared" si="154"/>
        <v>-12.75</v>
      </c>
      <c r="Q775" s="177">
        <f t="shared" si="153"/>
        <v>-0.14219330855018586</v>
      </c>
    </row>
    <row r="776" spans="1:17" x14ac:dyDescent="0.2">
      <c r="B776" t="s">
        <v>437</v>
      </c>
      <c r="C776">
        <v>74</v>
      </c>
      <c r="D776">
        <v>71</v>
      </c>
      <c r="E776">
        <v>77</v>
      </c>
      <c r="F776">
        <v>76</v>
      </c>
      <c r="G776">
        <v>78</v>
      </c>
      <c r="H776">
        <v>71</v>
      </c>
      <c r="I776">
        <v>69</v>
      </c>
      <c r="J776">
        <v>64</v>
      </c>
      <c r="K776">
        <v>62</v>
      </c>
      <c r="L776">
        <v>55</v>
      </c>
      <c r="M776">
        <v>55</v>
      </c>
      <c r="N776">
        <v>54</v>
      </c>
      <c r="O776" s="173">
        <f t="shared" si="150"/>
        <v>67.166666666666671</v>
      </c>
      <c r="P776" s="173">
        <f t="shared" si="154"/>
        <v>-9.75</v>
      </c>
      <c r="Q776" s="177">
        <f t="shared" si="153"/>
        <v>-0.12676056338028169</v>
      </c>
    </row>
    <row r="777" spans="1:17" x14ac:dyDescent="0.2">
      <c r="B777" t="s">
        <v>471</v>
      </c>
      <c r="C777">
        <v>59</v>
      </c>
      <c r="D777">
        <v>57</v>
      </c>
      <c r="E777">
        <v>54</v>
      </c>
      <c r="F777">
        <v>53</v>
      </c>
      <c r="G777">
        <v>56</v>
      </c>
      <c r="H777">
        <v>62</v>
      </c>
      <c r="I777">
        <v>55</v>
      </c>
      <c r="J777">
        <v>50</v>
      </c>
      <c r="K777">
        <v>49</v>
      </c>
      <c r="L777">
        <v>51</v>
      </c>
      <c r="M777">
        <v>52</v>
      </c>
      <c r="N777">
        <v>50</v>
      </c>
      <c r="O777" s="173">
        <f t="shared" si="150"/>
        <v>54</v>
      </c>
      <c r="P777" s="173">
        <f t="shared" si="154"/>
        <v>-13.166666666666671</v>
      </c>
      <c r="Q777" s="177">
        <f t="shared" si="153"/>
        <v>-0.19602977667493801</v>
      </c>
    </row>
    <row r="778" spans="1:17" x14ac:dyDescent="0.2">
      <c r="B778" t="s">
        <v>537</v>
      </c>
      <c r="C778">
        <v>54</v>
      </c>
      <c r="D778">
        <v>57</v>
      </c>
      <c r="E778">
        <v>63</v>
      </c>
      <c r="F778">
        <v>64</v>
      </c>
      <c r="G778">
        <v>67</v>
      </c>
      <c r="H778">
        <v>65</v>
      </c>
      <c r="I778">
        <v>65</v>
      </c>
      <c r="J778">
        <v>65</v>
      </c>
      <c r="K778">
        <v>67</v>
      </c>
      <c r="L778">
        <v>66</v>
      </c>
      <c r="M778">
        <v>66</v>
      </c>
      <c r="N778">
        <v>69</v>
      </c>
      <c r="O778" s="173">
        <f t="shared" si="150"/>
        <v>64</v>
      </c>
      <c r="P778" s="173">
        <f t="shared" si="154"/>
        <v>10</v>
      </c>
      <c r="Q778" s="177">
        <f t="shared" si="153"/>
        <v>0.18518518518518517</v>
      </c>
    </row>
    <row r="779" spans="1:17" x14ac:dyDescent="0.2">
      <c r="B779" t="s">
        <v>628</v>
      </c>
      <c r="C779">
        <v>65</v>
      </c>
      <c r="D779">
        <v>59</v>
      </c>
      <c r="E779">
        <v>54</v>
      </c>
      <c r="F779">
        <v>55</v>
      </c>
      <c r="G779">
        <v>55</v>
      </c>
      <c r="H779">
        <v>58</v>
      </c>
      <c r="I779">
        <v>57</v>
      </c>
      <c r="J779">
        <v>57</v>
      </c>
      <c r="K779">
        <v>58</v>
      </c>
      <c r="L779">
        <v>58</v>
      </c>
      <c r="M779">
        <v>67</v>
      </c>
      <c r="N779">
        <v>66</v>
      </c>
      <c r="O779" s="173">
        <f t="shared" si="150"/>
        <v>59.083333333333336</v>
      </c>
      <c r="P779" s="173">
        <f>SUM(O779-O778)</f>
        <v>-4.9166666666666643</v>
      </c>
      <c r="Q779" s="177">
        <f>SUM(P779/O778)</f>
        <v>-7.682291666666663E-2</v>
      </c>
    </row>
    <row r="780" spans="1:17" x14ac:dyDescent="0.2">
      <c r="B780" t="s">
        <v>629</v>
      </c>
      <c r="C780">
        <v>66</v>
      </c>
      <c r="D780">
        <v>61</v>
      </c>
      <c r="E780">
        <v>46</v>
      </c>
      <c r="O780" s="173"/>
      <c r="P780" s="173"/>
      <c r="Q780" s="177"/>
    </row>
    <row r="781" spans="1:17" x14ac:dyDescent="0.2">
      <c r="O781" s="173"/>
      <c r="P781" s="173"/>
      <c r="Q781" s="177"/>
    </row>
    <row r="782" spans="1:17" ht="25.5" x14ac:dyDescent="0.2">
      <c r="A782" s="175" t="s">
        <v>448</v>
      </c>
      <c r="B782" s="176" t="s">
        <v>418</v>
      </c>
      <c r="C782" s="179" t="s">
        <v>419</v>
      </c>
      <c r="D782" s="179" t="s">
        <v>420</v>
      </c>
      <c r="E782" s="179" t="s">
        <v>421</v>
      </c>
      <c r="F782" s="179" t="s">
        <v>422</v>
      </c>
      <c r="G782" s="179" t="s">
        <v>423</v>
      </c>
      <c r="H782" s="179" t="s">
        <v>424</v>
      </c>
      <c r="I782" s="179" t="s">
        <v>425</v>
      </c>
      <c r="J782" s="179" t="s">
        <v>426</v>
      </c>
      <c r="K782" s="179" t="s">
        <v>427</v>
      </c>
      <c r="L782" s="179" t="s">
        <v>428</v>
      </c>
      <c r="M782" s="179" t="s">
        <v>429</v>
      </c>
      <c r="N782" s="179" t="s">
        <v>430</v>
      </c>
    </row>
    <row r="783" spans="1:17" x14ac:dyDescent="0.2">
      <c r="B783" t="s">
        <v>434</v>
      </c>
      <c r="C783">
        <v>92</v>
      </c>
      <c r="D783">
        <v>91</v>
      </c>
      <c r="E783">
        <v>97</v>
      </c>
      <c r="F783">
        <v>94</v>
      </c>
      <c r="G783">
        <v>87</v>
      </c>
      <c r="H783">
        <v>85</v>
      </c>
      <c r="I783">
        <v>91</v>
      </c>
      <c r="J783">
        <v>89</v>
      </c>
      <c r="K783">
        <v>92</v>
      </c>
      <c r="L783">
        <v>92</v>
      </c>
      <c r="M783">
        <v>94</v>
      </c>
      <c r="N783">
        <v>92</v>
      </c>
      <c r="O783" s="173">
        <f t="shared" ref="O783:O798" si="155">SUM(C783:N783)/12</f>
        <v>91.333333333333329</v>
      </c>
      <c r="P783" s="173"/>
    </row>
    <row r="784" spans="1:17" x14ac:dyDescent="0.2">
      <c r="B784" t="s">
        <v>435</v>
      </c>
      <c r="C784">
        <v>90</v>
      </c>
      <c r="D784">
        <v>98</v>
      </c>
      <c r="E784">
        <v>89</v>
      </c>
      <c r="F784">
        <v>84</v>
      </c>
      <c r="G784">
        <v>84</v>
      </c>
      <c r="H784">
        <v>78</v>
      </c>
      <c r="I784">
        <v>83</v>
      </c>
      <c r="J784">
        <v>87</v>
      </c>
      <c r="K784">
        <v>81</v>
      </c>
      <c r="L784">
        <v>81</v>
      </c>
      <c r="M784">
        <v>77</v>
      </c>
      <c r="N784">
        <v>79</v>
      </c>
      <c r="O784" s="173">
        <f t="shared" si="155"/>
        <v>84.25</v>
      </c>
      <c r="P784" s="173">
        <f t="shared" ref="P784:P791" si="156">SUM(O784-O783)</f>
        <v>-7.0833333333333286</v>
      </c>
      <c r="Q784" s="177">
        <f t="shared" ref="Q784:Q790" si="157">SUM(P784/O783)</f>
        <v>-7.7554744525547392E-2</v>
      </c>
    </row>
    <row r="785" spans="2:17" x14ac:dyDescent="0.2">
      <c r="B785" t="s">
        <v>436</v>
      </c>
      <c r="C785">
        <v>81</v>
      </c>
      <c r="D785">
        <v>78</v>
      </c>
      <c r="E785">
        <v>73</v>
      </c>
      <c r="F785">
        <v>77</v>
      </c>
      <c r="G785">
        <v>86</v>
      </c>
      <c r="H785">
        <v>96</v>
      </c>
      <c r="I785">
        <v>84</v>
      </c>
      <c r="J785">
        <v>72</v>
      </c>
      <c r="K785">
        <v>74</v>
      </c>
      <c r="L785">
        <v>76</v>
      </c>
      <c r="M785">
        <v>78</v>
      </c>
      <c r="N785">
        <v>88</v>
      </c>
      <c r="O785" s="173">
        <f t="shared" si="155"/>
        <v>80.25</v>
      </c>
      <c r="P785" s="173">
        <f t="shared" si="156"/>
        <v>-4</v>
      </c>
      <c r="Q785" s="177">
        <f t="shared" si="157"/>
        <v>-4.7477744807121663E-2</v>
      </c>
    </row>
    <row r="786" spans="2:17" x14ac:dyDescent="0.2">
      <c r="B786" t="s">
        <v>260</v>
      </c>
      <c r="C786">
        <v>98</v>
      </c>
      <c r="D786">
        <v>98</v>
      </c>
      <c r="E786">
        <v>100</v>
      </c>
      <c r="F786">
        <v>93</v>
      </c>
      <c r="G786">
        <v>93</v>
      </c>
      <c r="H786">
        <v>93</v>
      </c>
      <c r="I786">
        <v>93</v>
      </c>
      <c r="J786">
        <v>93</v>
      </c>
      <c r="K786">
        <v>93</v>
      </c>
      <c r="L786">
        <v>93</v>
      </c>
      <c r="M786">
        <v>93</v>
      </c>
      <c r="N786">
        <v>93</v>
      </c>
      <c r="O786" s="173">
        <f t="shared" si="155"/>
        <v>94.416666666666671</v>
      </c>
      <c r="P786" s="173">
        <f t="shared" si="156"/>
        <v>14.166666666666671</v>
      </c>
      <c r="Q786" s="177">
        <f t="shared" si="157"/>
        <v>0.17653167185877472</v>
      </c>
    </row>
    <row r="787" spans="2:17" x14ac:dyDescent="0.2">
      <c r="B787" t="s">
        <v>259</v>
      </c>
      <c r="C787">
        <v>106</v>
      </c>
      <c r="D787">
        <v>90</v>
      </c>
      <c r="E787">
        <v>91</v>
      </c>
      <c r="F787">
        <v>91</v>
      </c>
      <c r="G787">
        <v>87</v>
      </c>
      <c r="H787">
        <v>80</v>
      </c>
      <c r="I787">
        <v>76</v>
      </c>
      <c r="J787">
        <v>78</v>
      </c>
      <c r="K787">
        <v>83</v>
      </c>
      <c r="L787">
        <v>92</v>
      </c>
      <c r="M787">
        <v>99</v>
      </c>
      <c r="N787">
        <v>101</v>
      </c>
      <c r="O787" s="173">
        <f t="shared" si="155"/>
        <v>89.5</v>
      </c>
      <c r="P787" s="173">
        <f t="shared" si="156"/>
        <v>-4.9166666666666714</v>
      </c>
      <c r="Q787" s="177">
        <f t="shared" si="157"/>
        <v>-5.2074139452780277E-2</v>
      </c>
    </row>
    <row r="788" spans="2:17" x14ac:dyDescent="0.2">
      <c r="B788" t="s">
        <v>280</v>
      </c>
      <c r="C788">
        <v>93</v>
      </c>
      <c r="D788">
        <v>90</v>
      </c>
      <c r="E788">
        <v>91</v>
      </c>
      <c r="F788">
        <v>94</v>
      </c>
      <c r="G788">
        <v>91</v>
      </c>
      <c r="H788">
        <v>91</v>
      </c>
      <c r="I788">
        <v>93</v>
      </c>
      <c r="J788">
        <v>90</v>
      </c>
      <c r="K788">
        <v>83</v>
      </c>
      <c r="L788">
        <v>84</v>
      </c>
      <c r="M788">
        <v>79</v>
      </c>
      <c r="N788">
        <v>77</v>
      </c>
      <c r="O788" s="173">
        <f t="shared" si="155"/>
        <v>88</v>
      </c>
      <c r="P788" s="173">
        <f t="shared" si="156"/>
        <v>-1.5</v>
      </c>
      <c r="Q788" s="177">
        <f t="shared" si="157"/>
        <v>-1.6759776536312849E-2</v>
      </c>
    </row>
    <row r="789" spans="2:17" x14ac:dyDescent="0.2">
      <c r="B789" t="s">
        <v>290</v>
      </c>
      <c r="C789">
        <v>79</v>
      </c>
      <c r="D789">
        <v>78</v>
      </c>
      <c r="E789">
        <v>74</v>
      </c>
      <c r="F789">
        <v>69</v>
      </c>
      <c r="G789">
        <v>66</v>
      </c>
      <c r="H789">
        <v>62</v>
      </c>
      <c r="I789">
        <v>59</v>
      </c>
      <c r="J789">
        <v>64</v>
      </c>
      <c r="K789">
        <v>59</v>
      </c>
      <c r="L789">
        <v>55</v>
      </c>
      <c r="M789">
        <v>61</v>
      </c>
      <c r="N789">
        <v>64</v>
      </c>
      <c r="O789" s="173">
        <f t="shared" si="155"/>
        <v>65.833333333333329</v>
      </c>
      <c r="P789" s="173">
        <f t="shared" si="156"/>
        <v>-22.166666666666671</v>
      </c>
      <c r="Q789" s="177">
        <f t="shared" si="157"/>
        <v>-0.25189393939393945</v>
      </c>
    </row>
    <row r="790" spans="2:17" x14ac:dyDescent="0.2">
      <c r="B790" t="s">
        <v>293</v>
      </c>
      <c r="C790">
        <v>68</v>
      </c>
      <c r="D790">
        <v>67</v>
      </c>
      <c r="E790">
        <v>71</v>
      </c>
      <c r="F790">
        <v>72</v>
      </c>
      <c r="G790">
        <v>81</v>
      </c>
      <c r="H790">
        <v>85</v>
      </c>
      <c r="I790">
        <v>85</v>
      </c>
      <c r="J790">
        <v>85</v>
      </c>
      <c r="K790">
        <v>73</v>
      </c>
      <c r="L790">
        <v>82</v>
      </c>
      <c r="M790">
        <v>78</v>
      </c>
      <c r="N790">
        <v>80</v>
      </c>
      <c r="O790" s="173">
        <f t="shared" si="155"/>
        <v>77.25</v>
      </c>
      <c r="P790" s="173">
        <f t="shared" si="156"/>
        <v>11.416666666666671</v>
      </c>
      <c r="Q790" s="177">
        <f t="shared" si="157"/>
        <v>0.17341772151898743</v>
      </c>
    </row>
    <row r="791" spans="2:17" x14ac:dyDescent="0.2">
      <c r="B791" t="s">
        <v>294</v>
      </c>
      <c r="C791">
        <v>77</v>
      </c>
      <c r="D791">
        <v>75</v>
      </c>
      <c r="E791">
        <v>74</v>
      </c>
      <c r="F791">
        <v>75</v>
      </c>
      <c r="G791">
        <v>75</v>
      </c>
      <c r="H791">
        <v>77</v>
      </c>
      <c r="I791">
        <v>81</v>
      </c>
      <c r="J791">
        <v>79</v>
      </c>
      <c r="K791">
        <v>79</v>
      </c>
      <c r="L791">
        <v>79</v>
      </c>
      <c r="M791">
        <v>80</v>
      </c>
      <c r="N791">
        <v>76</v>
      </c>
      <c r="O791" s="173">
        <f t="shared" si="155"/>
        <v>77.25</v>
      </c>
      <c r="P791" s="173">
        <f t="shared" si="156"/>
        <v>0</v>
      </c>
      <c r="Q791" s="177">
        <f t="shared" ref="Q791:Q797" si="158">SUM(P791/O790)</f>
        <v>0</v>
      </c>
    </row>
    <row r="792" spans="2:17" x14ac:dyDescent="0.2">
      <c r="B792" t="s">
        <v>295</v>
      </c>
      <c r="C792">
        <v>68</v>
      </c>
      <c r="D792">
        <v>66</v>
      </c>
      <c r="E792">
        <v>65</v>
      </c>
      <c r="F792">
        <v>61</v>
      </c>
      <c r="G792">
        <v>59</v>
      </c>
      <c r="H792">
        <v>57</v>
      </c>
      <c r="I792">
        <v>55</v>
      </c>
      <c r="J792">
        <v>56</v>
      </c>
      <c r="K792">
        <v>58</v>
      </c>
      <c r="L792">
        <v>60</v>
      </c>
      <c r="M792">
        <v>61</v>
      </c>
      <c r="N792">
        <v>62</v>
      </c>
      <c r="O792" s="173">
        <f t="shared" si="155"/>
        <v>60.666666666666664</v>
      </c>
      <c r="P792" s="173">
        <f t="shared" ref="P792:P797" si="159">SUM(O792-O791)</f>
        <v>-16.583333333333336</v>
      </c>
      <c r="Q792" s="177">
        <f t="shared" si="158"/>
        <v>-0.21467098166127296</v>
      </c>
    </row>
    <row r="793" spans="2:17" x14ac:dyDescent="0.2">
      <c r="B793" t="s">
        <v>335</v>
      </c>
      <c r="C793">
        <v>58</v>
      </c>
      <c r="D793">
        <v>59</v>
      </c>
      <c r="E793">
        <v>55</v>
      </c>
      <c r="F793">
        <v>68</v>
      </c>
      <c r="G793">
        <v>62</v>
      </c>
      <c r="H793">
        <v>58</v>
      </c>
      <c r="I793">
        <v>55</v>
      </c>
      <c r="J793">
        <v>58</v>
      </c>
      <c r="K793">
        <v>59</v>
      </c>
      <c r="L793">
        <v>57</v>
      </c>
      <c r="M793">
        <v>52</v>
      </c>
      <c r="N793">
        <v>54</v>
      </c>
      <c r="O793" s="173">
        <f t="shared" si="155"/>
        <v>57.916666666666664</v>
      </c>
      <c r="P793" s="173">
        <f t="shared" si="159"/>
        <v>-2.75</v>
      </c>
      <c r="Q793" s="177">
        <f t="shared" si="158"/>
        <v>-4.5329670329670328E-2</v>
      </c>
    </row>
    <row r="794" spans="2:17" x14ac:dyDescent="0.2">
      <c r="B794" t="s">
        <v>358</v>
      </c>
      <c r="C794">
        <v>55</v>
      </c>
      <c r="D794">
        <v>55</v>
      </c>
      <c r="E794">
        <v>49</v>
      </c>
      <c r="F794">
        <v>51</v>
      </c>
      <c r="G794">
        <v>53</v>
      </c>
      <c r="H794">
        <v>57</v>
      </c>
      <c r="I794">
        <v>63</v>
      </c>
      <c r="J794">
        <v>65</v>
      </c>
      <c r="K794">
        <v>65</v>
      </c>
      <c r="L794">
        <v>61</v>
      </c>
      <c r="M794">
        <v>66</v>
      </c>
      <c r="N794">
        <v>63</v>
      </c>
      <c r="O794" s="173">
        <f t="shared" si="155"/>
        <v>58.583333333333336</v>
      </c>
      <c r="P794" s="173">
        <f t="shared" si="159"/>
        <v>0.6666666666666714</v>
      </c>
      <c r="Q794" s="177">
        <f t="shared" si="158"/>
        <v>1.1510791366906557E-2</v>
      </c>
    </row>
    <row r="795" spans="2:17" x14ac:dyDescent="0.2">
      <c r="B795" t="s">
        <v>437</v>
      </c>
      <c r="C795">
        <v>63</v>
      </c>
      <c r="D795">
        <v>66</v>
      </c>
      <c r="E795">
        <v>66</v>
      </c>
      <c r="F795">
        <v>59</v>
      </c>
      <c r="G795">
        <v>69</v>
      </c>
      <c r="H795">
        <v>72</v>
      </c>
      <c r="I795">
        <v>76</v>
      </c>
      <c r="J795">
        <v>75</v>
      </c>
      <c r="K795">
        <v>81</v>
      </c>
      <c r="L795">
        <v>82</v>
      </c>
      <c r="M795">
        <v>70</v>
      </c>
      <c r="N795">
        <v>80</v>
      </c>
      <c r="O795" s="173">
        <f t="shared" si="155"/>
        <v>71.583333333333329</v>
      </c>
      <c r="P795" s="173">
        <f t="shared" si="159"/>
        <v>12.999999999999993</v>
      </c>
      <c r="Q795" s="177">
        <f t="shared" si="158"/>
        <v>0.22190611664295862</v>
      </c>
    </row>
    <row r="796" spans="2:17" x14ac:dyDescent="0.2">
      <c r="B796" t="s">
        <v>471</v>
      </c>
      <c r="C796">
        <v>72</v>
      </c>
      <c r="D796">
        <v>71</v>
      </c>
      <c r="E796">
        <v>74</v>
      </c>
      <c r="F796">
        <v>75</v>
      </c>
      <c r="G796">
        <v>69</v>
      </c>
      <c r="H796">
        <v>74</v>
      </c>
      <c r="I796">
        <v>72</v>
      </c>
      <c r="J796">
        <v>74</v>
      </c>
      <c r="K796">
        <v>79</v>
      </c>
      <c r="L796">
        <v>82</v>
      </c>
      <c r="M796">
        <v>87</v>
      </c>
      <c r="N796">
        <v>87</v>
      </c>
      <c r="O796" s="173">
        <f t="shared" si="155"/>
        <v>76.333333333333329</v>
      </c>
      <c r="P796" s="173">
        <f t="shared" si="159"/>
        <v>4.75</v>
      </c>
      <c r="Q796" s="177">
        <f t="shared" si="158"/>
        <v>6.6356228172293363E-2</v>
      </c>
    </row>
    <row r="797" spans="2:17" x14ac:dyDescent="0.2">
      <c r="B797" t="s">
        <v>537</v>
      </c>
      <c r="C797">
        <v>94</v>
      </c>
      <c r="D797">
        <v>94</v>
      </c>
      <c r="E797">
        <v>101</v>
      </c>
      <c r="F797">
        <v>108</v>
      </c>
      <c r="G797">
        <v>108</v>
      </c>
      <c r="H797">
        <v>107</v>
      </c>
      <c r="I797">
        <v>98</v>
      </c>
      <c r="J797">
        <v>97</v>
      </c>
      <c r="K797">
        <v>96</v>
      </c>
      <c r="L797">
        <v>98</v>
      </c>
      <c r="M797">
        <v>100</v>
      </c>
      <c r="N797">
        <v>101</v>
      </c>
      <c r="O797" s="173">
        <f t="shared" si="155"/>
        <v>100.16666666666667</v>
      </c>
      <c r="P797" s="173">
        <f t="shared" si="159"/>
        <v>23.833333333333343</v>
      </c>
      <c r="Q797" s="177">
        <f t="shared" si="158"/>
        <v>0.31222707423580798</v>
      </c>
    </row>
    <row r="798" spans="2:17" x14ac:dyDescent="0.2">
      <c r="B798" t="s">
        <v>628</v>
      </c>
      <c r="C798">
        <v>101</v>
      </c>
      <c r="D798">
        <v>96</v>
      </c>
      <c r="E798">
        <v>102</v>
      </c>
      <c r="F798">
        <v>105</v>
      </c>
      <c r="G798">
        <v>103</v>
      </c>
      <c r="H798">
        <v>104</v>
      </c>
      <c r="I798">
        <v>101</v>
      </c>
      <c r="J798">
        <v>103</v>
      </c>
      <c r="K798">
        <v>94</v>
      </c>
      <c r="L798">
        <v>106</v>
      </c>
      <c r="M798">
        <v>101</v>
      </c>
      <c r="N798">
        <v>100</v>
      </c>
      <c r="O798" s="173">
        <f t="shared" si="155"/>
        <v>101.33333333333333</v>
      </c>
      <c r="P798" s="173">
        <f>SUM(O798-O797)</f>
        <v>1.1666666666666572</v>
      </c>
      <c r="Q798" s="177">
        <f>SUM(P798/O797)</f>
        <v>1.1647254575707059E-2</v>
      </c>
    </row>
    <row r="799" spans="2:17" x14ac:dyDescent="0.2">
      <c r="B799" t="s">
        <v>629</v>
      </c>
      <c r="C799">
        <v>95</v>
      </c>
      <c r="D799">
        <v>93</v>
      </c>
      <c r="E799">
        <v>93</v>
      </c>
      <c r="O799" s="173"/>
      <c r="P799" s="173"/>
      <c r="Q799" s="177"/>
    </row>
    <row r="800" spans="2:17" x14ac:dyDescent="0.2">
      <c r="O800" s="173"/>
      <c r="P800" s="173"/>
      <c r="Q800" s="177"/>
    </row>
    <row r="801" spans="1:17" ht="25.5" x14ac:dyDescent="0.2">
      <c r="A801" s="175" t="s">
        <v>449</v>
      </c>
      <c r="B801" s="176" t="s">
        <v>418</v>
      </c>
      <c r="C801" s="179" t="s">
        <v>419</v>
      </c>
      <c r="D801" s="179" t="s">
        <v>420</v>
      </c>
      <c r="E801" s="179" t="s">
        <v>421</v>
      </c>
      <c r="F801" s="179" t="s">
        <v>422</v>
      </c>
      <c r="G801" s="179" t="s">
        <v>423</v>
      </c>
      <c r="H801" s="179" t="s">
        <v>424</v>
      </c>
      <c r="I801" s="179" t="s">
        <v>425</v>
      </c>
      <c r="J801" s="179" t="s">
        <v>426</v>
      </c>
      <c r="K801" s="179" t="s">
        <v>427</v>
      </c>
      <c r="L801" s="179" t="s">
        <v>428</v>
      </c>
      <c r="M801" s="179" t="s">
        <v>429</v>
      </c>
      <c r="N801" s="179" t="s">
        <v>430</v>
      </c>
    </row>
    <row r="802" spans="1:17" x14ac:dyDescent="0.2">
      <c r="B802" t="s">
        <v>434</v>
      </c>
      <c r="C802">
        <v>438</v>
      </c>
      <c r="D802">
        <v>444</v>
      </c>
      <c r="E802">
        <v>446</v>
      </c>
      <c r="F802">
        <v>441</v>
      </c>
      <c r="G802">
        <v>444</v>
      </c>
      <c r="H802">
        <v>449</v>
      </c>
      <c r="I802">
        <v>447</v>
      </c>
      <c r="J802">
        <v>460</v>
      </c>
      <c r="K802">
        <v>465</v>
      </c>
      <c r="L802">
        <v>463</v>
      </c>
      <c r="M802">
        <v>469</v>
      </c>
      <c r="N802">
        <v>478</v>
      </c>
      <c r="O802" s="173">
        <f t="shared" ref="O802:O817" si="160">SUM(C802:N802)/12</f>
        <v>453.66666666666669</v>
      </c>
      <c r="P802" s="173"/>
    </row>
    <row r="803" spans="1:17" x14ac:dyDescent="0.2">
      <c r="B803" t="s">
        <v>435</v>
      </c>
      <c r="C803">
        <v>474</v>
      </c>
      <c r="D803">
        <v>481</v>
      </c>
      <c r="E803">
        <v>491</v>
      </c>
      <c r="F803">
        <v>478</v>
      </c>
      <c r="G803">
        <v>472</v>
      </c>
      <c r="H803">
        <v>477</v>
      </c>
      <c r="I803">
        <v>476</v>
      </c>
      <c r="J803">
        <v>470</v>
      </c>
      <c r="K803">
        <v>467</v>
      </c>
      <c r="L803">
        <v>480</v>
      </c>
      <c r="M803">
        <v>461</v>
      </c>
      <c r="N803">
        <v>449</v>
      </c>
      <c r="O803" s="173">
        <f t="shared" si="160"/>
        <v>473</v>
      </c>
      <c r="P803" s="173">
        <f t="shared" ref="P803:P810" si="161">SUM(O803-O802)</f>
        <v>19.333333333333314</v>
      </c>
      <c r="Q803" s="177">
        <f t="shared" ref="Q803:Q809" si="162">SUM(P803/O802)</f>
        <v>4.261572373254955E-2</v>
      </c>
    </row>
    <row r="804" spans="1:17" x14ac:dyDescent="0.2">
      <c r="B804" t="s">
        <v>436</v>
      </c>
      <c r="C804">
        <v>463</v>
      </c>
      <c r="D804">
        <v>474</v>
      </c>
      <c r="E804">
        <v>480</v>
      </c>
      <c r="F804">
        <v>457</v>
      </c>
      <c r="G804">
        <v>459</v>
      </c>
      <c r="H804">
        <v>469</v>
      </c>
      <c r="I804">
        <v>460</v>
      </c>
      <c r="J804">
        <v>446</v>
      </c>
      <c r="K804">
        <v>457</v>
      </c>
      <c r="L804">
        <v>468</v>
      </c>
      <c r="M804">
        <v>479</v>
      </c>
      <c r="N804">
        <v>490</v>
      </c>
      <c r="O804" s="173">
        <f t="shared" si="160"/>
        <v>466.83333333333331</v>
      </c>
      <c r="P804" s="173">
        <f t="shared" si="161"/>
        <v>-6.1666666666666856</v>
      </c>
      <c r="Q804" s="177">
        <f t="shared" si="162"/>
        <v>-1.3037350246652613E-2</v>
      </c>
    </row>
    <row r="805" spans="1:17" x14ac:dyDescent="0.2">
      <c r="B805" t="s">
        <v>260</v>
      </c>
      <c r="C805">
        <v>537</v>
      </c>
      <c r="D805">
        <v>544</v>
      </c>
      <c r="E805">
        <v>514</v>
      </c>
      <c r="F805">
        <v>562</v>
      </c>
      <c r="G805">
        <v>557</v>
      </c>
      <c r="H805">
        <v>551</v>
      </c>
      <c r="I805">
        <v>545</v>
      </c>
      <c r="J805">
        <v>538</v>
      </c>
      <c r="K805">
        <v>525</v>
      </c>
      <c r="L805">
        <v>518</v>
      </c>
      <c r="M805">
        <v>502</v>
      </c>
      <c r="N805">
        <v>506</v>
      </c>
      <c r="O805" s="173">
        <f t="shared" si="160"/>
        <v>533.25</v>
      </c>
      <c r="P805" s="173">
        <f t="shared" si="161"/>
        <v>66.416666666666686</v>
      </c>
      <c r="Q805" s="177">
        <f t="shared" si="162"/>
        <v>0.14227061763655841</v>
      </c>
    </row>
    <row r="806" spans="1:17" x14ac:dyDescent="0.2">
      <c r="B806" t="s">
        <v>259</v>
      </c>
      <c r="C806">
        <v>519</v>
      </c>
      <c r="D806">
        <v>507</v>
      </c>
      <c r="E806">
        <v>516</v>
      </c>
      <c r="F806">
        <v>509</v>
      </c>
      <c r="G806">
        <v>495</v>
      </c>
      <c r="H806">
        <v>503</v>
      </c>
      <c r="I806">
        <v>484</v>
      </c>
      <c r="J806">
        <v>484</v>
      </c>
      <c r="K806">
        <v>477</v>
      </c>
      <c r="L806">
        <v>470</v>
      </c>
      <c r="M806">
        <v>474</v>
      </c>
      <c r="N806">
        <v>464</v>
      </c>
      <c r="O806" s="173">
        <f t="shared" si="160"/>
        <v>491.83333333333331</v>
      </c>
      <c r="P806" s="173">
        <f t="shared" si="161"/>
        <v>-41.416666666666686</v>
      </c>
      <c r="Q806" s="177">
        <f t="shared" si="162"/>
        <v>-7.7668385685263353E-2</v>
      </c>
    </row>
    <row r="807" spans="1:17" x14ac:dyDescent="0.2">
      <c r="B807" t="s">
        <v>280</v>
      </c>
      <c r="C807">
        <v>472</v>
      </c>
      <c r="D807">
        <v>489</v>
      </c>
      <c r="E807">
        <v>468</v>
      </c>
      <c r="F807">
        <v>461</v>
      </c>
      <c r="G807">
        <v>460</v>
      </c>
      <c r="H807">
        <v>449</v>
      </c>
      <c r="I807">
        <v>436</v>
      </c>
      <c r="J807">
        <v>442</v>
      </c>
      <c r="K807">
        <v>445</v>
      </c>
      <c r="L807">
        <v>458</v>
      </c>
      <c r="M807">
        <v>472</v>
      </c>
      <c r="N807">
        <v>480</v>
      </c>
      <c r="O807" s="173">
        <f t="shared" si="160"/>
        <v>461</v>
      </c>
      <c r="P807" s="173">
        <f t="shared" si="161"/>
        <v>-30.833333333333314</v>
      </c>
      <c r="Q807" s="177">
        <f t="shared" si="162"/>
        <v>-6.2690613351406271E-2</v>
      </c>
    </row>
    <row r="808" spans="1:17" x14ac:dyDescent="0.2">
      <c r="B808" t="s">
        <v>290</v>
      </c>
      <c r="C808">
        <v>478</v>
      </c>
      <c r="D808">
        <v>478</v>
      </c>
      <c r="E808">
        <v>474</v>
      </c>
      <c r="F808">
        <v>493</v>
      </c>
      <c r="G808">
        <v>488</v>
      </c>
      <c r="H808">
        <v>495</v>
      </c>
      <c r="I808">
        <v>507</v>
      </c>
      <c r="J808">
        <v>499</v>
      </c>
      <c r="K808">
        <v>500</v>
      </c>
      <c r="L808">
        <v>518</v>
      </c>
      <c r="M808">
        <v>540</v>
      </c>
      <c r="N808">
        <v>551</v>
      </c>
      <c r="O808" s="173">
        <f t="shared" si="160"/>
        <v>501.75</v>
      </c>
      <c r="P808" s="173">
        <f t="shared" si="161"/>
        <v>40.75</v>
      </c>
      <c r="Q808" s="177">
        <f t="shared" si="162"/>
        <v>8.8394793926247286E-2</v>
      </c>
    </row>
    <row r="809" spans="1:17" x14ac:dyDescent="0.2">
      <c r="B809" t="s">
        <v>293</v>
      </c>
      <c r="C809">
        <v>551</v>
      </c>
      <c r="D809">
        <v>536</v>
      </c>
      <c r="E809">
        <v>521</v>
      </c>
      <c r="F809">
        <v>522</v>
      </c>
      <c r="G809">
        <v>527</v>
      </c>
      <c r="H809">
        <v>545</v>
      </c>
      <c r="I809">
        <v>548</v>
      </c>
      <c r="J809">
        <v>549</v>
      </c>
      <c r="K809">
        <v>549</v>
      </c>
      <c r="L809">
        <v>650</v>
      </c>
      <c r="M809">
        <v>666</v>
      </c>
      <c r="N809">
        <v>591</v>
      </c>
      <c r="O809" s="173">
        <f t="shared" si="160"/>
        <v>562.91666666666663</v>
      </c>
      <c r="P809" s="173">
        <f t="shared" si="161"/>
        <v>61.166666666666629</v>
      </c>
      <c r="Q809" s="177">
        <f t="shared" si="162"/>
        <v>0.12190666002325187</v>
      </c>
    </row>
    <row r="810" spans="1:17" x14ac:dyDescent="0.2">
      <c r="B810" t="s">
        <v>294</v>
      </c>
      <c r="C810">
        <v>596</v>
      </c>
      <c r="D810">
        <v>617</v>
      </c>
      <c r="E810">
        <v>722</v>
      </c>
      <c r="F810">
        <v>657</v>
      </c>
      <c r="G810">
        <v>723</v>
      </c>
      <c r="H810">
        <v>717</v>
      </c>
      <c r="I810">
        <v>729</v>
      </c>
      <c r="J810">
        <v>730</v>
      </c>
      <c r="K810">
        <v>721</v>
      </c>
      <c r="L810">
        <v>721</v>
      </c>
      <c r="M810">
        <v>754</v>
      </c>
      <c r="N810">
        <v>770</v>
      </c>
      <c r="O810" s="173">
        <f t="shared" si="160"/>
        <v>704.75</v>
      </c>
      <c r="P810" s="173">
        <f t="shared" si="161"/>
        <v>141.83333333333337</v>
      </c>
      <c r="Q810" s="177">
        <f t="shared" ref="Q810:Q816" si="163">SUM(P810/O809)</f>
        <v>0.25196150999259814</v>
      </c>
    </row>
    <row r="811" spans="1:17" x14ac:dyDescent="0.2">
      <c r="B811" t="s">
        <v>295</v>
      </c>
      <c r="C811">
        <v>711</v>
      </c>
      <c r="D811">
        <v>710</v>
      </c>
      <c r="E811">
        <v>721</v>
      </c>
      <c r="F811">
        <v>726</v>
      </c>
      <c r="G811">
        <v>736</v>
      </c>
      <c r="H811">
        <v>731</v>
      </c>
      <c r="I811">
        <v>722</v>
      </c>
      <c r="J811">
        <v>719</v>
      </c>
      <c r="K811">
        <v>722</v>
      </c>
      <c r="L811">
        <v>750</v>
      </c>
      <c r="M811">
        <v>759</v>
      </c>
      <c r="N811">
        <v>764</v>
      </c>
      <c r="O811" s="173">
        <f t="shared" si="160"/>
        <v>730.91666666666663</v>
      </c>
      <c r="P811" s="173">
        <f t="shared" ref="P811:P816" si="164">SUM(O811-O810)</f>
        <v>26.166666666666629</v>
      </c>
      <c r="Q811" s="177">
        <f t="shared" si="163"/>
        <v>3.7129005557526254E-2</v>
      </c>
    </row>
    <row r="812" spans="1:17" x14ac:dyDescent="0.2">
      <c r="B812" t="s">
        <v>335</v>
      </c>
      <c r="C812">
        <v>750</v>
      </c>
      <c r="D812">
        <v>743</v>
      </c>
      <c r="E812">
        <v>732</v>
      </c>
      <c r="F812">
        <v>728</v>
      </c>
      <c r="G812">
        <v>713</v>
      </c>
      <c r="H812">
        <v>774</v>
      </c>
      <c r="I812">
        <v>746</v>
      </c>
      <c r="J812">
        <v>760</v>
      </c>
      <c r="K812">
        <v>768</v>
      </c>
      <c r="L812">
        <v>783</v>
      </c>
      <c r="M812">
        <v>769</v>
      </c>
      <c r="N812">
        <v>766</v>
      </c>
      <c r="O812" s="173">
        <f t="shared" si="160"/>
        <v>752.66666666666663</v>
      </c>
      <c r="P812" s="173">
        <f t="shared" si="164"/>
        <v>21.75</v>
      </c>
      <c r="Q812" s="177">
        <f t="shared" si="163"/>
        <v>2.9757154258351386E-2</v>
      </c>
    </row>
    <row r="813" spans="1:17" x14ac:dyDescent="0.2">
      <c r="B813" t="s">
        <v>358</v>
      </c>
      <c r="C813">
        <v>793</v>
      </c>
      <c r="D813">
        <v>763</v>
      </c>
      <c r="E813">
        <v>771</v>
      </c>
      <c r="F813">
        <v>782</v>
      </c>
      <c r="G813">
        <v>756</v>
      </c>
      <c r="H813">
        <v>768</v>
      </c>
      <c r="I813">
        <v>763</v>
      </c>
      <c r="J813">
        <v>762</v>
      </c>
      <c r="K813">
        <v>773</v>
      </c>
      <c r="L813">
        <v>776</v>
      </c>
      <c r="M813">
        <v>743</v>
      </c>
      <c r="N813">
        <v>744</v>
      </c>
      <c r="O813" s="173">
        <f t="shared" si="160"/>
        <v>766.16666666666663</v>
      </c>
      <c r="P813" s="173">
        <f t="shared" si="164"/>
        <v>13.5</v>
      </c>
      <c r="Q813" s="177">
        <f t="shared" si="163"/>
        <v>1.7936226749335697E-2</v>
      </c>
    </row>
    <row r="814" spans="1:17" x14ac:dyDescent="0.2">
      <c r="B814" t="s">
        <v>437</v>
      </c>
      <c r="C814">
        <v>746</v>
      </c>
      <c r="D814">
        <v>738</v>
      </c>
      <c r="E814">
        <v>726</v>
      </c>
      <c r="F814">
        <v>723</v>
      </c>
      <c r="G814">
        <v>723</v>
      </c>
      <c r="H814">
        <v>711</v>
      </c>
      <c r="I814">
        <v>722</v>
      </c>
      <c r="J814">
        <v>715</v>
      </c>
      <c r="K814">
        <v>701</v>
      </c>
      <c r="L814">
        <v>696</v>
      </c>
      <c r="M814">
        <v>716</v>
      </c>
      <c r="N814">
        <v>722</v>
      </c>
      <c r="O814" s="173">
        <f t="shared" si="160"/>
        <v>719.91666666666663</v>
      </c>
      <c r="P814" s="173">
        <f t="shared" si="164"/>
        <v>-46.25</v>
      </c>
      <c r="Q814" s="177">
        <f t="shared" si="163"/>
        <v>-6.0365455731999133E-2</v>
      </c>
    </row>
    <row r="815" spans="1:17" x14ac:dyDescent="0.2">
      <c r="B815" t="s">
        <v>471</v>
      </c>
      <c r="C815">
        <v>720</v>
      </c>
      <c r="D815">
        <v>754</v>
      </c>
      <c r="E815">
        <v>702</v>
      </c>
      <c r="F815">
        <v>720</v>
      </c>
      <c r="G815">
        <v>705</v>
      </c>
      <c r="H815">
        <v>715</v>
      </c>
      <c r="I815">
        <v>712</v>
      </c>
      <c r="J815">
        <v>720</v>
      </c>
      <c r="K815">
        <v>712</v>
      </c>
      <c r="L815">
        <v>709</v>
      </c>
      <c r="M815">
        <v>704</v>
      </c>
      <c r="N815">
        <v>720</v>
      </c>
      <c r="O815" s="173">
        <f t="shared" si="160"/>
        <v>716.08333333333337</v>
      </c>
      <c r="P815" s="173">
        <f t="shared" si="164"/>
        <v>-3.8333333333332575</v>
      </c>
      <c r="Q815" s="177">
        <f t="shared" si="163"/>
        <v>-5.3246903576801823E-3</v>
      </c>
    </row>
    <row r="816" spans="1:17" x14ac:dyDescent="0.2">
      <c r="B816" t="s">
        <v>537</v>
      </c>
      <c r="C816">
        <v>726</v>
      </c>
      <c r="D816">
        <v>712</v>
      </c>
      <c r="E816">
        <v>724</v>
      </c>
      <c r="F816">
        <v>708</v>
      </c>
      <c r="G816">
        <v>701</v>
      </c>
      <c r="H816">
        <v>715</v>
      </c>
      <c r="I816">
        <v>708</v>
      </c>
      <c r="J816">
        <v>702</v>
      </c>
      <c r="K816">
        <v>695</v>
      </c>
      <c r="L816">
        <v>713</v>
      </c>
      <c r="M816">
        <v>720</v>
      </c>
      <c r="N816">
        <v>732</v>
      </c>
      <c r="O816" s="173">
        <f t="shared" si="160"/>
        <v>713</v>
      </c>
      <c r="P816" s="173">
        <f t="shared" si="164"/>
        <v>-3.0833333333333712</v>
      </c>
      <c r="Q816" s="177">
        <f t="shared" si="163"/>
        <v>-4.3058303270104101E-3</v>
      </c>
    </row>
    <row r="817" spans="1:18" x14ac:dyDescent="0.2">
      <c r="B817" t="s">
        <v>628</v>
      </c>
      <c r="C817">
        <v>712</v>
      </c>
      <c r="D817">
        <v>705</v>
      </c>
      <c r="E817">
        <v>689</v>
      </c>
      <c r="F817">
        <v>668</v>
      </c>
      <c r="G817">
        <v>662</v>
      </c>
      <c r="H817">
        <v>644</v>
      </c>
      <c r="I817">
        <v>641</v>
      </c>
      <c r="J817">
        <v>629</v>
      </c>
      <c r="K817">
        <v>652</v>
      </c>
      <c r="L817">
        <v>643</v>
      </c>
      <c r="M817">
        <v>652</v>
      </c>
      <c r="N817">
        <v>662</v>
      </c>
      <c r="O817" s="173">
        <f t="shared" si="160"/>
        <v>663.25</v>
      </c>
      <c r="P817" s="173">
        <f>SUM(O817-O816)</f>
        <v>-49.75</v>
      </c>
      <c r="Q817" s="177">
        <f>SUM(P817/O816)</f>
        <v>-6.9775596072931281E-2</v>
      </c>
    </row>
    <row r="818" spans="1:18" x14ac:dyDescent="0.2">
      <c r="B818" t="s">
        <v>629</v>
      </c>
      <c r="C818">
        <v>637</v>
      </c>
      <c r="D818">
        <v>640</v>
      </c>
      <c r="E818">
        <v>638</v>
      </c>
      <c r="O818" s="173"/>
      <c r="P818" s="173"/>
      <c r="Q818" s="177"/>
    </row>
    <row r="819" spans="1:18" x14ac:dyDescent="0.2">
      <c r="O819" s="173"/>
      <c r="P819" s="173"/>
      <c r="Q819" s="177"/>
    </row>
    <row r="820" spans="1:18" x14ac:dyDescent="0.2">
      <c r="A820" s="178"/>
      <c r="B820" s="178"/>
      <c r="C820" s="178"/>
      <c r="D820" s="178"/>
      <c r="E820" s="178"/>
      <c r="F820" s="178"/>
      <c r="G820" s="178"/>
      <c r="H820" s="178"/>
      <c r="I820" s="178"/>
      <c r="J820" s="178"/>
      <c r="K820" s="178"/>
      <c r="L820" s="178"/>
      <c r="M820" s="178"/>
      <c r="N820" s="178"/>
      <c r="O820" s="178"/>
      <c r="P820" s="178"/>
      <c r="Q820" s="178"/>
    </row>
    <row r="821" spans="1:18" ht="25.5" x14ac:dyDescent="0.2">
      <c r="A821" s="175" t="s">
        <v>450</v>
      </c>
      <c r="B821" s="176" t="s">
        <v>418</v>
      </c>
      <c r="C821" s="179" t="s">
        <v>419</v>
      </c>
      <c r="D821" s="179" t="s">
        <v>420</v>
      </c>
      <c r="E821" s="179" t="s">
        <v>421</v>
      </c>
      <c r="F821" s="179" t="s">
        <v>422</v>
      </c>
      <c r="G821" s="179" t="s">
        <v>423</v>
      </c>
      <c r="H821" s="179" t="s">
        <v>424</v>
      </c>
      <c r="I821" s="179" t="s">
        <v>425</v>
      </c>
      <c r="J821" s="179" t="s">
        <v>426</v>
      </c>
      <c r="K821" s="179" t="s">
        <v>427</v>
      </c>
      <c r="L821" s="179" t="s">
        <v>428</v>
      </c>
      <c r="M821" s="179" t="s">
        <v>429</v>
      </c>
      <c r="N821" s="179" t="s">
        <v>430</v>
      </c>
    </row>
    <row r="822" spans="1:18" x14ac:dyDescent="0.2">
      <c r="B822" t="s">
        <v>434</v>
      </c>
      <c r="C822">
        <v>51</v>
      </c>
      <c r="D822">
        <v>44</v>
      </c>
      <c r="E822">
        <v>43</v>
      </c>
      <c r="F822">
        <v>39</v>
      </c>
      <c r="G822">
        <v>39</v>
      </c>
      <c r="H822">
        <v>39</v>
      </c>
      <c r="I822">
        <v>43</v>
      </c>
      <c r="J822">
        <v>41</v>
      </c>
      <c r="K822">
        <v>42</v>
      </c>
      <c r="L822">
        <v>42</v>
      </c>
      <c r="M822">
        <v>43</v>
      </c>
      <c r="N822">
        <v>40</v>
      </c>
      <c r="O822" s="173">
        <f t="shared" ref="O822:O837" si="165">SUM(C822:N822)/12</f>
        <v>42.166666666666664</v>
      </c>
      <c r="P822" s="173"/>
    </row>
    <row r="823" spans="1:18" x14ac:dyDescent="0.2">
      <c r="B823" t="s">
        <v>435</v>
      </c>
      <c r="C823">
        <v>43</v>
      </c>
      <c r="D823">
        <v>47</v>
      </c>
      <c r="E823">
        <v>47</v>
      </c>
      <c r="F823">
        <v>51</v>
      </c>
      <c r="G823">
        <v>46</v>
      </c>
      <c r="H823">
        <v>44</v>
      </c>
      <c r="I823">
        <v>48</v>
      </c>
      <c r="J823">
        <v>41</v>
      </c>
      <c r="K823">
        <v>47</v>
      </c>
      <c r="L823">
        <v>44</v>
      </c>
      <c r="M823">
        <v>43</v>
      </c>
      <c r="N823">
        <v>46</v>
      </c>
      <c r="O823" s="173">
        <f t="shared" si="165"/>
        <v>45.583333333333336</v>
      </c>
      <c r="P823" s="173">
        <f t="shared" ref="P823:P830" si="166">SUM(O823-O822)</f>
        <v>3.4166666666666714</v>
      </c>
      <c r="Q823" s="177">
        <f t="shared" ref="Q823:Q829" si="167">SUM(P823/O822)</f>
        <v>8.1027667984189838E-2</v>
      </c>
    </row>
    <row r="824" spans="1:18" x14ac:dyDescent="0.2">
      <c r="B824" t="s">
        <v>436</v>
      </c>
      <c r="C824">
        <v>45</v>
      </c>
      <c r="D824">
        <v>49</v>
      </c>
      <c r="E824">
        <v>48</v>
      </c>
      <c r="F824">
        <v>51</v>
      </c>
      <c r="G824">
        <v>51</v>
      </c>
      <c r="H824">
        <v>46</v>
      </c>
      <c r="I824">
        <v>49</v>
      </c>
      <c r="J824">
        <v>45</v>
      </c>
      <c r="K824">
        <v>46</v>
      </c>
      <c r="L824">
        <v>47</v>
      </c>
      <c r="M824">
        <v>48</v>
      </c>
      <c r="N824">
        <v>49</v>
      </c>
      <c r="O824" s="173">
        <f t="shared" si="165"/>
        <v>47.833333333333336</v>
      </c>
      <c r="P824" s="173">
        <f t="shared" si="166"/>
        <v>2.25</v>
      </c>
      <c r="Q824" s="177">
        <f t="shared" si="167"/>
        <v>4.9360146252285186E-2</v>
      </c>
    </row>
    <row r="825" spans="1:18" x14ac:dyDescent="0.2">
      <c r="B825" t="s">
        <v>260</v>
      </c>
      <c r="C825">
        <v>35</v>
      </c>
      <c r="D825">
        <v>35</v>
      </c>
      <c r="E825">
        <v>36</v>
      </c>
      <c r="F825">
        <v>39</v>
      </c>
      <c r="G825">
        <v>39</v>
      </c>
      <c r="H825">
        <v>43</v>
      </c>
      <c r="I825">
        <v>47</v>
      </c>
      <c r="J825">
        <v>45</v>
      </c>
      <c r="K825">
        <v>47</v>
      </c>
      <c r="L825">
        <v>51</v>
      </c>
      <c r="M825">
        <v>47</v>
      </c>
      <c r="N825">
        <v>45</v>
      </c>
      <c r="O825" s="173">
        <f t="shared" si="165"/>
        <v>42.416666666666664</v>
      </c>
      <c r="P825" s="173">
        <f t="shared" si="166"/>
        <v>-5.4166666666666714</v>
      </c>
      <c r="Q825" s="177">
        <f t="shared" si="167"/>
        <v>-0.113240418118467</v>
      </c>
    </row>
    <row r="826" spans="1:18" x14ac:dyDescent="0.2">
      <c r="B826" t="s">
        <v>259</v>
      </c>
      <c r="C826">
        <v>55</v>
      </c>
      <c r="D826">
        <v>51</v>
      </c>
      <c r="E826">
        <v>49</v>
      </c>
      <c r="F826">
        <v>51</v>
      </c>
      <c r="G826">
        <v>52</v>
      </c>
      <c r="H826">
        <v>54</v>
      </c>
      <c r="I826">
        <v>55</v>
      </c>
      <c r="J826">
        <v>55</v>
      </c>
      <c r="K826">
        <v>42</v>
      </c>
      <c r="L826">
        <v>38</v>
      </c>
      <c r="M826">
        <v>85</v>
      </c>
      <c r="N826">
        <v>81</v>
      </c>
      <c r="O826" s="173">
        <f t="shared" si="165"/>
        <v>55.666666666666664</v>
      </c>
      <c r="P826" s="173">
        <f t="shared" si="166"/>
        <v>13.25</v>
      </c>
      <c r="Q826" s="177">
        <f t="shared" si="167"/>
        <v>0.31237721021611004</v>
      </c>
    </row>
    <row r="827" spans="1:18" x14ac:dyDescent="0.2">
      <c r="B827" t="s">
        <v>280</v>
      </c>
      <c r="C827">
        <v>81</v>
      </c>
      <c r="D827">
        <v>81</v>
      </c>
      <c r="E827">
        <v>74</v>
      </c>
      <c r="F827">
        <v>79</v>
      </c>
      <c r="G827">
        <v>77</v>
      </c>
      <c r="H827">
        <v>77</v>
      </c>
      <c r="I827">
        <v>74</v>
      </c>
      <c r="J827">
        <v>74</v>
      </c>
      <c r="K827">
        <v>74</v>
      </c>
      <c r="L827">
        <v>75</v>
      </c>
      <c r="M827">
        <v>75</v>
      </c>
      <c r="N827">
        <v>76</v>
      </c>
      <c r="O827" s="173">
        <f t="shared" si="165"/>
        <v>76.416666666666671</v>
      </c>
      <c r="P827" s="173">
        <f t="shared" si="166"/>
        <v>20.750000000000007</v>
      </c>
      <c r="Q827" s="177">
        <f t="shared" si="167"/>
        <v>0.37275449101796421</v>
      </c>
    </row>
    <row r="828" spans="1:18" x14ac:dyDescent="0.2">
      <c r="B828" t="s">
        <v>290</v>
      </c>
      <c r="C828">
        <v>78</v>
      </c>
      <c r="D828">
        <v>76</v>
      </c>
      <c r="E828">
        <v>80</v>
      </c>
      <c r="F828">
        <v>81</v>
      </c>
      <c r="G828">
        <v>77</v>
      </c>
      <c r="H828">
        <v>76</v>
      </c>
      <c r="I828">
        <v>74</v>
      </c>
      <c r="J828">
        <v>76</v>
      </c>
      <c r="K828">
        <v>71</v>
      </c>
      <c r="L828">
        <v>71</v>
      </c>
      <c r="M828">
        <v>74</v>
      </c>
      <c r="N828">
        <v>75</v>
      </c>
      <c r="O828" s="173">
        <f t="shared" si="165"/>
        <v>75.75</v>
      </c>
      <c r="P828" s="173">
        <f t="shared" si="166"/>
        <v>-0.6666666666666714</v>
      </c>
      <c r="Q828" s="177">
        <f t="shared" si="167"/>
        <v>-8.7241003271538234E-3</v>
      </c>
    </row>
    <row r="829" spans="1:18" x14ac:dyDescent="0.2">
      <c r="B829" t="s">
        <v>293</v>
      </c>
      <c r="C829">
        <v>75</v>
      </c>
      <c r="D829">
        <v>74</v>
      </c>
      <c r="E829">
        <v>73</v>
      </c>
      <c r="F829">
        <v>72</v>
      </c>
      <c r="G829">
        <v>75</v>
      </c>
      <c r="H829">
        <v>74</v>
      </c>
      <c r="I829">
        <v>73</v>
      </c>
      <c r="J829">
        <v>73</v>
      </c>
      <c r="K829">
        <v>71</v>
      </c>
      <c r="L829">
        <v>84</v>
      </c>
      <c r="M829">
        <v>79</v>
      </c>
      <c r="N829">
        <v>74</v>
      </c>
      <c r="O829" s="173">
        <f t="shared" si="165"/>
        <v>74.75</v>
      </c>
      <c r="P829" s="173">
        <f t="shared" si="166"/>
        <v>-1</v>
      </c>
      <c r="Q829" s="177">
        <f t="shared" si="167"/>
        <v>-1.3201320132013201E-2</v>
      </c>
      <c r="R829" s="177"/>
    </row>
    <row r="830" spans="1:18" x14ac:dyDescent="0.2">
      <c r="B830" t="s">
        <v>294</v>
      </c>
      <c r="C830">
        <v>70</v>
      </c>
      <c r="D830">
        <v>68</v>
      </c>
      <c r="E830">
        <v>80</v>
      </c>
      <c r="F830">
        <v>73</v>
      </c>
      <c r="G830">
        <v>82</v>
      </c>
      <c r="H830">
        <v>81</v>
      </c>
      <c r="I830">
        <v>83</v>
      </c>
      <c r="J830">
        <v>80</v>
      </c>
      <c r="K830">
        <v>78</v>
      </c>
      <c r="L830">
        <v>78</v>
      </c>
      <c r="M830">
        <v>78</v>
      </c>
      <c r="N830">
        <v>86</v>
      </c>
      <c r="O830" s="173">
        <f t="shared" si="165"/>
        <v>78.083333333333329</v>
      </c>
      <c r="P830" s="173">
        <f t="shared" si="166"/>
        <v>3.3333333333333286</v>
      </c>
      <c r="Q830" s="177">
        <f t="shared" ref="Q830:Q836" si="168">SUM(P830/O829)</f>
        <v>4.4593088071348874E-2</v>
      </c>
    </row>
    <row r="831" spans="1:18" x14ac:dyDescent="0.2">
      <c r="B831" t="s">
        <v>295</v>
      </c>
      <c r="C831">
        <v>75</v>
      </c>
      <c r="D831">
        <v>74</v>
      </c>
      <c r="E831">
        <v>79</v>
      </c>
      <c r="F831">
        <v>77</v>
      </c>
      <c r="G831">
        <v>75</v>
      </c>
      <c r="H831">
        <v>66</v>
      </c>
      <c r="I831">
        <v>64</v>
      </c>
      <c r="J831">
        <v>64</v>
      </c>
      <c r="K831">
        <v>47</v>
      </c>
      <c r="L831">
        <v>47</v>
      </c>
      <c r="M831">
        <v>45</v>
      </c>
      <c r="N831">
        <v>47</v>
      </c>
      <c r="O831" s="173">
        <f t="shared" si="165"/>
        <v>63.333333333333336</v>
      </c>
      <c r="P831" s="173">
        <f t="shared" ref="P831:P836" si="169">SUM(O831-O830)</f>
        <v>-14.749999999999993</v>
      </c>
      <c r="Q831" s="177">
        <f t="shared" si="168"/>
        <v>-0.18890074706510132</v>
      </c>
    </row>
    <row r="832" spans="1:18" x14ac:dyDescent="0.2">
      <c r="B832" t="s">
        <v>335</v>
      </c>
      <c r="C832">
        <v>42</v>
      </c>
      <c r="D832">
        <v>43</v>
      </c>
      <c r="E832">
        <v>41</v>
      </c>
      <c r="F832">
        <v>41</v>
      </c>
      <c r="G832">
        <v>38</v>
      </c>
      <c r="H832">
        <v>54</v>
      </c>
      <c r="I832">
        <v>60</v>
      </c>
      <c r="J832">
        <v>53</v>
      </c>
      <c r="K832">
        <v>57</v>
      </c>
      <c r="L832">
        <v>45</v>
      </c>
      <c r="M832">
        <v>48</v>
      </c>
      <c r="N832">
        <v>49</v>
      </c>
      <c r="O832" s="173">
        <f t="shared" si="165"/>
        <v>47.583333333333336</v>
      </c>
      <c r="P832" s="173">
        <f t="shared" si="169"/>
        <v>-15.75</v>
      </c>
      <c r="Q832" s="177">
        <f t="shared" si="168"/>
        <v>-0.24868421052631579</v>
      </c>
    </row>
    <row r="833" spans="1:17" x14ac:dyDescent="0.2">
      <c r="B833" t="s">
        <v>358</v>
      </c>
      <c r="C833">
        <v>49</v>
      </c>
      <c r="D833">
        <v>51</v>
      </c>
      <c r="E833">
        <v>45</v>
      </c>
      <c r="F833">
        <v>54</v>
      </c>
      <c r="G833">
        <v>56</v>
      </c>
      <c r="H833">
        <v>56</v>
      </c>
      <c r="I833">
        <v>53</v>
      </c>
      <c r="J833">
        <v>50</v>
      </c>
      <c r="K833">
        <v>47</v>
      </c>
      <c r="L833">
        <v>44</v>
      </c>
      <c r="M833">
        <v>44</v>
      </c>
      <c r="N833">
        <v>52</v>
      </c>
      <c r="O833" s="173">
        <f t="shared" si="165"/>
        <v>50.083333333333336</v>
      </c>
      <c r="P833" s="173">
        <f>SUM(O833-O832)</f>
        <v>2.5</v>
      </c>
      <c r="Q833" s="177">
        <f>SUM(P833/O832)</f>
        <v>5.2539404553415062E-2</v>
      </c>
    </row>
    <row r="834" spans="1:17" x14ac:dyDescent="0.2">
      <c r="B834" t="s">
        <v>437</v>
      </c>
      <c r="C834">
        <v>54</v>
      </c>
      <c r="D834">
        <v>54</v>
      </c>
      <c r="E834">
        <v>51</v>
      </c>
      <c r="F834">
        <v>57</v>
      </c>
      <c r="G834">
        <v>56</v>
      </c>
      <c r="H834">
        <v>64</v>
      </c>
      <c r="I834">
        <v>66</v>
      </c>
      <c r="J834">
        <v>65</v>
      </c>
      <c r="K834">
        <v>65</v>
      </c>
      <c r="L834">
        <v>65</v>
      </c>
      <c r="M834">
        <v>72</v>
      </c>
      <c r="N834">
        <v>63</v>
      </c>
      <c r="O834" s="173">
        <f t="shared" si="165"/>
        <v>61</v>
      </c>
      <c r="P834" s="173">
        <f t="shared" si="169"/>
        <v>10.916666666666664</v>
      </c>
      <c r="Q834" s="177">
        <f t="shared" si="168"/>
        <v>0.21797004991680527</v>
      </c>
    </row>
    <row r="835" spans="1:17" x14ac:dyDescent="0.2">
      <c r="B835" t="s">
        <v>471</v>
      </c>
      <c r="C835">
        <v>67</v>
      </c>
      <c r="D835">
        <v>65</v>
      </c>
      <c r="E835">
        <v>65</v>
      </c>
      <c r="F835">
        <v>61</v>
      </c>
      <c r="G835">
        <v>59</v>
      </c>
      <c r="H835">
        <v>58</v>
      </c>
      <c r="I835">
        <v>53</v>
      </c>
      <c r="J835">
        <v>56</v>
      </c>
      <c r="K835">
        <v>57</v>
      </c>
      <c r="L835">
        <v>57</v>
      </c>
      <c r="M835">
        <v>52</v>
      </c>
      <c r="N835">
        <v>58</v>
      </c>
      <c r="O835" s="173">
        <f t="shared" si="165"/>
        <v>59</v>
      </c>
      <c r="P835" s="173">
        <f t="shared" si="169"/>
        <v>-2</v>
      </c>
      <c r="Q835" s="177">
        <f t="shared" si="168"/>
        <v>-3.2786885245901641E-2</v>
      </c>
    </row>
    <row r="836" spans="1:17" x14ac:dyDescent="0.2">
      <c r="B836" t="s">
        <v>537</v>
      </c>
      <c r="C836">
        <v>55</v>
      </c>
      <c r="D836">
        <v>43</v>
      </c>
      <c r="E836">
        <v>45</v>
      </c>
      <c r="F836">
        <v>45</v>
      </c>
      <c r="G836">
        <v>40</v>
      </c>
      <c r="H836">
        <v>45</v>
      </c>
      <c r="I836">
        <v>45</v>
      </c>
      <c r="J836">
        <v>49</v>
      </c>
      <c r="K836">
        <v>53</v>
      </c>
      <c r="L836">
        <v>50</v>
      </c>
      <c r="M836">
        <v>51</v>
      </c>
      <c r="N836">
        <v>50</v>
      </c>
      <c r="O836" s="173">
        <f t="shared" si="165"/>
        <v>47.583333333333336</v>
      </c>
      <c r="P836" s="173">
        <f t="shared" si="169"/>
        <v>-11.416666666666664</v>
      </c>
      <c r="Q836" s="177">
        <f t="shared" si="168"/>
        <v>-0.19350282485875703</v>
      </c>
    </row>
    <row r="837" spans="1:17" x14ac:dyDescent="0.2">
      <c r="B837" t="s">
        <v>628</v>
      </c>
      <c r="C837">
        <v>49</v>
      </c>
      <c r="D837">
        <v>44</v>
      </c>
      <c r="E837">
        <v>44</v>
      </c>
      <c r="F837">
        <v>47</v>
      </c>
      <c r="G837">
        <v>43</v>
      </c>
      <c r="H837">
        <v>42</v>
      </c>
      <c r="I837">
        <v>44</v>
      </c>
      <c r="J837">
        <v>47</v>
      </c>
      <c r="K837">
        <v>38</v>
      </c>
      <c r="L837">
        <v>13</v>
      </c>
      <c r="M837">
        <v>13</v>
      </c>
      <c r="N837">
        <v>11</v>
      </c>
      <c r="O837" s="173">
        <f t="shared" si="165"/>
        <v>36.25</v>
      </c>
      <c r="P837" s="173">
        <f>SUM(O837-O836)</f>
        <v>-11.333333333333336</v>
      </c>
      <c r="Q837" s="177">
        <f>SUM(P837/O836)</f>
        <v>-0.23817863397548164</v>
      </c>
    </row>
    <row r="838" spans="1:17" x14ac:dyDescent="0.2">
      <c r="B838" t="s">
        <v>629</v>
      </c>
      <c r="C838">
        <v>11</v>
      </c>
      <c r="D838">
        <v>11</v>
      </c>
      <c r="E838">
        <v>10</v>
      </c>
      <c r="O838" s="173"/>
      <c r="P838" s="173"/>
      <c r="Q838" s="177"/>
    </row>
    <row r="839" spans="1:17" x14ac:dyDescent="0.2">
      <c r="O839" s="173"/>
      <c r="P839" s="173"/>
      <c r="Q839" s="177"/>
    </row>
    <row r="840" spans="1:17" ht="24.75" customHeight="1" x14ac:dyDescent="0.2">
      <c r="A840" s="603" t="s">
        <v>451</v>
      </c>
      <c r="B840" s="179" t="s">
        <v>418</v>
      </c>
      <c r="C840" s="179" t="s">
        <v>419</v>
      </c>
      <c r="D840" s="179" t="s">
        <v>420</v>
      </c>
      <c r="E840" s="179" t="s">
        <v>421</v>
      </c>
      <c r="F840" s="179" t="s">
        <v>422</v>
      </c>
      <c r="G840" s="179" t="s">
        <v>423</v>
      </c>
      <c r="H840" s="179" t="s">
        <v>424</v>
      </c>
      <c r="I840" s="179" t="s">
        <v>425</v>
      </c>
      <c r="J840" s="179" t="s">
        <v>426</v>
      </c>
      <c r="K840" s="179" t="s">
        <v>427</v>
      </c>
      <c r="L840" s="179" t="s">
        <v>428</v>
      </c>
      <c r="M840" s="179" t="s">
        <v>429</v>
      </c>
      <c r="N840" s="179" t="s">
        <v>430</v>
      </c>
    </row>
    <row r="841" spans="1:17" x14ac:dyDescent="0.2">
      <c r="B841" t="s">
        <v>335</v>
      </c>
      <c r="H841">
        <v>120</v>
      </c>
      <c r="I841">
        <v>96</v>
      </c>
      <c r="J841">
        <v>123</v>
      </c>
      <c r="K841">
        <v>105</v>
      </c>
      <c r="L841">
        <v>122</v>
      </c>
      <c r="M841">
        <v>118</v>
      </c>
      <c r="N841">
        <v>118</v>
      </c>
      <c r="O841" s="173">
        <f>SUM(C841:N841)/7</f>
        <v>114.57142857142857</v>
      </c>
      <c r="P841" s="173"/>
      <c r="Q841" s="177"/>
    </row>
    <row r="842" spans="1:17" x14ac:dyDescent="0.2">
      <c r="B842" t="s">
        <v>358</v>
      </c>
      <c r="C842">
        <v>108</v>
      </c>
      <c r="D842">
        <v>110</v>
      </c>
      <c r="E842">
        <v>105</v>
      </c>
      <c r="F842">
        <v>102</v>
      </c>
      <c r="G842">
        <v>121</v>
      </c>
      <c r="H842">
        <v>133</v>
      </c>
      <c r="I842">
        <v>137</v>
      </c>
      <c r="J842">
        <v>129</v>
      </c>
      <c r="K842">
        <v>137</v>
      </c>
      <c r="L842">
        <v>140</v>
      </c>
      <c r="M842">
        <v>134</v>
      </c>
      <c r="N842">
        <v>128</v>
      </c>
      <c r="O842" s="173">
        <f>SUM(C842:N842)/12</f>
        <v>123.66666666666667</v>
      </c>
      <c r="P842" s="173">
        <f>SUM(O842-O841)</f>
        <v>9.095238095238102</v>
      </c>
      <c r="Q842" s="177">
        <f>SUM(P842/O841)</f>
        <v>7.9384871155444778E-2</v>
      </c>
    </row>
    <row r="843" spans="1:17" x14ac:dyDescent="0.2">
      <c r="B843" t="s">
        <v>437</v>
      </c>
      <c r="C843">
        <v>109</v>
      </c>
      <c r="D843">
        <v>111</v>
      </c>
      <c r="E843">
        <v>117</v>
      </c>
      <c r="F843">
        <v>117</v>
      </c>
      <c r="G843">
        <v>122</v>
      </c>
      <c r="H843">
        <v>122</v>
      </c>
      <c r="I843">
        <v>140</v>
      </c>
      <c r="J843">
        <v>138</v>
      </c>
      <c r="K843">
        <v>138</v>
      </c>
      <c r="L843">
        <v>107</v>
      </c>
      <c r="M843">
        <v>109</v>
      </c>
      <c r="N843">
        <v>128</v>
      </c>
      <c r="O843" s="173">
        <f>SUM(C843:N843)/12</f>
        <v>121.5</v>
      </c>
      <c r="P843" s="173">
        <f>SUM(O843-O842)</f>
        <v>-2.1666666666666714</v>
      </c>
      <c r="Q843" s="177">
        <f>SUM(P843/O842)</f>
        <v>-1.7520215633423219E-2</v>
      </c>
    </row>
    <row r="844" spans="1:17" x14ac:dyDescent="0.2">
      <c r="B844" t="s">
        <v>471</v>
      </c>
      <c r="C844">
        <v>109</v>
      </c>
      <c r="D844">
        <v>116</v>
      </c>
      <c r="E844">
        <v>125</v>
      </c>
      <c r="F844">
        <v>113</v>
      </c>
      <c r="G844">
        <v>99</v>
      </c>
      <c r="H844">
        <v>98</v>
      </c>
      <c r="I844">
        <v>107</v>
      </c>
      <c r="J844">
        <v>113</v>
      </c>
      <c r="K844">
        <v>118</v>
      </c>
      <c r="L844">
        <v>105</v>
      </c>
      <c r="M844">
        <v>107</v>
      </c>
      <c r="N844">
        <v>110</v>
      </c>
      <c r="O844" s="173">
        <f>SUM(C844:N844)/12</f>
        <v>110</v>
      </c>
      <c r="P844" s="173">
        <f>SUM(O844-O843)</f>
        <v>-11.5</v>
      </c>
      <c r="Q844" s="177">
        <f>SUM(P844/O843)</f>
        <v>-9.4650205761316872E-2</v>
      </c>
    </row>
    <row r="845" spans="1:17" x14ac:dyDescent="0.2">
      <c r="B845" t="s">
        <v>537</v>
      </c>
      <c r="C845">
        <v>111</v>
      </c>
      <c r="D845">
        <v>102</v>
      </c>
      <c r="E845">
        <v>122</v>
      </c>
      <c r="F845">
        <v>144</v>
      </c>
      <c r="G845">
        <v>154</v>
      </c>
      <c r="H845">
        <v>164</v>
      </c>
      <c r="I845">
        <v>164</v>
      </c>
      <c r="J845">
        <v>169</v>
      </c>
      <c r="K845">
        <v>164</v>
      </c>
      <c r="L845">
        <v>165</v>
      </c>
      <c r="M845">
        <v>161</v>
      </c>
      <c r="N845">
        <v>142</v>
      </c>
      <c r="O845" s="173">
        <f>SUM(C845:N845)/12</f>
        <v>146.83333333333334</v>
      </c>
      <c r="P845" s="173">
        <f>SUM(O845-O844)</f>
        <v>36.833333333333343</v>
      </c>
      <c r="Q845" s="177">
        <f>SUM(P845/O844)</f>
        <v>0.33484848484848495</v>
      </c>
    </row>
    <row r="846" spans="1:17" x14ac:dyDescent="0.2">
      <c r="B846" t="s">
        <v>628</v>
      </c>
      <c r="C846">
        <v>158</v>
      </c>
      <c r="D846">
        <v>164</v>
      </c>
      <c r="E846">
        <v>169</v>
      </c>
      <c r="F846">
        <v>191</v>
      </c>
      <c r="G846">
        <v>185</v>
      </c>
      <c r="H846">
        <v>192</v>
      </c>
      <c r="I846">
        <v>181</v>
      </c>
      <c r="J846">
        <v>162</v>
      </c>
      <c r="K846">
        <v>140</v>
      </c>
      <c r="L846">
        <v>146</v>
      </c>
      <c r="M846">
        <v>154</v>
      </c>
      <c r="N846">
        <v>150</v>
      </c>
      <c r="O846" s="173">
        <f>SUM(C846:N846)/12</f>
        <v>166</v>
      </c>
      <c r="P846" s="173">
        <f>SUM(O846-O845)</f>
        <v>19.166666666666657</v>
      </c>
      <c r="Q846" s="177">
        <f>SUM(P846/O845)</f>
        <v>0.13053348467650391</v>
      </c>
    </row>
    <row r="847" spans="1:17" x14ac:dyDescent="0.2">
      <c r="B847" t="s">
        <v>629</v>
      </c>
      <c r="C847">
        <v>135</v>
      </c>
      <c r="D847">
        <v>124</v>
      </c>
      <c r="E847">
        <v>138</v>
      </c>
    </row>
    <row r="849" spans="1:18" x14ac:dyDescent="0.2">
      <c r="A849" s="178"/>
      <c r="B849" s="178"/>
      <c r="C849" s="178"/>
      <c r="D849" s="178"/>
      <c r="E849" s="178"/>
      <c r="F849" s="178"/>
      <c r="G849" s="178"/>
      <c r="H849" s="178"/>
      <c r="I849" s="178"/>
      <c r="J849" s="178"/>
      <c r="K849" s="178"/>
      <c r="L849" s="178"/>
      <c r="M849" s="178"/>
      <c r="N849" s="178"/>
      <c r="O849" s="178"/>
      <c r="P849" s="178"/>
      <c r="Q849" s="178"/>
      <c r="R849" s="178"/>
    </row>
    <row r="850" spans="1:18" ht="38.25" x14ac:dyDescent="0.2">
      <c r="A850" s="769" t="s">
        <v>452</v>
      </c>
      <c r="B850" s="765" t="s">
        <v>418</v>
      </c>
      <c r="C850" s="766" t="s">
        <v>419</v>
      </c>
      <c r="D850" s="766" t="s">
        <v>420</v>
      </c>
      <c r="E850" s="766" t="s">
        <v>421</v>
      </c>
      <c r="F850" s="766" t="s">
        <v>422</v>
      </c>
      <c r="G850" s="766" t="s">
        <v>423</v>
      </c>
      <c r="H850" s="766" t="s">
        <v>424</v>
      </c>
      <c r="I850" s="766" t="s">
        <v>425</v>
      </c>
      <c r="J850" s="766" t="s">
        <v>426</v>
      </c>
      <c r="K850" s="766" t="s">
        <v>427</v>
      </c>
      <c r="L850" s="766" t="s">
        <v>428</v>
      </c>
      <c r="M850" s="766" t="s">
        <v>429</v>
      </c>
      <c r="N850" s="766" t="s">
        <v>430</v>
      </c>
      <c r="O850" s="769" t="s">
        <v>431</v>
      </c>
      <c r="P850" s="770" t="s">
        <v>432</v>
      </c>
      <c r="Q850" s="770" t="s">
        <v>433</v>
      </c>
      <c r="R850" s="770" t="s">
        <v>453</v>
      </c>
    </row>
    <row r="851" spans="1:18" x14ac:dyDescent="0.2">
      <c r="A851" s="767" t="s">
        <v>470</v>
      </c>
      <c r="B851" s="768" t="s">
        <v>434</v>
      </c>
      <c r="C851" s="768">
        <f t="shared" ref="C851:N863" si="170">SUM(C590,C609,C628,C648,C667,C686,C706,C725,C744,C764,C783,C802,C822)</f>
        <v>4476</v>
      </c>
      <c r="D851" s="768">
        <f t="shared" si="170"/>
        <v>4483</v>
      </c>
      <c r="E851" s="768">
        <f t="shared" si="170"/>
        <v>4465</v>
      </c>
      <c r="F851" s="768">
        <f t="shared" si="170"/>
        <v>4430</v>
      </c>
      <c r="G851" s="768">
        <f t="shared" si="170"/>
        <v>4464</v>
      </c>
      <c r="H851" s="768">
        <f t="shared" si="170"/>
        <v>4489</v>
      </c>
      <c r="I851" s="768">
        <f t="shared" si="170"/>
        <v>4483</v>
      </c>
      <c r="J851" s="768">
        <f t="shared" si="170"/>
        <v>4518</v>
      </c>
      <c r="K851" s="768">
        <f t="shared" si="170"/>
        <v>4524</v>
      </c>
      <c r="L851" s="768">
        <f t="shared" si="170"/>
        <v>4527</v>
      </c>
      <c r="M851" s="768">
        <f t="shared" si="170"/>
        <v>4496</v>
      </c>
      <c r="N851" s="768">
        <f t="shared" si="170"/>
        <v>4561</v>
      </c>
      <c r="O851" s="771">
        <f t="shared" ref="O851:O859" si="171">SUM(C851:N851)/12</f>
        <v>4493</v>
      </c>
      <c r="P851" s="771"/>
      <c r="Q851" s="771"/>
      <c r="R851" s="771"/>
    </row>
    <row r="852" spans="1:18" x14ac:dyDescent="0.2">
      <c r="A852" s="768"/>
      <c r="B852" s="768" t="s">
        <v>435</v>
      </c>
      <c r="C852" s="768">
        <f t="shared" si="170"/>
        <v>4520</v>
      </c>
      <c r="D852" s="768">
        <f t="shared" si="170"/>
        <v>4564</v>
      </c>
      <c r="E852" s="768">
        <f t="shared" si="170"/>
        <v>4554</v>
      </c>
      <c r="F852" s="768">
        <f t="shared" si="170"/>
        <v>4570</v>
      </c>
      <c r="G852" s="768">
        <f t="shared" si="170"/>
        <v>4539</v>
      </c>
      <c r="H852" s="768">
        <f t="shared" si="170"/>
        <v>4559</v>
      </c>
      <c r="I852" s="768">
        <f t="shared" si="170"/>
        <v>4522</v>
      </c>
      <c r="J852" s="768">
        <f t="shared" si="170"/>
        <v>4548</v>
      </c>
      <c r="K852" s="768">
        <f t="shared" si="170"/>
        <v>4510</v>
      </c>
      <c r="L852" s="768">
        <f t="shared" si="170"/>
        <v>4548</v>
      </c>
      <c r="M852" s="768">
        <f t="shared" si="170"/>
        <v>4537</v>
      </c>
      <c r="N852" s="768">
        <f t="shared" si="170"/>
        <v>4525</v>
      </c>
      <c r="O852" s="772">
        <f t="shared" si="171"/>
        <v>4541.333333333333</v>
      </c>
      <c r="P852" s="772">
        <f t="shared" ref="P852:P858" si="172">SUM(O852-N851)</f>
        <v>-19.66666666666697</v>
      </c>
      <c r="Q852" s="773">
        <f t="shared" ref="Q852:Q866" si="173">SUM(P852/O851)</f>
        <v>-4.3771793159730621E-3</v>
      </c>
      <c r="R852" s="771"/>
    </row>
    <row r="853" spans="1:18" x14ac:dyDescent="0.2">
      <c r="A853" s="768"/>
      <c r="B853" s="768" t="s">
        <v>436</v>
      </c>
      <c r="C853" s="768">
        <f t="shared" si="170"/>
        <v>4558</v>
      </c>
      <c r="D853" s="768">
        <f t="shared" si="170"/>
        <v>4615</v>
      </c>
      <c r="E853" s="768">
        <f t="shared" si="170"/>
        <v>4607</v>
      </c>
      <c r="F853" s="768">
        <f t="shared" si="170"/>
        <v>4575</v>
      </c>
      <c r="G853" s="768">
        <f t="shared" si="170"/>
        <v>4575</v>
      </c>
      <c r="H853" s="768">
        <f t="shared" si="170"/>
        <v>4624</v>
      </c>
      <c r="I853" s="768">
        <f t="shared" si="170"/>
        <v>4604</v>
      </c>
      <c r="J853" s="768">
        <f t="shared" si="170"/>
        <v>4666</v>
      </c>
      <c r="K853" s="768">
        <f t="shared" si="170"/>
        <v>4736</v>
      </c>
      <c r="L853" s="768">
        <f t="shared" si="170"/>
        <v>4774</v>
      </c>
      <c r="M853" s="768">
        <f t="shared" si="170"/>
        <v>4832</v>
      </c>
      <c r="N853" s="768">
        <f t="shared" si="170"/>
        <v>4872</v>
      </c>
      <c r="O853" s="772">
        <f t="shared" si="171"/>
        <v>4669.833333333333</v>
      </c>
      <c r="P853" s="772">
        <f t="shared" si="172"/>
        <v>144.83333333333303</v>
      </c>
      <c r="Q853" s="773">
        <f t="shared" si="173"/>
        <v>3.1892248972401581E-2</v>
      </c>
      <c r="R853" s="773">
        <f>SUM(Q852:Q853)</f>
        <v>2.7515069656428519E-2</v>
      </c>
    </row>
    <row r="854" spans="1:18" x14ac:dyDescent="0.2">
      <c r="A854" s="768"/>
      <c r="B854" s="768" t="s">
        <v>260</v>
      </c>
      <c r="C854" s="768">
        <f t="shared" si="170"/>
        <v>4823</v>
      </c>
      <c r="D854" s="768">
        <f t="shared" si="170"/>
        <v>4949</v>
      </c>
      <c r="E854" s="768">
        <f t="shared" si="170"/>
        <v>4738</v>
      </c>
      <c r="F854" s="768">
        <f t="shared" si="170"/>
        <v>4753</v>
      </c>
      <c r="G854" s="768">
        <f t="shared" si="170"/>
        <v>4796</v>
      </c>
      <c r="H854" s="768">
        <f t="shared" si="170"/>
        <v>4795</v>
      </c>
      <c r="I854" s="768">
        <f t="shared" si="170"/>
        <v>4787</v>
      </c>
      <c r="J854" s="768">
        <f t="shared" si="170"/>
        <v>4789</v>
      </c>
      <c r="K854" s="768">
        <f t="shared" si="170"/>
        <v>4682</v>
      </c>
      <c r="L854" s="768">
        <f t="shared" si="170"/>
        <v>4694</v>
      </c>
      <c r="M854" s="768">
        <f t="shared" si="170"/>
        <v>4685</v>
      </c>
      <c r="N854" s="768">
        <f t="shared" si="170"/>
        <v>4723</v>
      </c>
      <c r="O854" s="772">
        <f t="shared" si="171"/>
        <v>4767.833333333333</v>
      </c>
      <c r="P854" s="772">
        <f t="shared" si="172"/>
        <v>-104.16666666666697</v>
      </c>
      <c r="Q854" s="773">
        <f t="shared" si="173"/>
        <v>-2.2306292158892245E-2</v>
      </c>
      <c r="R854" s="773">
        <f>SUM(Q852:Q854)</f>
        <v>5.2087774975362738E-3</v>
      </c>
    </row>
    <row r="855" spans="1:18" x14ac:dyDescent="0.2">
      <c r="A855" s="768"/>
      <c r="B855" s="768" t="s">
        <v>259</v>
      </c>
      <c r="C855" s="768">
        <f t="shared" si="170"/>
        <v>4934</v>
      </c>
      <c r="D855" s="768">
        <f t="shared" si="170"/>
        <v>4681</v>
      </c>
      <c r="E855" s="768">
        <f t="shared" si="170"/>
        <v>4701</v>
      </c>
      <c r="F855" s="768">
        <f t="shared" si="170"/>
        <v>4713</v>
      </c>
      <c r="G855" s="768">
        <f t="shared" si="170"/>
        <v>4644</v>
      </c>
      <c r="H855" s="768">
        <f t="shared" si="170"/>
        <v>4760</v>
      </c>
      <c r="I855" s="768">
        <f t="shared" si="170"/>
        <v>4760</v>
      </c>
      <c r="J855" s="768">
        <f t="shared" si="170"/>
        <v>4753</v>
      </c>
      <c r="K855" s="768">
        <f t="shared" si="170"/>
        <v>4744</v>
      </c>
      <c r="L855" s="768">
        <f t="shared" si="170"/>
        <v>4764</v>
      </c>
      <c r="M855" s="768">
        <f t="shared" si="170"/>
        <v>4810</v>
      </c>
      <c r="N855" s="768">
        <f t="shared" si="170"/>
        <v>4804</v>
      </c>
      <c r="O855" s="772">
        <f t="shared" si="171"/>
        <v>4755.666666666667</v>
      </c>
      <c r="P855" s="772">
        <f t="shared" si="172"/>
        <v>32.66666666666697</v>
      </c>
      <c r="Q855" s="773">
        <f t="shared" si="173"/>
        <v>6.8514699199497264E-3</v>
      </c>
      <c r="R855" s="773">
        <f>SUM(Q852:Q855)</f>
        <v>1.2060247417486E-2</v>
      </c>
    </row>
    <row r="856" spans="1:18" x14ac:dyDescent="0.2">
      <c r="A856" s="768"/>
      <c r="B856" s="768" t="s">
        <v>280</v>
      </c>
      <c r="C856" s="768">
        <f t="shared" si="170"/>
        <v>4780</v>
      </c>
      <c r="D856" s="768">
        <f t="shared" si="170"/>
        <v>4815</v>
      </c>
      <c r="E856" s="768">
        <f t="shared" si="170"/>
        <v>4843</v>
      </c>
      <c r="F856" s="768">
        <f t="shared" si="170"/>
        <v>4851</v>
      </c>
      <c r="G856" s="768">
        <f t="shared" si="170"/>
        <v>4883</v>
      </c>
      <c r="H856" s="768">
        <f t="shared" si="170"/>
        <v>4792</v>
      </c>
      <c r="I856" s="768">
        <f t="shared" si="170"/>
        <v>4842</v>
      </c>
      <c r="J856" s="768">
        <f t="shared" si="170"/>
        <v>4977</v>
      </c>
      <c r="K856" s="768">
        <f t="shared" si="170"/>
        <v>4949</v>
      </c>
      <c r="L856" s="768">
        <f t="shared" si="170"/>
        <v>4956</v>
      </c>
      <c r="M856" s="768">
        <f t="shared" si="170"/>
        <v>5017</v>
      </c>
      <c r="N856" s="768">
        <f t="shared" si="170"/>
        <v>4991</v>
      </c>
      <c r="O856" s="772">
        <f t="shared" si="171"/>
        <v>4891.333333333333</v>
      </c>
      <c r="P856" s="772">
        <f t="shared" si="172"/>
        <v>87.33333333333303</v>
      </c>
      <c r="Q856" s="773">
        <f t="shared" si="173"/>
        <v>1.8364056914558006E-2</v>
      </c>
      <c r="R856" s="773">
        <f>SUM(Q852:Q856)</f>
        <v>3.0424304332044006E-2</v>
      </c>
    </row>
    <row r="857" spans="1:18" x14ac:dyDescent="0.2">
      <c r="A857" s="768"/>
      <c r="B857" s="768" t="s">
        <v>290</v>
      </c>
      <c r="C857" s="768">
        <f t="shared" si="170"/>
        <v>5030</v>
      </c>
      <c r="D857" s="768">
        <f t="shared" si="170"/>
        <v>5070</v>
      </c>
      <c r="E857" s="768">
        <f t="shared" si="170"/>
        <v>5041</v>
      </c>
      <c r="F857" s="768">
        <f t="shared" si="170"/>
        <v>5085</v>
      </c>
      <c r="G857" s="768">
        <f t="shared" si="170"/>
        <v>5067</v>
      </c>
      <c r="H857" s="768">
        <f t="shared" si="170"/>
        <v>5102</v>
      </c>
      <c r="I857" s="768">
        <f t="shared" si="170"/>
        <v>5086</v>
      </c>
      <c r="J857" s="768">
        <f t="shared" si="170"/>
        <v>5164</v>
      </c>
      <c r="K857" s="768">
        <f t="shared" si="170"/>
        <v>5141</v>
      </c>
      <c r="L857" s="768">
        <f t="shared" si="170"/>
        <v>5196</v>
      </c>
      <c r="M857" s="768">
        <f t="shared" si="170"/>
        <v>5262</v>
      </c>
      <c r="N857" s="768">
        <f t="shared" si="170"/>
        <v>5272</v>
      </c>
      <c r="O857" s="772">
        <f t="shared" si="171"/>
        <v>5126.333333333333</v>
      </c>
      <c r="P857" s="772">
        <f t="shared" si="172"/>
        <v>135.33333333333303</v>
      </c>
      <c r="Q857" s="773">
        <f t="shared" si="173"/>
        <v>2.7667984189723261E-2</v>
      </c>
      <c r="R857" s="773">
        <f>SUM(Q852:Q857)</f>
        <v>5.8092288521767267E-2</v>
      </c>
    </row>
    <row r="858" spans="1:18" x14ac:dyDescent="0.2">
      <c r="A858" s="768"/>
      <c r="B858" s="768" t="s">
        <v>293</v>
      </c>
      <c r="C858" s="768">
        <f t="shared" si="170"/>
        <v>5300</v>
      </c>
      <c r="D858" s="768">
        <f t="shared" si="170"/>
        <v>5270</v>
      </c>
      <c r="E858" s="768">
        <f t="shared" si="170"/>
        <v>5214</v>
      </c>
      <c r="F858" s="768">
        <f t="shared" si="170"/>
        <v>5280</v>
      </c>
      <c r="G858" s="768">
        <f t="shared" si="170"/>
        <v>5289</v>
      </c>
      <c r="H858" s="768">
        <f t="shared" si="170"/>
        <v>5344</v>
      </c>
      <c r="I858" s="768">
        <f t="shared" si="170"/>
        <v>5315</v>
      </c>
      <c r="J858" s="768">
        <f t="shared" si="170"/>
        <v>5326</v>
      </c>
      <c r="K858" s="768">
        <f t="shared" si="170"/>
        <v>5260</v>
      </c>
      <c r="L858" s="768">
        <f t="shared" si="170"/>
        <v>5801</v>
      </c>
      <c r="M858" s="768">
        <f t="shared" si="170"/>
        <v>5765</v>
      </c>
      <c r="N858" s="768">
        <f t="shared" si="170"/>
        <v>5296</v>
      </c>
      <c r="O858" s="772">
        <f t="shared" si="171"/>
        <v>5371.666666666667</v>
      </c>
      <c r="P858" s="772">
        <f t="shared" si="172"/>
        <v>99.66666666666697</v>
      </c>
      <c r="Q858" s="773">
        <f t="shared" si="173"/>
        <v>1.9442096365173349E-2</v>
      </c>
      <c r="R858" s="773">
        <f t="shared" ref="R858:R863" si="174">SUM(Q852:Q858)</f>
        <v>7.7534384886940616E-2</v>
      </c>
    </row>
    <row r="859" spans="1:18" x14ac:dyDescent="0.2">
      <c r="A859" s="768"/>
      <c r="B859" s="768" t="s">
        <v>294</v>
      </c>
      <c r="C859" s="768">
        <f t="shared" si="170"/>
        <v>5324</v>
      </c>
      <c r="D859" s="768">
        <f t="shared" si="170"/>
        <v>5413</v>
      </c>
      <c r="E859" s="768">
        <f t="shared" si="170"/>
        <v>5738</v>
      </c>
      <c r="F859" s="768">
        <f t="shared" si="170"/>
        <v>5475</v>
      </c>
      <c r="G859" s="768">
        <f t="shared" si="170"/>
        <v>5231</v>
      </c>
      <c r="H859" s="768">
        <f t="shared" si="170"/>
        <v>5265</v>
      </c>
      <c r="I859" s="768">
        <f t="shared" si="170"/>
        <v>5442</v>
      </c>
      <c r="J859" s="768">
        <f t="shared" si="170"/>
        <v>5402</v>
      </c>
      <c r="K859" s="768">
        <f t="shared" si="170"/>
        <v>5364</v>
      </c>
      <c r="L859" s="768">
        <f t="shared" si="170"/>
        <v>5409</v>
      </c>
      <c r="M859" s="768">
        <f t="shared" si="170"/>
        <v>5790</v>
      </c>
      <c r="N859" s="768">
        <f t="shared" si="170"/>
        <v>5890</v>
      </c>
      <c r="O859" s="772">
        <f t="shared" si="171"/>
        <v>5478.583333333333</v>
      </c>
      <c r="P859" s="772">
        <f t="shared" ref="P859:P864" si="175">SUM(O859-O858)</f>
        <v>106.91666666666606</v>
      </c>
      <c r="Q859" s="773">
        <f t="shared" si="173"/>
        <v>1.9903816320198459E-2</v>
      </c>
      <c r="R859" s="773">
        <f t="shared" si="174"/>
        <v>0.10181538052311213</v>
      </c>
    </row>
    <row r="860" spans="1:18" x14ac:dyDescent="0.2">
      <c r="A860" s="768"/>
      <c r="B860" s="768" t="s">
        <v>295</v>
      </c>
      <c r="C860" s="768">
        <f t="shared" si="170"/>
        <v>5636</v>
      </c>
      <c r="D860" s="768">
        <f t="shared" si="170"/>
        <v>5620</v>
      </c>
      <c r="E860" s="768">
        <f t="shared" si="170"/>
        <v>5623</v>
      </c>
      <c r="F860" s="768">
        <f t="shared" si="170"/>
        <v>5600</v>
      </c>
      <c r="G860" s="768">
        <f t="shared" si="170"/>
        <v>5642</v>
      </c>
      <c r="H860" s="768">
        <f t="shared" si="170"/>
        <v>5678</v>
      </c>
      <c r="I860" s="768">
        <f t="shared" si="170"/>
        <v>5668</v>
      </c>
      <c r="J860" s="768">
        <f t="shared" si="170"/>
        <v>5682</v>
      </c>
      <c r="K860" s="768">
        <f t="shared" si="170"/>
        <v>5707</v>
      </c>
      <c r="L860" s="768">
        <f t="shared" si="170"/>
        <v>5751</v>
      </c>
      <c r="M860" s="768">
        <f t="shared" si="170"/>
        <v>5791</v>
      </c>
      <c r="N860" s="768">
        <f t="shared" si="170"/>
        <v>5813</v>
      </c>
      <c r="O860" s="772">
        <f>SUM(C860:N860)/12</f>
        <v>5684.25</v>
      </c>
      <c r="P860" s="772">
        <f t="shared" si="175"/>
        <v>205.66666666666697</v>
      </c>
      <c r="Q860" s="773">
        <f t="shared" si="173"/>
        <v>3.7540118339595148E-2</v>
      </c>
      <c r="R860" s="773">
        <f t="shared" si="174"/>
        <v>0.1074632498903057</v>
      </c>
    </row>
    <row r="861" spans="1:18" x14ac:dyDescent="0.2">
      <c r="A861" s="768"/>
      <c r="B861" s="768" t="s">
        <v>335</v>
      </c>
      <c r="C861" s="768">
        <f t="shared" si="170"/>
        <v>5792</v>
      </c>
      <c r="D861" s="768">
        <f t="shared" si="170"/>
        <v>5837</v>
      </c>
      <c r="E861" s="768">
        <f t="shared" si="170"/>
        <v>5783</v>
      </c>
      <c r="F861" s="768">
        <f t="shared" si="170"/>
        <v>5776</v>
      </c>
      <c r="G861" s="768">
        <f t="shared" si="170"/>
        <v>5691</v>
      </c>
      <c r="H861" s="768">
        <f t="shared" si="170"/>
        <v>5868</v>
      </c>
      <c r="I861" s="768">
        <f t="shared" si="170"/>
        <v>5812</v>
      </c>
      <c r="J861" s="768">
        <f t="shared" si="170"/>
        <v>5855</v>
      </c>
      <c r="K861" s="768">
        <f t="shared" si="170"/>
        <v>5867</v>
      </c>
      <c r="L861" s="768">
        <f t="shared" si="170"/>
        <v>5881</v>
      </c>
      <c r="M861" s="768">
        <f t="shared" si="170"/>
        <v>5824</v>
      </c>
      <c r="N861" s="768">
        <f t="shared" si="170"/>
        <v>5846</v>
      </c>
      <c r="O861" s="772">
        <f>SUM(C861:N861)/12</f>
        <v>5819.333333333333</v>
      </c>
      <c r="P861" s="772">
        <f t="shared" si="175"/>
        <v>135.08333333333303</v>
      </c>
      <c r="Q861" s="773">
        <f t="shared" si="173"/>
        <v>2.3764495462608618E-2</v>
      </c>
      <c r="R861" s="773">
        <f t="shared" si="174"/>
        <v>0.15353403751180655</v>
      </c>
    </row>
    <row r="862" spans="1:18" x14ac:dyDescent="0.2">
      <c r="A862" s="768"/>
      <c r="B862" s="768" t="s">
        <v>358</v>
      </c>
      <c r="C862" s="768">
        <f t="shared" si="170"/>
        <v>5909</v>
      </c>
      <c r="D862" s="768">
        <f t="shared" si="170"/>
        <v>5921</v>
      </c>
      <c r="E862" s="768">
        <f t="shared" si="170"/>
        <v>5881</v>
      </c>
      <c r="F862" s="768">
        <f t="shared" si="170"/>
        <v>5938</v>
      </c>
      <c r="G862" s="768">
        <f t="shared" si="170"/>
        <v>5963</v>
      </c>
      <c r="H862" s="768">
        <f t="shared" si="170"/>
        <v>5986</v>
      </c>
      <c r="I862" s="768">
        <f t="shared" si="170"/>
        <v>5927</v>
      </c>
      <c r="J862" s="768">
        <f t="shared" si="170"/>
        <v>5974</v>
      </c>
      <c r="K862" s="768">
        <f t="shared" si="170"/>
        <v>6009</v>
      </c>
      <c r="L862" s="768">
        <f t="shared" si="170"/>
        <v>6021</v>
      </c>
      <c r="M862" s="768">
        <f t="shared" si="170"/>
        <v>5978</v>
      </c>
      <c r="N862" s="768">
        <f t="shared" si="170"/>
        <v>5883</v>
      </c>
      <c r="O862" s="772">
        <f>SUM(C862:N862)/12</f>
        <v>5949.166666666667</v>
      </c>
      <c r="P862" s="772">
        <f t="shared" si="175"/>
        <v>129.83333333333394</v>
      </c>
      <c r="Q862" s="773">
        <f t="shared" si="173"/>
        <v>2.2310688509565919E-2</v>
      </c>
      <c r="R862" s="773">
        <f t="shared" si="174"/>
        <v>0.16899325610142274</v>
      </c>
    </row>
    <row r="863" spans="1:18" x14ac:dyDescent="0.2">
      <c r="A863" s="768"/>
      <c r="B863" s="768" t="s">
        <v>454</v>
      </c>
      <c r="C863" s="768">
        <f t="shared" si="170"/>
        <v>5999</v>
      </c>
      <c r="D863" s="768">
        <f t="shared" si="170"/>
        <v>6010</v>
      </c>
      <c r="E863" s="768">
        <f t="shared" si="170"/>
        <v>6006</v>
      </c>
      <c r="F863" s="768">
        <f t="shared" si="170"/>
        <v>6022</v>
      </c>
      <c r="G863" s="768">
        <f t="shared" si="170"/>
        <v>6027</v>
      </c>
      <c r="H863" s="768">
        <f t="shared" si="170"/>
        <v>6072</v>
      </c>
      <c r="I863" s="768">
        <f t="shared" si="170"/>
        <v>6094</v>
      </c>
      <c r="J863" s="768">
        <f t="shared" si="170"/>
        <v>6090</v>
      </c>
      <c r="K863" s="768">
        <f t="shared" si="170"/>
        <v>6044</v>
      </c>
      <c r="L863" s="768">
        <f t="shared" si="170"/>
        <v>6053</v>
      </c>
      <c r="M863" s="768">
        <f t="shared" si="170"/>
        <v>6097</v>
      </c>
      <c r="N863" s="768">
        <f t="shared" si="170"/>
        <v>6122</v>
      </c>
      <c r="O863" s="772">
        <f>SUM(C863:N863)/12</f>
        <v>6053</v>
      </c>
      <c r="P863" s="772">
        <f t="shared" si="175"/>
        <v>103.83333333333303</v>
      </c>
      <c r="Q863" s="773">
        <f t="shared" si="173"/>
        <v>1.7453424849418635E-2</v>
      </c>
      <c r="R863" s="773">
        <f t="shared" si="174"/>
        <v>0.16808262403628338</v>
      </c>
    </row>
    <row r="864" spans="1:18" x14ac:dyDescent="0.2">
      <c r="A864" s="768"/>
      <c r="B864" s="768" t="s">
        <v>471</v>
      </c>
      <c r="C864" s="768">
        <f t="shared" ref="C864:O866" si="176">SUM(C603,C622,C641,C661,C680,C699,C719,C738,C757,C777,C796,C815,C835,C844)</f>
        <v>6219</v>
      </c>
      <c r="D864" s="768">
        <f t="shared" si="176"/>
        <v>6195</v>
      </c>
      <c r="E864" s="768">
        <f t="shared" si="176"/>
        <v>6211</v>
      </c>
      <c r="F864" s="768">
        <f t="shared" si="176"/>
        <v>6268</v>
      </c>
      <c r="G864" s="768">
        <f t="shared" si="176"/>
        <v>6289</v>
      </c>
      <c r="H864" s="768">
        <f t="shared" si="176"/>
        <v>6246</v>
      </c>
      <c r="I864" s="768">
        <f t="shared" si="176"/>
        <v>6283</v>
      </c>
      <c r="J864" s="768">
        <f t="shared" si="176"/>
        <v>6294</v>
      </c>
      <c r="K864" s="768">
        <f t="shared" si="176"/>
        <v>6169</v>
      </c>
      <c r="L864" s="768">
        <f t="shared" si="176"/>
        <v>6109</v>
      </c>
      <c r="M864" s="768">
        <f t="shared" si="176"/>
        <v>6183</v>
      </c>
      <c r="N864" s="768">
        <f t="shared" si="176"/>
        <v>6197</v>
      </c>
      <c r="O864" s="772">
        <f t="shared" si="176"/>
        <v>6221.9166666666652</v>
      </c>
      <c r="P864" s="772">
        <f t="shared" si="175"/>
        <v>168.91666666666515</v>
      </c>
      <c r="Q864" s="773">
        <f t="shared" si="173"/>
        <v>2.7906272371826392E-2</v>
      </c>
      <c r="R864" s="773">
        <f>SUM(Q858:Q864)</f>
        <v>0.16832091221838652</v>
      </c>
    </row>
    <row r="865" spans="1:18" x14ac:dyDescent="0.2">
      <c r="A865" s="768"/>
      <c r="B865" s="768" t="s">
        <v>537</v>
      </c>
      <c r="C865" s="768">
        <f t="shared" si="176"/>
        <v>6254</v>
      </c>
      <c r="D865" s="768">
        <f t="shared" si="176"/>
        <v>6195</v>
      </c>
      <c r="E865" s="768">
        <f t="shared" si="176"/>
        <v>6259</v>
      </c>
      <c r="F865" s="768">
        <f t="shared" si="176"/>
        <v>6210</v>
      </c>
      <c r="G865" s="768">
        <f t="shared" si="176"/>
        <v>6164</v>
      </c>
      <c r="H865" s="768">
        <f t="shared" si="176"/>
        <v>6214</v>
      </c>
      <c r="I865" s="768">
        <f t="shared" si="176"/>
        <v>6176</v>
      </c>
      <c r="J865" s="768">
        <f t="shared" si="176"/>
        <v>6172</v>
      </c>
      <c r="K865" s="768">
        <f t="shared" si="176"/>
        <v>6086</v>
      </c>
      <c r="L865" s="768">
        <f t="shared" si="176"/>
        <v>6077</v>
      </c>
      <c r="M865" s="768">
        <f t="shared" si="176"/>
        <v>6086</v>
      </c>
      <c r="N865" s="768">
        <f t="shared" si="176"/>
        <v>6159</v>
      </c>
      <c r="O865" s="771">
        <f t="shared" si="176"/>
        <v>6171.0000000000009</v>
      </c>
      <c r="P865" s="772">
        <f>SUM(O865-O864)</f>
        <v>-50.916666666664241</v>
      </c>
      <c r="Q865" s="773">
        <f t="shared" si="173"/>
        <v>-8.1834375795236062E-3</v>
      </c>
      <c r="R865" s="773">
        <f>SUM(Q859:Q865)</f>
        <v>0.14069537827368955</v>
      </c>
    </row>
    <row r="866" spans="1:18" x14ac:dyDescent="0.2">
      <c r="A866" s="774"/>
      <c r="B866" s="774" t="s">
        <v>628</v>
      </c>
      <c r="C866" s="774">
        <f t="shared" si="176"/>
        <v>6046</v>
      </c>
      <c r="D866" s="774">
        <f t="shared" si="176"/>
        <v>5977</v>
      </c>
      <c r="E866" s="774">
        <f t="shared" si="176"/>
        <v>5919</v>
      </c>
      <c r="F866" s="774">
        <f t="shared" si="176"/>
        <v>5878</v>
      </c>
      <c r="G866" s="774">
        <f t="shared" si="176"/>
        <v>5876</v>
      </c>
      <c r="H866" s="774">
        <f t="shared" si="176"/>
        <v>5773</v>
      </c>
      <c r="I866" s="774">
        <f t="shared" si="176"/>
        <v>5785</v>
      </c>
      <c r="J866" s="774">
        <f t="shared" si="176"/>
        <v>5754</v>
      </c>
      <c r="K866" s="774">
        <f t="shared" si="176"/>
        <v>5747</v>
      </c>
      <c r="L866" s="774">
        <f t="shared" si="176"/>
        <v>5612</v>
      </c>
      <c r="M866" s="774">
        <f t="shared" si="176"/>
        <v>5667</v>
      </c>
      <c r="N866" s="774">
        <f t="shared" si="176"/>
        <v>5672</v>
      </c>
      <c r="O866" s="777">
        <f t="shared" si="176"/>
        <v>5808.833333333333</v>
      </c>
      <c r="P866" s="775">
        <f>SUM(O866-O865)</f>
        <v>-362.16666666666788</v>
      </c>
      <c r="Q866" s="776">
        <f t="shared" si="173"/>
        <v>-5.8688489169772783E-2</v>
      </c>
      <c r="R866" s="776">
        <f>SUM(Q860:Q866)</f>
        <v>6.2103072783718329E-2</v>
      </c>
    </row>
    <row r="868" spans="1:18" x14ac:dyDescent="0.2">
      <c r="A868" s="534" t="s">
        <v>630</v>
      </c>
    </row>
    <row r="871" spans="1:18" x14ac:dyDescent="0.2">
      <c r="A871" s="652"/>
      <c r="B871" s="652"/>
      <c r="C871" s="652"/>
      <c r="D871" s="652"/>
      <c r="E871" s="652"/>
      <c r="F871" s="652"/>
      <c r="G871" s="652"/>
      <c r="H871" s="652"/>
      <c r="I871" s="652"/>
      <c r="J871" s="652"/>
      <c r="K871" s="652"/>
      <c r="L871" s="652"/>
      <c r="M871" s="652"/>
      <c r="N871" s="652"/>
      <c r="O871" s="652"/>
      <c r="P871" s="652"/>
      <c r="Q871" s="652"/>
    </row>
    <row r="872" spans="1:18" ht="38.25" x14ac:dyDescent="0.2">
      <c r="A872" s="175" t="s">
        <v>417</v>
      </c>
      <c r="B872" s="653" t="s">
        <v>418</v>
      </c>
      <c r="C872" s="654" t="s">
        <v>419</v>
      </c>
      <c r="D872" s="654" t="s">
        <v>420</v>
      </c>
      <c r="E872" s="654" t="s">
        <v>421</v>
      </c>
      <c r="F872" s="654" t="s">
        <v>422</v>
      </c>
      <c r="G872" s="654" t="s">
        <v>423</v>
      </c>
      <c r="H872" s="654" t="s">
        <v>424</v>
      </c>
      <c r="I872" s="654" t="s">
        <v>425</v>
      </c>
      <c r="J872" s="654" t="s">
        <v>426</v>
      </c>
      <c r="K872" s="654" t="s">
        <v>427</v>
      </c>
      <c r="L872" s="654" t="s">
        <v>428</v>
      </c>
      <c r="M872" s="654" t="s">
        <v>429</v>
      </c>
      <c r="N872" s="654" t="s">
        <v>430</v>
      </c>
      <c r="O872" s="174" t="s">
        <v>431</v>
      </c>
      <c r="P872" s="655" t="s">
        <v>432</v>
      </c>
      <c r="Q872" s="655" t="s">
        <v>433</v>
      </c>
    </row>
    <row r="873" spans="1:18" x14ac:dyDescent="0.2">
      <c r="B873" t="s">
        <v>434</v>
      </c>
      <c r="C873">
        <v>1998</v>
      </c>
      <c r="D873">
        <v>2016</v>
      </c>
      <c r="E873">
        <v>1984</v>
      </c>
      <c r="F873">
        <v>2010</v>
      </c>
      <c r="G873">
        <v>2067</v>
      </c>
      <c r="H873">
        <v>2078</v>
      </c>
      <c r="I873">
        <v>2078</v>
      </c>
      <c r="J873">
        <v>2085</v>
      </c>
      <c r="K873">
        <v>2134</v>
      </c>
      <c r="L873">
        <v>2136</v>
      </c>
      <c r="M873">
        <v>2135</v>
      </c>
      <c r="N873">
        <v>2143</v>
      </c>
      <c r="O873">
        <f>SUM(C873:N873)/12</f>
        <v>2072</v>
      </c>
    </row>
    <row r="874" spans="1:18" x14ac:dyDescent="0.2">
      <c r="B874" t="s">
        <v>435</v>
      </c>
      <c r="C874">
        <v>2155</v>
      </c>
      <c r="D874">
        <v>2157</v>
      </c>
      <c r="E874">
        <v>2172</v>
      </c>
      <c r="F874">
        <v>2180</v>
      </c>
      <c r="G874">
        <v>2183</v>
      </c>
      <c r="H874">
        <v>2205</v>
      </c>
      <c r="I874">
        <v>2192</v>
      </c>
      <c r="J874">
        <v>2191</v>
      </c>
      <c r="K874">
        <v>2183</v>
      </c>
      <c r="L874">
        <v>2183</v>
      </c>
      <c r="M874">
        <v>2191</v>
      </c>
      <c r="N874">
        <v>2189</v>
      </c>
      <c r="O874" s="173">
        <f t="shared" ref="O874:O887" si="177">SUM(C874:N874)/12</f>
        <v>2181.75</v>
      </c>
      <c r="P874" s="173">
        <f t="shared" ref="P874:P882" si="178">SUM(O874-O873)</f>
        <v>109.75</v>
      </c>
      <c r="Q874" s="177">
        <f>SUM(P874/O873)</f>
        <v>5.2968146718146716E-2</v>
      </c>
    </row>
    <row r="875" spans="1:18" x14ac:dyDescent="0.2">
      <c r="B875" t="s">
        <v>436</v>
      </c>
      <c r="C875">
        <v>2201</v>
      </c>
      <c r="D875">
        <v>2233</v>
      </c>
      <c r="E875">
        <v>2235</v>
      </c>
      <c r="F875">
        <v>2252</v>
      </c>
      <c r="G875">
        <v>2259</v>
      </c>
      <c r="H875">
        <v>2271</v>
      </c>
      <c r="I875">
        <v>2271</v>
      </c>
      <c r="J875">
        <v>2307</v>
      </c>
      <c r="K875">
        <v>2319</v>
      </c>
      <c r="L875">
        <v>2331</v>
      </c>
      <c r="M875">
        <v>2343</v>
      </c>
      <c r="N875">
        <v>2355</v>
      </c>
      <c r="O875" s="173">
        <f t="shared" si="177"/>
        <v>2281.4166666666665</v>
      </c>
      <c r="P875" s="173">
        <f t="shared" si="178"/>
        <v>99.666666666666515</v>
      </c>
      <c r="Q875" s="177">
        <f t="shared" ref="Q875:Q880" si="179">SUM(P875/O874)</f>
        <v>4.5681983117527906E-2</v>
      </c>
    </row>
    <row r="876" spans="1:18" x14ac:dyDescent="0.2">
      <c r="B876" t="s">
        <v>260</v>
      </c>
      <c r="C876">
        <v>2324</v>
      </c>
      <c r="D876">
        <v>2433</v>
      </c>
      <c r="E876">
        <v>2266</v>
      </c>
      <c r="F876">
        <v>2266</v>
      </c>
      <c r="G876">
        <v>2306</v>
      </c>
      <c r="H876">
        <v>2306</v>
      </c>
      <c r="I876">
        <v>2306</v>
      </c>
      <c r="J876">
        <v>2334</v>
      </c>
      <c r="K876">
        <v>2230</v>
      </c>
      <c r="L876">
        <v>2230</v>
      </c>
      <c r="M876">
        <v>2230</v>
      </c>
      <c r="N876">
        <v>2230</v>
      </c>
      <c r="O876" s="173">
        <f t="shared" si="177"/>
        <v>2288.4166666666665</v>
      </c>
      <c r="P876" s="173">
        <f t="shared" si="178"/>
        <v>7</v>
      </c>
      <c r="Q876" s="177">
        <f t="shared" si="179"/>
        <v>3.0682689849143444E-3</v>
      </c>
    </row>
    <row r="877" spans="1:18" x14ac:dyDescent="0.2">
      <c r="B877" t="s">
        <v>259</v>
      </c>
      <c r="C877">
        <v>2408</v>
      </c>
      <c r="D877">
        <v>2335</v>
      </c>
      <c r="E877">
        <v>2353</v>
      </c>
      <c r="F877">
        <v>2353</v>
      </c>
      <c r="G877">
        <v>2311</v>
      </c>
      <c r="H877">
        <v>2367</v>
      </c>
      <c r="I877">
        <v>2367</v>
      </c>
      <c r="J877">
        <v>2352</v>
      </c>
      <c r="K877">
        <v>2336</v>
      </c>
      <c r="L877">
        <v>2336</v>
      </c>
      <c r="M877">
        <v>2292</v>
      </c>
      <c r="N877">
        <v>2318</v>
      </c>
      <c r="O877" s="173">
        <f t="shared" si="177"/>
        <v>2344</v>
      </c>
      <c r="P877" s="173">
        <f t="shared" si="178"/>
        <v>55.583333333333485</v>
      </c>
      <c r="Q877" s="177">
        <f t="shared" si="179"/>
        <v>2.4288991660900983E-2</v>
      </c>
    </row>
    <row r="878" spans="1:18" x14ac:dyDescent="0.2">
      <c r="B878" t="s">
        <v>280</v>
      </c>
      <c r="C878">
        <v>2312</v>
      </c>
      <c r="D878">
        <v>2305</v>
      </c>
      <c r="E878">
        <v>2318</v>
      </c>
      <c r="F878">
        <v>2318</v>
      </c>
      <c r="G878">
        <v>2350</v>
      </c>
      <c r="H878">
        <v>2314</v>
      </c>
      <c r="I878">
        <v>2314</v>
      </c>
      <c r="J878">
        <v>2426</v>
      </c>
      <c r="K878">
        <v>2400</v>
      </c>
      <c r="L878">
        <v>2454</v>
      </c>
      <c r="M878">
        <v>2536</v>
      </c>
      <c r="N878">
        <v>2334</v>
      </c>
      <c r="O878" s="173">
        <f t="shared" si="177"/>
        <v>2365.0833333333335</v>
      </c>
      <c r="P878" s="173">
        <f t="shared" si="178"/>
        <v>21.083333333333485</v>
      </c>
      <c r="Q878" s="177">
        <f t="shared" si="179"/>
        <v>8.9945961319682095E-3</v>
      </c>
    </row>
    <row r="879" spans="1:18" x14ac:dyDescent="0.2">
      <c r="B879" t="s">
        <v>290</v>
      </c>
      <c r="C879">
        <v>2357</v>
      </c>
      <c r="D879">
        <v>2384</v>
      </c>
      <c r="E879">
        <v>2387</v>
      </c>
      <c r="F879">
        <v>2410</v>
      </c>
      <c r="G879">
        <v>2414</v>
      </c>
      <c r="H879">
        <v>2444</v>
      </c>
      <c r="I879">
        <v>2444</v>
      </c>
      <c r="J879">
        <v>2433</v>
      </c>
      <c r="K879">
        <v>2417</v>
      </c>
      <c r="L879">
        <v>2424</v>
      </c>
      <c r="M879">
        <v>2443</v>
      </c>
      <c r="N879">
        <v>2445</v>
      </c>
      <c r="O879" s="173">
        <f t="shared" si="177"/>
        <v>2416.8333333333335</v>
      </c>
      <c r="P879" s="173">
        <f t="shared" si="178"/>
        <v>51.75</v>
      </c>
      <c r="Q879" s="177">
        <f t="shared" si="179"/>
        <v>2.1880835770409779E-2</v>
      </c>
    </row>
    <row r="880" spans="1:18" x14ac:dyDescent="0.2">
      <c r="B880" t="s">
        <v>293</v>
      </c>
      <c r="C880">
        <v>2453</v>
      </c>
      <c r="D880">
        <v>2437</v>
      </c>
      <c r="E880">
        <v>2420</v>
      </c>
      <c r="F880">
        <v>2487</v>
      </c>
      <c r="G880">
        <v>2437</v>
      </c>
      <c r="H880">
        <v>2479</v>
      </c>
      <c r="I880">
        <v>2466</v>
      </c>
      <c r="J880">
        <v>2488</v>
      </c>
      <c r="K880">
        <v>2477</v>
      </c>
      <c r="L880">
        <v>2562</v>
      </c>
      <c r="M880">
        <v>2557</v>
      </c>
      <c r="N880">
        <v>2455</v>
      </c>
      <c r="O880" s="173">
        <f t="shared" si="177"/>
        <v>2476.5</v>
      </c>
      <c r="P880" s="173">
        <f t="shared" si="178"/>
        <v>59.666666666666515</v>
      </c>
      <c r="Q880" s="177">
        <f t="shared" si="179"/>
        <v>2.4687952554996142E-2</v>
      </c>
    </row>
    <row r="881" spans="1:17" x14ac:dyDescent="0.2">
      <c r="B881" t="s">
        <v>294</v>
      </c>
      <c r="C881">
        <v>2495</v>
      </c>
      <c r="D881">
        <v>2542</v>
      </c>
      <c r="E881">
        <v>2644</v>
      </c>
      <c r="F881">
        <v>2580</v>
      </c>
      <c r="G881">
        <v>2273</v>
      </c>
      <c r="H881">
        <v>2302</v>
      </c>
      <c r="I881">
        <v>2395</v>
      </c>
      <c r="J881">
        <v>2404</v>
      </c>
      <c r="K881">
        <v>2394</v>
      </c>
      <c r="L881">
        <v>2426</v>
      </c>
      <c r="M881">
        <v>2689</v>
      </c>
      <c r="N881">
        <v>2739</v>
      </c>
      <c r="O881" s="173">
        <f t="shared" si="177"/>
        <v>2490.25</v>
      </c>
      <c r="P881" s="173">
        <f t="shared" si="178"/>
        <v>13.75</v>
      </c>
      <c r="Q881" s="177">
        <f t="shared" ref="Q881:Q886" si="180">SUM(P881/O880)</f>
        <v>5.5521905915606705E-3</v>
      </c>
    </row>
    <row r="882" spans="1:17" x14ac:dyDescent="0.2">
      <c r="B882" t="s">
        <v>295</v>
      </c>
      <c r="C882">
        <v>2704</v>
      </c>
      <c r="D882">
        <v>2698</v>
      </c>
      <c r="E882">
        <v>2694</v>
      </c>
      <c r="F882">
        <v>2677</v>
      </c>
      <c r="G882">
        <v>2732</v>
      </c>
      <c r="H882">
        <v>2755</v>
      </c>
      <c r="I882">
        <v>2778</v>
      </c>
      <c r="J882">
        <v>2778</v>
      </c>
      <c r="K882">
        <v>2775</v>
      </c>
      <c r="L882">
        <v>2782</v>
      </c>
      <c r="M882">
        <v>2819</v>
      </c>
      <c r="N882">
        <v>2864</v>
      </c>
      <c r="O882" s="173">
        <f t="shared" si="177"/>
        <v>2754.6666666666665</v>
      </c>
      <c r="P882" s="173">
        <f t="shared" si="178"/>
        <v>264.41666666666652</v>
      </c>
      <c r="Q882" s="177">
        <f t="shared" si="180"/>
        <v>0.10618077167620379</v>
      </c>
    </row>
    <row r="883" spans="1:17" x14ac:dyDescent="0.2">
      <c r="B883" t="s">
        <v>335</v>
      </c>
      <c r="C883">
        <v>2871</v>
      </c>
      <c r="D883">
        <v>2904</v>
      </c>
      <c r="E883">
        <v>2884</v>
      </c>
      <c r="F883">
        <v>2895</v>
      </c>
      <c r="G883">
        <v>2826</v>
      </c>
      <c r="H883">
        <v>2865</v>
      </c>
      <c r="I883">
        <v>2853</v>
      </c>
      <c r="J883">
        <v>2903</v>
      </c>
      <c r="K883">
        <v>2885</v>
      </c>
      <c r="L883">
        <v>2910</v>
      </c>
      <c r="M883">
        <v>2930</v>
      </c>
      <c r="N883">
        <v>2884</v>
      </c>
      <c r="O883" s="173">
        <f t="shared" si="177"/>
        <v>2884.1666666666665</v>
      </c>
      <c r="P883" s="173">
        <f>SUM(O883-O882)</f>
        <v>129.5</v>
      </c>
      <c r="Q883" s="177">
        <f t="shared" si="180"/>
        <v>4.7011132623426911E-2</v>
      </c>
    </row>
    <row r="884" spans="1:17" x14ac:dyDescent="0.2">
      <c r="B884" t="s">
        <v>358</v>
      </c>
      <c r="C884">
        <v>2896</v>
      </c>
      <c r="D884">
        <v>2980</v>
      </c>
      <c r="E884">
        <v>2969</v>
      </c>
      <c r="F884">
        <v>2961</v>
      </c>
      <c r="G884">
        <v>3022</v>
      </c>
      <c r="H884">
        <v>3037</v>
      </c>
      <c r="I884">
        <v>3049</v>
      </c>
      <c r="J884">
        <v>3076</v>
      </c>
      <c r="K884">
        <v>3088</v>
      </c>
      <c r="L884">
        <v>3074</v>
      </c>
      <c r="M884">
        <v>3058</v>
      </c>
      <c r="N884">
        <v>2954</v>
      </c>
      <c r="O884" s="173">
        <f t="shared" si="177"/>
        <v>3013.6666666666665</v>
      </c>
      <c r="P884" s="173">
        <f>SUM(O884-O883)</f>
        <v>129.5</v>
      </c>
      <c r="Q884" s="177">
        <f t="shared" si="180"/>
        <v>4.4900317827217567E-2</v>
      </c>
    </row>
    <row r="885" spans="1:17" x14ac:dyDescent="0.2">
      <c r="B885" t="s">
        <v>437</v>
      </c>
      <c r="C885">
        <v>3027</v>
      </c>
      <c r="D885">
        <v>3039</v>
      </c>
      <c r="E885">
        <v>3034</v>
      </c>
      <c r="F885">
        <v>3040</v>
      </c>
      <c r="G885">
        <v>3022</v>
      </c>
      <c r="H885">
        <v>3057</v>
      </c>
      <c r="I885">
        <v>3074</v>
      </c>
      <c r="J885">
        <v>3088</v>
      </c>
      <c r="K885">
        <v>3056</v>
      </c>
      <c r="L885">
        <v>3094</v>
      </c>
      <c r="M885">
        <v>3138</v>
      </c>
      <c r="N885">
        <v>3130</v>
      </c>
      <c r="O885" s="173">
        <f t="shared" si="177"/>
        <v>3066.5833333333335</v>
      </c>
      <c r="P885" s="173">
        <f>SUM(O885-O884)</f>
        <v>52.91666666666697</v>
      </c>
      <c r="Q885" s="177">
        <f t="shared" si="180"/>
        <v>1.7558898351952318E-2</v>
      </c>
    </row>
    <row r="886" spans="1:17" x14ac:dyDescent="0.2">
      <c r="B886" t="s">
        <v>471</v>
      </c>
      <c r="C886">
        <v>3123</v>
      </c>
      <c r="D886">
        <v>3065</v>
      </c>
      <c r="E886">
        <v>3115</v>
      </c>
      <c r="F886">
        <v>3134</v>
      </c>
      <c r="G886">
        <v>3160</v>
      </c>
      <c r="H886">
        <v>3165</v>
      </c>
      <c r="I886">
        <v>3166</v>
      </c>
      <c r="J886">
        <v>3187</v>
      </c>
      <c r="K886">
        <v>3069</v>
      </c>
      <c r="L886">
        <v>3020</v>
      </c>
      <c r="M886">
        <v>3040</v>
      </c>
      <c r="N886">
        <v>3070</v>
      </c>
      <c r="O886" s="173">
        <f t="shared" si="177"/>
        <v>3109.5</v>
      </c>
      <c r="P886" s="173">
        <f>SUM(O886-O885)</f>
        <v>42.916666666666515</v>
      </c>
      <c r="Q886" s="177">
        <f t="shared" si="180"/>
        <v>1.3994945514823722E-2</v>
      </c>
    </row>
    <row r="887" spans="1:17" x14ac:dyDescent="0.2">
      <c r="B887" t="s">
        <v>537</v>
      </c>
      <c r="C887">
        <v>3068</v>
      </c>
      <c r="D887">
        <v>3065</v>
      </c>
      <c r="E887">
        <v>3103</v>
      </c>
      <c r="F887">
        <v>3034</v>
      </c>
      <c r="G887">
        <v>3036</v>
      </c>
      <c r="H887">
        <v>3045</v>
      </c>
      <c r="I887">
        <v>3049</v>
      </c>
      <c r="J887">
        <v>3041</v>
      </c>
      <c r="K887">
        <v>2986</v>
      </c>
      <c r="L887">
        <v>2936</v>
      </c>
      <c r="M887">
        <v>2897</v>
      </c>
      <c r="N887">
        <v>2906</v>
      </c>
      <c r="O887" s="173">
        <f t="shared" si="177"/>
        <v>3013.8333333333335</v>
      </c>
      <c r="P887" s="173">
        <f>SUM(O887-O886)</f>
        <v>-95.666666666666515</v>
      </c>
      <c r="Q887" s="177">
        <f>SUM(P887/O886)</f>
        <v>-3.0765932357828114E-2</v>
      </c>
    </row>
    <row r="888" spans="1:17" x14ac:dyDescent="0.2">
      <c r="O888" s="173"/>
      <c r="P888" s="173"/>
      <c r="Q888" s="177"/>
    </row>
    <row r="889" spans="1:17" ht="25.5" x14ac:dyDescent="0.2">
      <c r="A889" s="175" t="s">
        <v>438</v>
      </c>
      <c r="B889" s="653" t="s">
        <v>418</v>
      </c>
      <c r="C889" s="654" t="s">
        <v>419</v>
      </c>
      <c r="D889" s="654" t="s">
        <v>420</v>
      </c>
      <c r="E889" s="654" t="s">
        <v>421</v>
      </c>
      <c r="F889" s="654" t="s">
        <v>422</v>
      </c>
      <c r="G889" s="654" t="s">
        <v>423</v>
      </c>
      <c r="H889" s="654" t="s">
        <v>424</v>
      </c>
      <c r="I889" s="654" t="s">
        <v>425</v>
      </c>
      <c r="J889" s="654" t="s">
        <v>426</v>
      </c>
      <c r="K889" s="654" t="s">
        <v>427</v>
      </c>
      <c r="L889" s="654" t="s">
        <v>428</v>
      </c>
      <c r="M889" s="654" t="s">
        <v>429</v>
      </c>
      <c r="N889" s="654" t="s">
        <v>430</v>
      </c>
    </row>
    <row r="890" spans="1:17" x14ac:dyDescent="0.2">
      <c r="B890" t="s">
        <v>434</v>
      </c>
      <c r="C890">
        <v>83</v>
      </c>
      <c r="D890">
        <v>80</v>
      </c>
      <c r="E890">
        <v>74</v>
      </c>
      <c r="F890">
        <v>78</v>
      </c>
      <c r="G890">
        <v>79</v>
      </c>
      <c r="H890">
        <v>81</v>
      </c>
      <c r="I890">
        <v>82</v>
      </c>
      <c r="J890">
        <v>83</v>
      </c>
      <c r="K890">
        <v>82</v>
      </c>
      <c r="L890">
        <v>83</v>
      </c>
      <c r="M890">
        <v>85</v>
      </c>
      <c r="N890">
        <v>87</v>
      </c>
      <c r="O890" s="173">
        <f t="shared" ref="O890:O898" si="181">SUM(C890:N890)/12</f>
        <v>81.416666666666671</v>
      </c>
      <c r="P890" s="173"/>
    </row>
    <row r="891" spans="1:17" x14ac:dyDescent="0.2">
      <c r="B891" t="s">
        <v>435</v>
      </c>
      <c r="C891">
        <v>92</v>
      </c>
      <c r="D891">
        <v>93</v>
      </c>
      <c r="E891">
        <v>94</v>
      </c>
      <c r="F891">
        <v>97</v>
      </c>
      <c r="G891">
        <v>98</v>
      </c>
      <c r="H891">
        <v>95</v>
      </c>
      <c r="I891">
        <v>89</v>
      </c>
      <c r="J891">
        <v>93</v>
      </c>
      <c r="K891">
        <v>90</v>
      </c>
      <c r="L891">
        <v>97</v>
      </c>
      <c r="M891">
        <v>99</v>
      </c>
      <c r="N891">
        <v>92</v>
      </c>
      <c r="O891" s="173">
        <f t="shared" si="181"/>
        <v>94.083333333333329</v>
      </c>
      <c r="P891" s="173">
        <f t="shared" ref="P891:P898" si="182">SUM(O891-O890)</f>
        <v>12.666666666666657</v>
      </c>
      <c r="Q891" s="177">
        <f t="shared" ref="Q891:Q897" si="183">SUM(P891/O890)</f>
        <v>0.15557830092118718</v>
      </c>
    </row>
    <row r="892" spans="1:17" x14ac:dyDescent="0.2">
      <c r="B892" t="s">
        <v>436</v>
      </c>
      <c r="C892">
        <v>90</v>
      </c>
      <c r="D892">
        <v>91</v>
      </c>
      <c r="E892">
        <v>92</v>
      </c>
      <c r="F892">
        <v>100</v>
      </c>
      <c r="G892">
        <v>99</v>
      </c>
      <c r="H892">
        <v>111</v>
      </c>
      <c r="I892">
        <v>102</v>
      </c>
      <c r="J892">
        <v>94</v>
      </c>
      <c r="K892">
        <v>96</v>
      </c>
      <c r="L892">
        <v>98</v>
      </c>
      <c r="M892">
        <v>93</v>
      </c>
      <c r="N892">
        <v>89</v>
      </c>
      <c r="O892" s="173">
        <f t="shared" si="181"/>
        <v>96.25</v>
      </c>
      <c r="P892" s="173">
        <f t="shared" si="182"/>
        <v>2.1666666666666714</v>
      </c>
      <c r="Q892" s="177">
        <f t="shared" si="183"/>
        <v>2.3029229406554524E-2</v>
      </c>
    </row>
    <row r="893" spans="1:17" x14ac:dyDescent="0.2">
      <c r="B893" t="s">
        <v>260</v>
      </c>
      <c r="C893">
        <v>72</v>
      </c>
      <c r="D893">
        <v>74</v>
      </c>
      <c r="E893">
        <v>73</v>
      </c>
      <c r="F893">
        <v>73</v>
      </c>
      <c r="G893">
        <v>73</v>
      </c>
      <c r="H893">
        <v>73</v>
      </c>
      <c r="I893">
        <v>73</v>
      </c>
      <c r="J893">
        <v>65</v>
      </c>
      <c r="K893">
        <v>65</v>
      </c>
      <c r="L893">
        <v>65</v>
      </c>
      <c r="M893">
        <v>65</v>
      </c>
      <c r="N893">
        <v>60</v>
      </c>
      <c r="O893" s="173">
        <f t="shared" si="181"/>
        <v>69.25</v>
      </c>
      <c r="P893" s="173">
        <f t="shared" si="182"/>
        <v>-27</v>
      </c>
      <c r="Q893" s="177">
        <f t="shared" si="183"/>
        <v>-0.2805194805194805</v>
      </c>
    </row>
    <row r="894" spans="1:17" x14ac:dyDescent="0.2">
      <c r="B894" t="s">
        <v>259</v>
      </c>
      <c r="C894">
        <v>59</v>
      </c>
      <c r="D894">
        <v>58</v>
      </c>
      <c r="E894">
        <v>59</v>
      </c>
      <c r="F894">
        <v>60</v>
      </c>
      <c r="G894">
        <v>56</v>
      </c>
      <c r="H894">
        <v>54</v>
      </c>
      <c r="I894">
        <v>54</v>
      </c>
      <c r="J894">
        <v>51</v>
      </c>
      <c r="K894">
        <v>53</v>
      </c>
      <c r="L894">
        <v>59</v>
      </c>
      <c r="M894">
        <v>64</v>
      </c>
      <c r="N894">
        <v>62</v>
      </c>
      <c r="O894" s="173">
        <f t="shared" si="181"/>
        <v>57.416666666666664</v>
      </c>
      <c r="P894" s="173">
        <f t="shared" si="182"/>
        <v>-11.833333333333336</v>
      </c>
      <c r="Q894" s="177">
        <f t="shared" si="183"/>
        <v>-0.17087845968712398</v>
      </c>
    </row>
    <row r="895" spans="1:17" x14ac:dyDescent="0.2">
      <c r="B895" t="s">
        <v>280</v>
      </c>
      <c r="C895">
        <v>66</v>
      </c>
      <c r="D895">
        <v>68</v>
      </c>
      <c r="E895">
        <v>66</v>
      </c>
      <c r="F895">
        <v>65</v>
      </c>
      <c r="G895">
        <v>63</v>
      </c>
      <c r="H895">
        <v>68</v>
      </c>
      <c r="I895">
        <v>63</v>
      </c>
      <c r="J895">
        <v>57</v>
      </c>
      <c r="K895">
        <v>45</v>
      </c>
      <c r="L895">
        <v>45</v>
      </c>
      <c r="M895">
        <v>47</v>
      </c>
      <c r="N895">
        <v>49</v>
      </c>
      <c r="O895" s="173">
        <f t="shared" si="181"/>
        <v>58.5</v>
      </c>
      <c r="P895" s="173">
        <f t="shared" si="182"/>
        <v>1.0833333333333357</v>
      </c>
      <c r="Q895" s="177">
        <f t="shared" si="183"/>
        <v>1.8867924528301928E-2</v>
      </c>
    </row>
    <row r="896" spans="1:17" x14ac:dyDescent="0.2">
      <c r="B896" t="s">
        <v>290</v>
      </c>
      <c r="C896">
        <v>47</v>
      </c>
      <c r="D896">
        <v>45</v>
      </c>
      <c r="E896">
        <v>45</v>
      </c>
      <c r="F896">
        <v>47</v>
      </c>
      <c r="G896">
        <v>47</v>
      </c>
      <c r="H896">
        <v>42</v>
      </c>
      <c r="I896">
        <v>40</v>
      </c>
      <c r="J896">
        <v>42</v>
      </c>
      <c r="K896">
        <v>47</v>
      </c>
      <c r="L896">
        <v>46</v>
      </c>
      <c r="M896">
        <v>41</v>
      </c>
      <c r="N896">
        <v>39</v>
      </c>
      <c r="O896" s="173">
        <f t="shared" si="181"/>
        <v>44</v>
      </c>
      <c r="P896" s="173">
        <f t="shared" si="182"/>
        <v>-14.5</v>
      </c>
      <c r="Q896" s="177">
        <f t="shared" si="183"/>
        <v>-0.24786324786324787</v>
      </c>
    </row>
    <row r="897" spans="1:17" x14ac:dyDescent="0.2">
      <c r="B897" t="s">
        <v>293</v>
      </c>
      <c r="C897">
        <v>40</v>
      </c>
      <c r="D897">
        <v>40</v>
      </c>
      <c r="E897">
        <v>40</v>
      </c>
      <c r="F897">
        <v>43</v>
      </c>
      <c r="G897">
        <v>37</v>
      </c>
      <c r="H897">
        <v>38</v>
      </c>
      <c r="I897">
        <v>37</v>
      </c>
      <c r="J897">
        <v>39</v>
      </c>
      <c r="K897">
        <v>41</v>
      </c>
      <c r="L897">
        <v>51</v>
      </c>
      <c r="M897">
        <v>50</v>
      </c>
      <c r="N897">
        <v>37</v>
      </c>
      <c r="O897" s="173">
        <f t="shared" si="181"/>
        <v>41.083333333333336</v>
      </c>
      <c r="P897" s="173">
        <f t="shared" si="182"/>
        <v>-2.9166666666666643</v>
      </c>
      <c r="Q897" s="177">
        <f t="shared" si="183"/>
        <v>-6.6287878787878729E-2</v>
      </c>
    </row>
    <row r="898" spans="1:17" x14ac:dyDescent="0.2">
      <c r="B898" t="s">
        <v>294</v>
      </c>
      <c r="C898">
        <v>39</v>
      </c>
      <c r="D898">
        <v>39</v>
      </c>
      <c r="E898">
        <v>44</v>
      </c>
      <c r="F898">
        <v>39</v>
      </c>
      <c r="G898">
        <v>42</v>
      </c>
      <c r="H898">
        <v>41</v>
      </c>
      <c r="I898">
        <v>40</v>
      </c>
      <c r="J898">
        <v>37</v>
      </c>
      <c r="K898">
        <v>36</v>
      </c>
      <c r="L898">
        <v>36</v>
      </c>
      <c r="M898">
        <v>40</v>
      </c>
      <c r="N898">
        <v>41</v>
      </c>
      <c r="O898" s="173">
        <f t="shared" si="181"/>
        <v>39.5</v>
      </c>
      <c r="P898" s="173">
        <f t="shared" si="182"/>
        <v>-1.5833333333333357</v>
      </c>
      <c r="Q898" s="177">
        <f t="shared" ref="Q898:Q904" si="184">SUM(P898/O897)</f>
        <v>-3.8539553752535552E-2</v>
      </c>
    </row>
    <row r="899" spans="1:17" x14ac:dyDescent="0.2">
      <c r="B899" t="s">
        <v>295</v>
      </c>
      <c r="C899">
        <v>32</v>
      </c>
      <c r="D899">
        <v>34</v>
      </c>
      <c r="E899">
        <v>31</v>
      </c>
      <c r="F899">
        <v>32</v>
      </c>
      <c r="G899">
        <v>33</v>
      </c>
      <c r="H899">
        <v>31</v>
      </c>
      <c r="I899">
        <v>31</v>
      </c>
      <c r="J899">
        <v>31</v>
      </c>
      <c r="K899">
        <v>34</v>
      </c>
      <c r="L899">
        <v>36</v>
      </c>
      <c r="M899">
        <v>40</v>
      </c>
      <c r="N899">
        <v>39</v>
      </c>
      <c r="O899" s="173">
        <f>SUM(C899:N899)/12</f>
        <v>33.666666666666664</v>
      </c>
      <c r="P899" s="173">
        <f t="shared" ref="P899:P904" si="185">SUM(O899-O898)</f>
        <v>-5.8333333333333357</v>
      </c>
      <c r="Q899" s="177">
        <f t="shared" si="184"/>
        <v>-0.14767932489451482</v>
      </c>
    </row>
    <row r="900" spans="1:17" x14ac:dyDescent="0.2">
      <c r="B900" t="s">
        <v>335</v>
      </c>
      <c r="C900">
        <v>43</v>
      </c>
      <c r="D900">
        <v>43</v>
      </c>
      <c r="E900">
        <v>41</v>
      </c>
      <c r="F900">
        <v>0</v>
      </c>
      <c r="G900">
        <v>0</v>
      </c>
      <c r="H900">
        <v>0</v>
      </c>
      <c r="I900">
        <v>35</v>
      </c>
      <c r="J900">
        <v>35</v>
      </c>
      <c r="K900">
        <v>38</v>
      </c>
      <c r="L900">
        <v>36</v>
      </c>
      <c r="M900">
        <v>35</v>
      </c>
      <c r="N900">
        <v>32</v>
      </c>
      <c r="O900" s="173">
        <f>SUM(C900:N900)/9</f>
        <v>37.555555555555557</v>
      </c>
      <c r="P900" s="173">
        <f t="shared" si="185"/>
        <v>3.8888888888888928</v>
      </c>
      <c r="Q900" s="177">
        <f t="shared" si="184"/>
        <v>0.11551155115511563</v>
      </c>
    </row>
    <row r="901" spans="1:17" x14ac:dyDescent="0.2">
      <c r="B901" t="s">
        <v>358</v>
      </c>
      <c r="C901">
        <v>32</v>
      </c>
      <c r="D901">
        <v>33</v>
      </c>
      <c r="E901">
        <v>46</v>
      </c>
      <c r="F901">
        <v>60</v>
      </c>
      <c r="G901">
        <v>63</v>
      </c>
      <c r="H901">
        <v>62</v>
      </c>
      <c r="I901">
        <v>63</v>
      </c>
      <c r="J901">
        <v>64</v>
      </c>
      <c r="K901">
        <v>61</v>
      </c>
      <c r="L901">
        <v>60</v>
      </c>
      <c r="M901">
        <v>67</v>
      </c>
      <c r="N901">
        <v>70</v>
      </c>
      <c r="O901" s="173">
        <f>SUM(C901:N901)/12</f>
        <v>56.75</v>
      </c>
      <c r="P901" s="173">
        <f t="shared" si="185"/>
        <v>19.194444444444443</v>
      </c>
      <c r="Q901" s="177">
        <f t="shared" si="184"/>
        <v>0.51109467455621294</v>
      </c>
    </row>
    <row r="902" spans="1:17" x14ac:dyDescent="0.2">
      <c r="B902" t="s">
        <v>437</v>
      </c>
      <c r="C902">
        <v>68</v>
      </c>
      <c r="D902">
        <v>65</v>
      </c>
      <c r="E902">
        <v>62</v>
      </c>
      <c r="F902">
        <v>61</v>
      </c>
      <c r="G902">
        <v>65</v>
      </c>
      <c r="H902">
        <v>66</v>
      </c>
      <c r="I902">
        <v>68</v>
      </c>
      <c r="J902">
        <v>66</v>
      </c>
      <c r="K902">
        <v>70</v>
      </c>
      <c r="L902">
        <v>68</v>
      </c>
      <c r="M902">
        <v>65</v>
      </c>
      <c r="N902">
        <v>68</v>
      </c>
      <c r="O902" s="173">
        <f>SUM(C902:N902)/12</f>
        <v>66</v>
      </c>
      <c r="P902" s="173">
        <f t="shared" si="185"/>
        <v>9.25</v>
      </c>
      <c r="Q902" s="177">
        <f t="shared" si="184"/>
        <v>0.16299559471365638</v>
      </c>
    </row>
    <row r="903" spans="1:17" x14ac:dyDescent="0.2">
      <c r="B903" t="s">
        <v>471</v>
      </c>
      <c r="C903">
        <v>70</v>
      </c>
      <c r="D903">
        <v>71</v>
      </c>
      <c r="E903">
        <v>74</v>
      </c>
      <c r="F903">
        <v>74</v>
      </c>
      <c r="G903">
        <v>74</v>
      </c>
      <c r="H903">
        <v>79</v>
      </c>
      <c r="I903">
        <v>77</v>
      </c>
      <c r="J903">
        <v>80</v>
      </c>
      <c r="K903">
        <v>70</v>
      </c>
      <c r="L903">
        <v>66</v>
      </c>
      <c r="M903">
        <v>65</v>
      </c>
      <c r="N903">
        <v>57</v>
      </c>
      <c r="O903" s="173">
        <f>SUM(C903:N903)/12</f>
        <v>71.416666666666671</v>
      </c>
      <c r="P903" s="173">
        <f t="shared" si="185"/>
        <v>5.4166666666666714</v>
      </c>
      <c r="Q903" s="177">
        <f t="shared" si="184"/>
        <v>8.2070707070707141E-2</v>
      </c>
    </row>
    <row r="904" spans="1:17" x14ac:dyDescent="0.2">
      <c r="B904" t="s">
        <v>537</v>
      </c>
      <c r="C904">
        <v>55</v>
      </c>
      <c r="D904">
        <v>70</v>
      </c>
      <c r="E904">
        <v>75</v>
      </c>
      <c r="F904">
        <v>77</v>
      </c>
      <c r="G904">
        <v>78</v>
      </c>
      <c r="H904">
        <v>51</v>
      </c>
      <c r="I904">
        <v>46</v>
      </c>
      <c r="J904">
        <v>50</v>
      </c>
      <c r="K904">
        <v>52</v>
      </c>
      <c r="L904">
        <v>52</v>
      </c>
      <c r="M904">
        <v>53</v>
      </c>
      <c r="N904">
        <v>59</v>
      </c>
      <c r="O904" s="173">
        <f>SUM(C904:N904)/12</f>
        <v>59.833333333333336</v>
      </c>
      <c r="P904" s="173">
        <f t="shared" si="185"/>
        <v>-11.583333333333336</v>
      </c>
      <c r="Q904" s="177">
        <f t="shared" si="184"/>
        <v>-0.16219369894982499</v>
      </c>
    </row>
    <row r="905" spans="1:17" x14ac:dyDescent="0.2">
      <c r="O905" s="173"/>
      <c r="P905" s="173"/>
      <c r="Q905" s="177"/>
    </row>
    <row r="906" spans="1:17" ht="25.5" x14ac:dyDescent="0.2">
      <c r="A906" s="175" t="s">
        <v>439</v>
      </c>
      <c r="B906" s="653" t="s">
        <v>418</v>
      </c>
      <c r="C906" s="654" t="s">
        <v>419</v>
      </c>
      <c r="D906" s="654" t="s">
        <v>420</v>
      </c>
      <c r="E906" s="654" t="s">
        <v>421</v>
      </c>
      <c r="F906" s="654" t="s">
        <v>422</v>
      </c>
      <c r="G906" s="654" t="s">
        <v>423</v>
      </c>
      <c r="H906" s="654" t="s">
        <v>424</v>
      </c>
      <c r="I906" s="654" t="s">
        <v>425</v>
      </c>
      <c r="J906" s="654" t="s">
        <v>426</v>
      </c>
      <c r="K906" s="654" t="s">
        <v>427</v>
      </c>
      <c r="L906" s="654" t="s">
        <v>428</v>
      </c>
      <c r="M906" s="654" t="s">
        <v>429</v>
      </c>
      <c r="N906" s="654" t="s">
        <v>430</v>
      </c>
    </row>
    <row r="907" spans="1:17" x14ac:dyDescent="0.2">
      <c r="B907" t="s">
        <v>434</v>
      </c>
      <c r="C907">
        <v>305</v>
      </c>
      <c r="D907">
        <v>299</v>
      </c>
      <c r="E907">
        <v>289</v>
      </c>
      <c r="F907">
        <v>276</v>
      </c>
      <c r="G907">
        <v>277</v>
      </c>
      <c r="H907">
        <v>295</v>
      </c>
      <c r="I907">
        <v>283</v>
      </c>
      <c r="J907">
        <v>273</v>
      </c>
      <c r="K907">
        <v>259</v>
      </c>
      <c r="L907">
        <v>249</v>
      </c>
      <c r="M907">
        <v>241</v>
      </c>
      <c r="N907">
        <v>237</v>
      </c>
      <c r="O907" s="173">
        <f t="shared" ref="O907:O921" si="186">SUM(C907:N907)/12</f>
        <v>273.58333333333331</v>
      </c>
      <c r="P907" s="173"/>
    </row>
    <row r="908" spans="1:17" x14ac:dyDescent="0.2">
      <c r="B908" t="s">
        <v>435</v>
      </c>
      <c r="C908">
        <v>237</v>
      </c>
      <c r="D908">
        <v>230</v>
      </c>
      <c r="E908">
        <v>230</v>
      </c>
      <c r="F908">
        <v>230</v>
      </c>
      <c r="G908">
        <v>231</v>
      </c>
      <c r="H908">
        <v>215</v>
      </c>
      <c r="I908">
        <v>218</v>
      </c>
      <c r="J908">
        <v>212</v>
      </c>
      <c r="K908">
        <v>214</v>
      </c>
      <c r="L908">
        <v>217</v>
      </c>
      <c r="M908">
        <v>220</v>
      </c>
      <c r="N908">
        <v>218</v>
      </c>
      <c r="O908" s="173">
        <f t="shared" si="186"/>
        <v>222.66666666666666</v>
      </c>
      <c r="P908" s="173">
        <f t="shared" ref="P908:P915" si="187">SUM(O908-O907)</f>
        <v>-50.916666666666657</v>
      </c>
      <c r="Q908" s="177">
        <f t="shared" ref="Q908:Q914" si="188">SUM(P908/O907)</f>
        <v>-0.18611026500152297</v>
      </c>
    </row>
    <row r="909" spans="1:17" x14ac:dyDescent="0.2">
      <c r="B909" t="s">
        <v>436</v>
      </c>
      <c r="C909">
        <v>231</v>
      </c>
      <c r="D909">
        <v>230</v>
      </c>
      <c r="E909">
        <v>234</v>
      </c>
      <c r="F909">
        <v>229</v>
      </c>
      <c r="G909">
        <v>230</v>
      </c>
      <c r="H909">
        <v>240</v>
      </c>
      <c r="I909">
        <v>245</v>
      </c>
      <c r="J909">
        <v>250</v>
      </c>
      <c r="K909">
        <v>255</v>
      </c>
      <c r="L909">
        <v>260</v>
      </c>
      <c r="M909">
        <v>265</v>
      </c>
      <c r="N909">
        <v>270</v>
      </c>
      <c r="O909" s="173">
        <f t="shared" si="186"/>
        <v>244.91666666666666</v>
      </c>
      <c r="P909" s="173">
        <f t="shared" si="187"/>
        <v>22.25</v>
      </c>
      <c r="Q909" s="177">
        <f t="shared" si="188"/>
        <v>9.9925149700598806E-2</v>
      </c>
    </row>
    <row r="910" spans="1:17" x14ac:dyDescent="0.2">
      <c r="B910" t="s">
        <v>260</v>
      </c>
      <c r="C910">
        <v>280</v>
      </c>
      <c r="D910">
        <v>237</v>
      </c>
      <c r="E910">
        <v>253</v>
      </c>
      <c r="F910">
        <v>253</v>
      </c>
      <c r="G910">
        <v>253</v>
      </c>
      <c r="H910">
        <v>253</v>
      </c>
      <c r="I910">
        <v>253</v>
      </c>
      <c r="J910">
        <v>253</v>
      </c>
      <c r="K910">
        <v>253</v>
      </c>
      <c r="L910">
        <v>260</v>
      </c>
      <c r="M910">
        <v>265</v>
      </c>
      <c r="N910">
        <v>270</v>
      </c>
      <c r="O910" s="173">
        <f t="shared" si="186"/>
        <v>256.91666666666669</v>
      </c>
      <c r="P910" s="173">
        <f t="shared" si="187"/>
        <v>12.000000000000028</v>
      </c>
      <c r="Q910" s="177">
        <f t="shared" si="188"/>
        <v>4.899625723035058E-2</v>
      </c>
    </row>
    <row r="911" spans="1:17" x14ac:dyDescent="0.2">
      <c r="B911" t="s">
        <v>259</v>
      </c>
      <c r="C911">
        <v>288</v>
      </c>
      <c r="D911">
        <v>261</v>
      </c>
      <c r="E911">
        <v>258</v>
      </c>
      <c r="F911">
        <v>267</v>
      </c>
      <c r="G911">
        <v>259</v>
      </c>
      <c r="H911">
        <v>267</v>
      </c>
      <c r="I911">
        <v>272</v>
      </c>
      <c r="J911">
        <v>273</v>
      </c>
      <c r="K911">
        <v>300</v>
      </c>
      <c r="L911">
        <v>296</v>
      </c>
      <c r="M911">
        <v>319</v>
      </c>
      <c r="N911">
        <v>317</v>
      </c>
      <c r="O911" s="173">
        <f t="shared" si="186"/>
        <v>281.41666666666669</v>
      </c>
      <c r="P911" s="173">
        <f t="shared" si="187"/>
        <v>24.5</v>
      </c>
      <c r="Q911" s="177">
        <f t="shared" si="188"/>
        <v>9.5361660720077845E-2</v>
      </c>
    </row>
    <row r="912" spans="1:17" x14ac:dyDescent="0.2">
      <c r="B912" t="s">
        <v>280</v>
      </c>
      <c r="C912">
        <v>297</v>
      </c>
      <c r="D912">
        <v>306</v>
      </c>
      <c r="E912">
        <v>312</v>
      </c>
      <c r="F912">
        <v>311</v>
      </c>
      <c r="G912">
        <v>312</v>
      </c>
      <c r="H912">
        <v>252</v>
      </c>
      <c r="I912">
        <v>312</v>
      </c>
      <c r="J912">
        <v>314</v>
      </c>
      <c r="K912">
        <v>316</v>
      </c>
      <c r="L912">
        <v>235</v>
      </c>
      <c r="M912">
        <v>248</v>
      </c>
      <c r="N912">
        <v>323</v>
      </c>
      <c r="O912" s="173">
        <f t="shared" si="186"/>
        <v>294.83333333333331</v>
      </c>
      <c r="P912" s="173">
        <f t="shared" si="187"/>
        <v>13.416666666666629</v>
      </c>
      <c r="Q912" s="177">
        <f t="shared" si="188"/>
        <v>4.7675451584246235E-2</v>
      </c>
    </row>
    <row r="913" spans="1:18" x14ac:dyDescent="0.2">
      <c r="B913" t="s">
        <v>290</v>
      </c>
      <c r="C913">
        <v>322</v>
      </c>
      <c r="D913">
        <v>318</v>
      </c>
      <c r="E913">
        <v>302</v>
      </c>
      <c r="F913">
        <v>299</v>
      </c>
      <c r="G913">
        <v>301</v>
      </c>
      <c r="H913">
        <v>296</v>
      </c>
      <c r="I913">
        <v>286</v>
      </c>
      <c r="J913">
        <v>290</v>
      </c>
      <c r="K913">
        <v>283</v>
      </c>
      <c r="L913">
        <v>284</v>
      </c>
      <c r="M913">
        <v>289</v>
      </c>
      <c r="N913">
        <v>279</v>
      </c>
      <c r="O913" s="173">
        <f t="shared" si="186"/>
        <v>295.75</v>
      </c>
      <c r="P913" s="173">
        <f t="shared" si="187"/>
        <v>0.91666666666668561</v>
      </c>
      <c r="Q913" s="177">
        <f t="shared" si="188"/>
        <v>3.109101187111427E-3</v>
      </c>
    </row>
    <row r="914" spans="1:18" x14ac:dyDescent="0.2">
      <c r="B914" t="s">
        <v>293</v>
      </c>
      <c r="C914">
        <v>278</v>
      </c>
      <c r="D914">
        <v>270</v>
      </c>
      <c r="E914">
        <v>262</v>
      </c>
      <c r="F914">
        <v>253</v>
      </c>
      <c r="G914">
        <v>261</v>
      </c>
      <c r="H914">
        <v>259</v>
      </c>
      <c r="I914">
        <v>254</v>
      </c>
      <c r="J914">
        <v>255</v>
      </c>
      <c r="K914">
        <v>249</v>
      </c>
      <c r="L914">
        <v>267</v>
      </c>
      <c r="M914">
        <v>263</v>
      </c>
      <c r="N914">
        <v>250</v>
      </c>
      <c r="O914" s="173">
        <f t="shared" si="186"/>
        <v>260.08333333333331</v>
      </c>
      <c r="P914" s="173">
        <f t="shared" si="187"/>
        <v>-35.666666666666686</v>
      </c>
      <c r="Q914" s="177">
        <f t="shared" si="188"/>
        <v>-0.1205973513665822</v>
      </c>
    </row>
    <row r="915" spans="1:18" x14ac:dyDescent="0.2">
      <c r="B915" t="s">
        <v>294</v>
      </c>
      <c r="C915">
        <v>247</v>
      </c>
      <c r="D915">
        <v>250</v>
      </c>
      <c r="E915">
        <v>240</v>
      </c>
      <c r="F915">
        <v>238</v>
      </c>
      <c r="G915">
        <v>230</v>
      </c>
      <c r="H915">
        <v>228</v>
      </c>
      <c r="I915">
        <v>230</v>
      </c>
      <c r="J915">
        <v>228</v>
      </c>
      <c r="K915">
        <v>226</v>
      </c>
      <c r="L915">
        <v>224</v>
      </c>
      <c r="M915">
        <v>228</v>
      </c>
      <c r="N915">
        <v>233</v>
      </c>
      <c r="O915" s="173">
        <f t="shared" si="186"/>
        <v>233.5</v>
      </c>
      <c r="P915" s="173">
        <f t="shared" si="187"/>
        <v>-26.583333333333314</v>
      </c>
      <c r="Q915" s="177">
        <f t="shared" ref="Q915:Q921" si="189">SUM(P915/O914)</f>
        <v>-0.10221082986222359</v>
      </c>
    </row>
    <row r="916" spans="1:18" x14ac:dyDescent="0.2">
      <c r="B916" t="s">
        <v>295</v>
      </c>
      <c r="C916">
        <v>212</v>
      </c>
      <c r="D916">
        <v>216</v>
      </c>
      <c r="E916">
        <v>221</v>
      </c>
      <c r="F916">
        <v>228</v>
      </c>
      <c r="G916">
        <v>226</v>
      </c>
      <c r="H916">
        <v>230</v>
      </c>
      <c r="I916">
        <v>222</v>
      </c>
      <c r="J916">
        <v>225</v>
      </c>
      <c r="K916">
        <v>236</v>
      </c>
      <c r="L916">
        <v>242</v>
      </c>
      <c r="M916">
        <v>246</v>
      </c>
      <c r="N916">
        <v>252</v>
      </c>
      <c r="O916" s="173">
        <f t="shared" si="186"/>
        <v>229.66666666666666</v>
      </c>
      <c r="P916" s="173">
        <f t="shared" ref="P916:P921" si="190">SUM(O916-O915)</f>
        <v>-3.8333333333333428</v>
      </c>
      <c r="Q916" s="177">
        <f t="shared" si="189"/>
        <v>-1.6416845110635302E-2</v>
      </c>
    </row>
    <row r="917" spans="1:18" x14ac:dyDescent="0.2">
      <c r="B917" t="s">
        <v>335</v>
      </c>
      <c r="C917">
        <v>247</v>
      </c>
      <c r="D917">
        <v>248</v>
      </c>
      <c r="E917">
        <v>247</v>
      </c>
      <c r="F917">
        <v>247</v>
      </c>
      <c r="G917">
        <v>254</v>
      </c>
      <c r="H917">
        <v>258</v>
      </c>
      <c r="I917">
        <v>257</v>
      </c>
      <c r="J917">
        <v>255</v>
      </c>
      <c r="K917">
        <v>252</v>
      </c>
      <c r="L917">
        <v>251</v>
      </c>
      <c r="M917">
        <v>249</v>
      </c>
      <c r="N917">
        <v>259</v>
      </c>
      <c r="O917" s="173">
        <f t="shared" si="186"/>
        <v>252</v>
      </c>
      <c r="P917" s="173">
        <f t="shared" si="190"/>
        <v>22.333333333333343</v>
      </c>
      <c r="Q917" s="177">
        <f t="shared" si="189"/>
        <v>9.7242380261248235E-2</v>
      </c>
    </row>
    <row r="918" spans="1:18" x14ac:dyDescent="0.2">
      <c r="B918" t="s">
        <v>358</v>
      </c>
      <c r="C918">
        <v>264</v>
      </c>
      <c r="D918">
        <v>260</v>
      </c>
      <c r="E918">
        <v>262</v>
      </c>
      <c r="F918">
        <v>259</v>
      </c>
      <c r="G918">
        <v>247</v>
      </c>
      <c r="H918">
        <v>238</v>
      </c>
      <c r="I918">
        <v>224</v>
      </c>
      <c r="J918">
        <v>232</v>
      </c>
      <c r="K918">
        <v>239</v>
      </c>
      <c r="L918">
        <v>243</v>
      </c>
      <c r="M918">
        <v>246</v>
      </c>
      <c r="N918">
        <v>247</v>
      </c>
      <c r="O918" s="173">
        <f t="shared" si="186"/>
        <v>246.75</v>
      </c>
      <c r="P918" s="173">
        <f t="shared" si="190"/>
        <v>-5.25</v>
      </c>
      <c r="Q918" s="177">
        <f t="shared" si="189"/>
        <v>-2.0833333333333332E-2</v>
      </c>
      <c r="R918" t="s">
        <v>440</v>
      </c>
    </row>
    <row r="919" spans="1:18" x14ac:dyDescent="0.2">
      <c r="B919" t="s">
        <v>437</v>
      </c>
      <c r="C919">
        <v>257</v>
      </c>
      <c r="D919">
        <v>248</v>
      </c>
      <c r="E919">
        <v>250</v>
      </c>
      <c r="F919">
        <v>264</v>
      </c>
      <c r="G919">
        <v>265</v>
      </c>
      <c r="H919">
        <v>270</v>
      </c>
      <c r="I919">
        <v>279</v>
      </c>
      <c r="J919">
        <v>279</v>
      </c>
      <c r="K919">
        <v>266</v>
      </c>
      <c r="L919">
        <v>260</v>
      </c>
      <c r="M919">
        <v>260</v>
      </c>
      <c r="N919">
        <v>272</v>
      </c>
      <c r="O919" s="173">
        <f t="shared" si="186"/>
        <v>264.16666666666669</v>
      </c>
      <c r="P919" s="173">
        <f t="shared" si="190"/>
        <v>17.416666666666686</v>
      </c>
      <c r="Q919" s="177">
        <f t="shared" si="189"/>
        <v>7.0584262073623852E-2</v>
      </c>
    </row>
    <row r="920" spans="1:18" x14ac:dyDescent="0.2">
      <c r="B920" t="s">
        <v>471</v>
      </c>
      <c r="C920">
        <v>276</v>
      </c>
      <c r="D920">
        <v>277</v>
      </c>
      <c r="E920">
        <v>283</v>
      </c>
      <c r="F920">
        <v>298</v>
      </c>
      <c r="G920">
        <v>294</v>
      </c>
      <c r="H920">
        <v>295</v>
      </c>
      <c r="I920">
        <v>289</v>
      </c>
      <c r="J920">
        <v>284</v>
      </c>
      <c r="K920">
        <v>288</v>
      </c>
      <c r="L920">
        <v>290</v>
      </c>
      <c r="M920">
        <v>303</v>
      </c>
      <c r="N920">
        <v>300</v>
      </c>
      <c r="O920" s="173">
        <f t="shared" si="186"/>
        <v>289.75</v>
      </c>
      <c r="P920" s="173">
        <f t="shared" si="190"/>
        <v>25.583333333333314</v>
      </c>
      <c r="Q920" s="177">
        <f t="shared" si="189"/>
        <v>9.6845425867507814E-2</v>
      </c>
    </row>
    <row r="921" spans="1:18" x14ac:dyDescent="0.2">
      <c r="B921" t="s">
        <v>537</v>
      </c>
      <c r="C921">
        <v>305</v>
      </c>
      <c r="D921">
        <v>296</v>
      </c>
      <c r="E921">
        <v>293</v>
      </c>
      <c r="F921">
        <v>294</v>
      </c>
      <c r="G921">
        <v>286</v>
      </c>
      <c r="H921">
        <v>283</v>
      </c>
      <c r="I921">
        <v>274</v>
      </c>
      <c r="J921">
        <v>260</v>
      </c>
      <c r="K921">
        <v>259</v>
      </c>
      <c r="L921">
        <v>266</v>
      </c>
      <c r="M921">
        <v>259</v>
      </c>
      <c r="N921">
        <v>266</v>
      </c>
      <c r="O921" s="173">
        <f t="shared" si="186"/>
        <v>278.41666666666669</v>
      </c>
      <c r="P921" s="173">
        <f t="shared" si="190"/>
        <v>-11.333333333333314</v>
      </c>
      <c r="Q921" s="177">
        <f t="shared" si="189"/>
        <v>-3.9114178889847508E-2</v>
      </c>
    </row>
    <row r="922" spans="1:18" x14ac:dyDescent="0.2">
      <c r="O922" s="173"/>
      <c r="P922" s="173"/>
      <c r="Q922" s="177"/>
    </row>
    <row r="923" spans="1:18" x14ac:dyDescent="0.2">
      <c r="A923" s="178"/>
      <c r="B923" s="178"/>
      <c r="C923" s="178"/>
      <c r="D923" s="178"/>
      <c r="E923" s="178"/>
      <c r="F923" s="178"/>
      <c r="G923" s="178"/>
      <c r="H923" s="178"/>
      <c r="I923" s="178"/>
      <c r="J923" s="178"/>
      <c r="K923" s="178"/>
      <c r="L923" s="178"/>
      <c r="M923" s="178"/>
      <c r="N923" s="178"/>
      <c r="O923" s="178"/>
      <c r="P923" s="178"/>
      <c r="Q923" s="178"/>
    </row>
    <row r="924" spans="1:18" ht="25.5" x14ac:dyDescent="0.2">
      <c r="A924" s="175" t="s">
        <v>441</v>
      </c>
      <c r="B924" s="653" t="s">
        <v>418</v>
      </c>
      <c r="C924" s="654" t="s">
        <v>419</v>
      </c>
      <c r="D924" s="654" t="s">
        <v>420</v>
      </c>
      <c r="E924" s="654" t="s">
        <v>421</v>
      </c>
      <c r="F924" s="654" t="s">
        <v>422</v>
      </c>
      <c r="G924" s="654" t="s">
        <v>423</v>
      </c>
      <c r="H924" s="654" t="s">
        <v>424</v>
      </c>
      <c r="I924" s="654" t="s">
        <v>425</v>
      </c>
      <c r="J924" s="654" t="s">
        <v>426</v>
      </c>
      <c r="K924" s="654" t="s">
        <v>427</v>
      </c>
      <c r="L924" s="654" t="s">
        <v>428</v>
      </c>
      <c r="M924" s="654" t="s">
        <v>429</v>
      </c>
      <c r="N924" s="654" t="s">
        <v>430</v>
      </c>
    </row>
    <row r="925" spans="1:18" x14ac:dyDescent="0.2">
      <c r="B925" t="s">
        <v>434</v>
      </c>
      <c r="C925">
        <v>65</v>
      </c>
      <c r="D925">
        <v>62</v>
      </c>
      <c r="E925">
        <v>57</v>
      </c>
      <c r="F925">
        <v>56</v>
      </c>
      <c r="G925">
        <v>52</v>
      </c>
      <c r="H925">
        <v>51</v>
      </c>
      <c r="I925">
        <v>49</v>
      </c>
      <c r="J925">
        <v>55</v>
      </c>
      <c r="K925">
        <v>59</v>
      </c>
      <c r="L925">
        <v>55</v>
      </c>
      <c r="M925">
        <v>54</v>
      </c>
      <c r="N925">
        <v>66</v>
      </c>
      <c r="O925" s="173">
        <f t="shared" ref="O925:O939" si="191">SUM(C925:N925)/12</f>
        <v>56.75</v>
      </c>
      <c r="P925" s="173"/>
    </row>
    <row r="926" spans="1:18" x14ac:dyDescent="0.2">
      <c r="B926" t="s">
        <v>435</v>
      </c>
      <c r="C926">
        <v>67</v>
      </c>
      <c r="D926">
        <v>72</v>
      </c>
      <c r="E926">
        <v>72</v>
      </c>
      <c r="F926">
        <v>73</v>
      </c>
      <c r="G926">
        <v>71</v>
      </c>
      <c r="H926">
        <v>74</v>
      </c>
      <c r="I926">
        <v>74</v>
      </c>
      <c r="J926">
        <v>74</v>
      </c>
      <c r="K926">
        <v>70</v>
      </c>
      <c r="L926">
        <v>66</v>
      </c>
      <c r="M926">
        <v>62</v>
      </c>
      <c r="N926">
        <v>63</v>
      </c>
      <c r="O926" s="173">
        <f t="shared" si="191"/>
        <v>69.833333333333329</v>
      </c>
      <c r="P926" s="173">
        <f t="shared" ref="P926:P933" si="192">SUM(O926-O925)</f>
        <v>13.083333333333329</v>
      </c>
      <c r="Q926" s="177">
        <f t="shared" ref="Q926:Q932" si="193">SUM(P926/O925)</f>
        <v>0.23054331864904543</v>
      </c>
    </row>
    <row r="927" spans="1:18" x14ac:dyDescent="0.2">
      <c r="B927" t="s">
        <v>436</v>
      </c>
      <c r="C927">
        <v>68</v>
      </c>
      <c r="D927">
        <v>75</v>
      </c>
      <c r="E927">
        <v>74</v>
      </c>
      <c r="F927">
        <v>79</v>
      </c>
      <c r="G927">
        <v>75</v>
      </c>
      <c r="H927">
        <v>74</v>
      </c>
      <c r="I927">
        <v>64</v>
      </c>
      <c r="J927">
        <v>75</v>
      </c>
      <c r="K927">
        <v>76</v>
      </c>
      <c r="L927">
        <v>78</v>
      </c>
      <c r="M927">
        <v>79</v>
      </c>
      <c r="N927">
        <v>81</v>
      </c>
      <c r="O927" s="173">
        <f t="shared" si="191"/>
        <v>74.833333333333329</v>
      </c>
      <c r="P927" s="173">
        <f t="shared" si="192"/>
        <v>5</v>
      </c>
      <c r="Q927" s="177">
        <f t="shared" si="193"/>
        <v>7.1599045346062054E-2</v>
      </c>
    </row>
    <row r="928" spans="1:18" x14ac:dyDescent="0.2">
      <c r="B928" t="s">
        <v>260</v>
      </c>
      <c r="C928">
        <v>76</v>
      </c>
      <c r="D928">
        <v>79</v>
      </c>
      <c r="E928">
        <v>76</v>
      </c>
      <c r="F928">
        <v>74</v>
      </c>
      <c r="G928">
        <v>72</v>
      </c>
      <c r="H928">
        <v>70</v>
      </c>
      <c r="I928">
        <v>68</v>
      </c>
      <c r="J928">
        <v>59</v>
      </c>
      <c r="K928">
        <v>67</v>
      </c>
      <c r="L928">
        <v>66</v>
      </c>
      <c r="M928">
        <v>67</v>
      </c>
      <c r="N928">
        <v>64</v>
      </c>
      <c r="O928" s="173">
        <f t="shared" si="191"/>
        <v>69.833333333333329</v>
      </c>
      <c r="P928" s="173">
        <f t="shared" si="192"/>
        <v>-5</v>
      </c>
      <c r="Q928" s="177">
        <f t="shared" si="193"/>
        <v>-6.6815144766147E-2</v>
      </c>
    </row>
    <row r="929" spans="1:17" x14ac:dyDescent="0.2">
      <c r="B929" t="s">
        <v>259</v>
      </c>
      <c r="C929">
        <v>67</v>
      </c>
      <c r="D929">
        <v>57</v>
      </c>
      <c r="E929">
        <v>57</v>
      </c>
      <c r="F929">
        <v>58</v>
      </c>
      <c r="G929">
        <v>57</v>
      </c>
      <c r="H929">
        <v>60</v>
      </c>
      <c r="I929">
        <v>55</v>
      </c>
      <c r="J929">
        <v>55</v>
      </c>
      <c r="K929">
        <v>64</v>
      </c>
      <c r="L929">
        <v>61</v>
      </c>
      <c r="M929">
        <v>68</v>
      </c>
      <c r="N929">
        <v>67</v>
      </c>
      <c r="O929" s="173">
        <f t="shared" si="191"/>
        <v>60.5</v>
      </c>
      <c r="P929" s="173">
        <f t="shared" si="192"/>
        <v>-9.3333333333333286</v>
      </c>
      <c r="Q929" s="177">
        <f t="shared" si="193"/>
        <v>-0.13365155131264911</v>
      </c>
    </row>
    <row r="930" spans="1:17" x14ac:dyDescent="0.2">
      <c r="B930" t="s">
        <v>280</v>
      </c>
      <c r="C930">
        <v>71</v>
      </c>
      <c r="D930">
        <v>62</v>
      </c>
      <c r="E930">
        <v>61</v>
      </c>
      <c r="F930">
        <v>59</v>
      </c>
      <c r="G930">
        <v>54</v>
      </c>
      <c r="H930">
        <v>56</v>
      </c>
      <c r="I930">
        <v>56</v>
      </c>
      <c r="J930">
        <v>58</v>
      </c>
      <c r="K930">
        <v>60</v>
      </c>
      <c r="L930">
        <v>65</v>
      </c>
      <c r="M930">
        <v>72</v>
      </c>
      <c r="N930">
        <v>75</v>
      </c>
      <c r="O930" s="173">
        <f t="shared" si="191"/>
        <v>62.416666666666664</v>
      </c>
      <c r="P930" s="173">
        <f t="shared" si="192"/>
        <v>1.9166666666666643</v>
      </c>
      <c r="Q930" s="177">
        <f t="shared" si="193"/>
        <v>3.1680440771349822E-2</v>
      </c>
    </row>
    <row r="931" spans="1:17" x14ac:dyDescent="0.2">
      <c r="B931" t="s">
        <v>290</v>
      </c>
      <c r="C931">
        <v>76</v>
      </c>
      <c r="D931">
        <v>73</v>
      </c>
      <c r="E931">
        <v>67</v>
      </c>
      <c r="F931">
        <v>66</v>
      </c>
      <c r="G931">
        <v>66</v>
      </c>
      <c r="H931">
        <v>68</v>
      </c>
      <c r="I931">
        <v>69</v>
      </c>
      <c r="J931">
        <v>72</v>
      </c>
      <c r="K931">
        <v>69</v>
      </c>
      <c r="L931">
        <v>75</v>
      </c>
      <c r="M931">
        <v>73</v>
      </c>
      <c r="N931">
        <v>74</v>
      </c>
      <c r="O931" s="173">
        <f t="shared" si="191"/>
        <v>70.666666666666671</v>
      </c>
      <c r="P931" s="173">
        <f t="shared" si="192"/>
        <v>8.2500000000000071</v>
      </c>
      <c r="Q931" s="177">
        <f t="shared" si="193"/>
        <v>0.13217623497997341</v>
      </c>
    </row>
    <row r="932" spans="1:17" x14ac:dyDescent="0.2">
      <c r="B932" t="s">
        <v>293</v>
      </c>
      <c r="C932">
        <v>72</v>
      </c>
      <c r="D932">
        <v>72</v>
      </c>
      <c r="E932">
        <v>71</v>
      </c>
      <c r="F932">
        <v>73</v>
      </c>
      <c r="G932">
        <v>77</v>
      </c>
      <c r="H932">
        <v>76</v>
      </c>
      <c r="I932">
        <v>76</v>
      </c>
      <c r="J932">
        <v>78</v>
      </c>
      <c r="K932">
        <v>74</v>
      </c>
      <c r="L932">
        <v>88</v>
      </c>
      <c r="M932">
        <v>92</v>
      </c>
      <c r="N932">
        <v>76</v>
      </c>
      <c r="O932" s="173">
        <f t="shared" si="191"/>
        <v>77.083333333333329</v>
      </c>
      <c r="P932" s="173">
        <f t="shared" si="192"/>
        <v>6.4166666666666572</v>
      </c>
      <c r="Q932" s="177">
        <f t="shared" si="193"/>
        <v>9.0801886792452685E-2</v>
      </c>
    </row>
    <row r="933" spans="1:17" x14ac:dyDescent="0.2">
      <c r="B933" t="s">
        <v>294</v>
      </c>
      <c r="C933">
        <v>76</v>
      </c>
      <c r="D933">
        <v>79</v>
      </c>
      <c r="E933">
        <v>94</v>
      </c>
      <c r="F933">
        <v>75</v>
      </c>
      <c r="G933">
        <v>79</v>
      </c>
      <c r="H933">
        <v>77</v>
      </c>
      <c r="I933">
        <v>83</v>
      </c>
      <c r="J933">
        <v>83</v>
      </c>
      <c r="K933">
        <v>86</v>
      </c>
      <c r="L933">
        <v>85</v>
      </c>
      <c r="M933">
        <v>82</v>
      </c>
      <c r="N933">
        <v>89</v>
      </c>
      <c r="O933" s="173">
        <f t="shared" si="191"/>
        <v>82.333333333333329</v>
      </c>
      <c r="P933" s="173">
        <f t="shared" si="192"/>
        <v>5.25</v>
      </c>
      <c r="Q933" s="177">
        <f t="shared" ref="Q933:Q939" si="194">SUM(P933/O932)</f>
        <v>6.8108108108108106E-2</v>
      </c>
    </row>
    <row r="934" spans="1:17" x14ac:dyDescent="0.2">
      <c r="B934" t="s">
        <v>295</v>
      </c>
      <c r="C934">
        <v>92</v>
      </c>
      <c r="D934">
        <v>91</v>
      </c>
      <c r="E934">
        <v>95</v>
      </c>
      <c r="F934">
        <v>93</v>
      </c>
      <c r="G934">
        <v>96</v>
      </c>
      <c r="H934">
        <v>94</v>
      </c>
      <c r="I934">
        <v>91</v>
      </c>
      <c r="J934">
        <v>90</v>
      </c>
      <c r="K934">
        <v>91</v>
      </c>
      <c r="L934">
        <v>95</v>
      </c>
      <c r="M934">
        <v>96</v>
      </c>
      <c r="N934">
        <v>73</v>
      </c>
      <c r="O934" s="173">
        <f t="shared" si="191"/>
        <v>91.416666666666671</v>
      </c>
      <c r="P934" s="173">
        <f t="shared" ref="P934:P939" si="195">SUM(O934-O933)</f>
        <v>9.0833333333333428</v>
      </c>
      <c r="Q934" s="177">
        <f t="shared" si="194"/>
        <v>0.11032388663967624</v>
      </c>
    </row>
    <row r="935" spans="1:17" x14ac:dyDescent="0.2">
      <c r="B935" t="s">
        <v>335</v>
      </c>
      <c r="C935">
        <v>72</v>
      </c>
      <c r="D935">
        <v>72</v>
      </c>
      <c r="E935">
        <v>65</v>
      </c>
      <c r="F935">
        <v>62</v>
      </c>
      <c r="G935">
        <v>61</v>
      </c>
      <c r="H935">
        <v>65</v>
      </c>
      <c r="I935">
        <v>68</v>
      </c>
      <c r="J935">
        <v>70</v>
      </c>
      <c r="K935">
        <v>68</v>
      </c>
      <c r="L935">
        <v>70</v>
      </c>
      <c r="M935">
        <v>71</v>
      </c>
      <c r="N935">
        <v>73</v>
      </c>
      <c r="O935" s="173">
        <f t="shared" si="191"/>
        <v>68.083333333333329</v>
      </c>
      <c r="P935" s="173">
        <f t="shared" si="195"/>
        <v>-23.333333333333343</v>
      </c>
      <c r="Q935" s="177">
        <f t="shared" si="194"/>
        <v>-0.2552415679124887</v>
      </c>
    </row>
    <row r="936" spans="1:17" x14ac:dyDescent="0.2">
      <c r="B936" t="s">
        <v>358</v>
      </c>
      <c r="C936">
        <v>72</v>
      </c>
      <c r="D936">
        <v>70</v>
      </c>
      <c r="E936">
        <v>73</v>
      </c>
      <c r="F936">
        <v>77</v>
      </c>
      <c r="G936">
        <v>74</v>
      </c>
      <c r="H936">
        <v>74</v>
      </c>
      <c r="I936">
        <v>76</v>
      </c>
      <c r="J936">
        <v>75</v>
      </c>
      <c r="K936">
        <v>77</v>
      </c>
      <c r="L936">
        <v>82</v>
      </c>
      <c r="M936">
        <v>85</v>
      </c>
      <c r="N936">
        <v>88</v>
      </c>
      <c r="O936" s="173">
        <f t="shared" si="191"/>
        <v>76.916666666666671</v>
      </c>
      <c r="P936" s="173">
        <f t="shared" si="195"/>
        <v>8.8333333333333428</v>
      </c>
      <c r="Q936" s="177">
        <f t="shared" si="194"/>
        <v>0.1297429620563037</v>
      </c>
    </row>
    <row r="937" spans="1:17" x14ac:dyDescent="0.2">
      <c r="B937" t="s">
        <v>437</v>
      </c>
      <c r="C937">
        <v>88</v>
      </c>
      <c r="D937">
        <v>84</v>
      </c>
      <c r="E937">
        <v>81</v>
      </c>
      <c r="F937">
        <v>81</v>
      </c>
      <c r="G937">
        <v>79</v>
      </c>
      <c r="H937">
        <v>79</v>
      </c>
      <c r="I937">
        <v>77</v>
      </c>
      <c r="J937">
        <v>82</v>
      </c>
      <c r="K937">
        <v>80</v>
      </c>
      <c r="L937">
        <v>73</v>
      </c>
      <c r="M937">
        <v>76</v>
      </c>
      <c r="N937">
        <v>76</v>
      </c>
      <c r="O937" s="173">
        <f t="shared" si="191"/>
        <v>79.666666666666671</v>
      </c>
      <c r="P937" s="173">
        <f t="shared" si="195"/>
        <v>2.75</v>
      </c>
      <c r="Q937" s="177">
        <f t="shared" si="194"/>
        <v>3.5752979414951244E-2</v>
      </c>
    </row>
    <row r="938" spans="1:17" x14ac:dyDescent="0.2">
      <c r="B938" t="s">
        <v>471</v>
      </c>
      <c r="C938">
        <v>75</v>
      </c>
      <c r="D938">
        <v>77</v>
      </c>
      <c r="E938">
        <v>75</v>
      </c>
      <c r="F938">
        <v>75</v>
      </c>
      <c r="G938">
        <v>79</v>
      </c>
      <c r="H938">
        <v>74</v>
      </c>
      <c r="I938">
        <v>75</v>
      </c>
      <c r="J938">
        <v>77</v>
      </c>
      <c r="K938">
        <v>74</v>
      </c>
      <c r="L938">
        <v>70</v>
      </c>
      <c r="M938">
        <v>70</v>
      </c>
      <c r="N938">
        <v>72</v>
      </c>
      <c r="O938" s="173">
        <f t="shared" si="191"/>
        <v>74.416666666666671</v>
      </c>
      <c r="P938" s="173">
        <f t="shared" si="195"/>
        <v>-5.25</v>
      </c>
      <c r="Q938" s="177">
        <f t="shared" si="194"/>
        <v>-6.5899581589958151E-2</v>
      </c>
    </row>
    <row r="939" spans="1:17" x14ac:dyDescent="0.2">
      <c r="B939" t="s">
        <v>537</v>
      </c>
      <c r="C939">
        <v>74</v>
      </c>
      <c r="D939">
        <v>71</v>
      </c>
      <c r="E939">
        <v>73</v>
      </c>
      <c r="F939">
        <v>76</v>
      </c>
      <c r="G939">
        <v>72</v>
      </c>
      <c r="H939">
        <v>70</v>
      </c>
      <c r="I939">
        <v>73</v>
      </c>
      <c r="J939">
        <v>73</v>
      </c>
      <c r="K939">
        <v>72</v>
      </c>
      <c r="L939">
        <v>73</v>
      </c>
      <c r="M939">
        <v>76</v>
      </c>
      <c r="N939">
        <v>77</v>
      </c>
      <c r="O939" s="173">
        <f t="shared" si="191"/>
        <v>73.333333333333329</v>
      </c>
      <c r="P939" s="173">
        <f t="shared" si="195"/>
        <v>-1.0833333333333428</v>
      </c>
      <c r="Q939" s="177">
        <f t="shared" si="194"/>
        <v>-1.4557670772676497E-2</v>
      </c>
    </row>
    <row r="940" spans="1:17" x14ac:dyDescent="0.2">
      <c r="O940" s="173"/>
      <c r="P940" s="173"/>
      <c r="Q940" s="177"/>
    </row>
    <row r="941" spans="1:17" ht="25.5" x14ac:dyDescent="0.2">
      <c r="A941" s="175" t="s">
        <v>442</v>
      </c>
      <c r="B941" s="653" t="s">
        <v>418</v>
      </c>
      <c r="C941" s="654" t="s">
        <v>419</v>
      </c>
      <c r="D941" s="654" t="s">
        <v>420</v>
      </c>
      <c r="E941" s="654" t="s">
        <v>421</v>
      </c>
      <c r="F941" s="654" t="s">
        <v>422</v>
      </c>
      <c r="G941" s="654" t="s">
        <v>423</v>
      </c>
      <c r="H941" s="654" t="s">
        <v>424</v>
      </c>
      <c r="I941" s="654" t="s">
        <v>425</v>
      </c>
      <c r="J941" s="654" t="s">
        <v>426</v>
      </c>
      <c r="K941" s="654" t="s">
        <v>427</v>
      </c>
      <c r="L941" s="654" t="s">
        <v>428</v>
      </c>
      <c r="M941" s="654" t="s">
        <v>429</v>
      </c>
      <c r="N941" s="654" t="s">
        <v>430</v>
      </c>
    </row>
    <row r="942" spans="1:17" x14ac:dyDescent="0.2">
      <c r="B942" t="s">
        <v>434</v>
      </c>
      <c r="C942">
        <v>683</v>
      </c>
      <c r="D942">
        <v>675</v>
      </c>
      <c r="E942">
        <v>696</v>
      </c>
      <c r="F942">
        <v>659</v>
      </c>
      <c r="G942">
        <v>661</v>
      </c>
      <c r="H942">
        <v>650</v>
      </c>
      <c r="I942">
        <v>666</v>
      </c>
      <c r="J942">
        <v>688</v>
      </c>
      <c r="K942">
        <v>667</v>
      </c>
      <c r="L942">
        <v>670</v>
      </c>
      <c r="M942">
        <v>639</v>
      </c>
      <c r="N942">
        <v>653</v>
      </c>
      <c r="O942" s="173">
        <f t="shared" ref="O942:O956" si="196">SUM(C942:N942)/12</f>
        <v>667.25</v>
      </c>
      <c r="P942" s="173"/>
    </row>
    <row r="943" spans="1:17" x14ac:dyDescent="0.2">
      <c r="B943" t="s">
        <v>435</v>
      </c>
      <c r="C943">
        <v>624</v>
      </c>
      <c r="D943">
        <v>643</v>
      </c>
      <c r="E943">
        <v>636</v>
      </c>
      <c r="F943">
        <v>670</v>
      </c>
      <c r="G943">
        <v>642</v>
      </c>
      <c r="H943">
        <v>655</v>
      </c>
      <c r="I943">
        <v>650</v>
      </c>
      <c r="J943">
        <v>660</v>
      </c>
      <c r="K943">
        <v>644</v>
      </c>
      <c r="L943">
        <v>672</v>
      </c>
      <c r="M943">
        <v>658</v>
      </c>
      <c r="N943">
        <v>659</v>
      </c>
      <c r="O943" s="173">
        <f t="shared" si="196"/>
        <v>651.08333333333337</v>
      </c>
      <c r="P943" s="173">
        <f t="shared" ref="P943:P950" si="197">SUM(O943-O942)</f>
        <v>-16.166666666666629</v>
      </c>
      <c r="Q943" s="177">
        <f t="shared" ref="Q943:Q949" si="198">SUM(P943/O942)</f>
        <v>-2.422879980017479E-2</v>
      </c>
    </row>
    <row r="944" spans="1:17" x14ac:dyDescent="0.2">
      <c r="B944" t="s">
        <v>436</v>
      </c>
      <c r="C944">
        <v>661</v>
      </c>
      <c r="D944">
        <v>673</v>
      </c>
      <c r="E944">
        <v>672</v>
      </c>
      <c r="F944">
        <v>632</v>
      </c>
      <c r="G944">
        <v>611</v>
      </c>
      <c r="H944">
        <v>620</v>
      </c>
      <c r="I944">
        <v>633</v>
      </c>
      <c r="J944">
        <v>653</v>
      </c>
      <c r="K944">
        <v>659</v>
      </c>
      <c r="L944">
        <v>665</v>
      </c>
      <c r="M944">
        <v>671</v>
      </c>
      <c r="N944">
        <v>677</v>
      </c>
      <c r="O944" s="173">
        <f t="shared" si="196"/>
        <v>652.25</v>
      </c>
      <c r="P944" s="173">
        <f t="shared" si="197"/>
        <v>1.1666666666666288</v>
      </c>
      <c r="Q944" s="177">
        <f t="shared" si="198"/>
        <v>1.7918853193395041E-3</v>
      </c>
    </row>
    <row r="945" spans="1:17" x14ac:dyDescent="0.2">
      <c r="B945" t="s">
        <v>260</v>
      </c>
      <c r="C945">
        <v>561</v>
      </c>
      <c r="D945">
        <v>574</v>
      </c>
      <c r="E945">
        <v>593</v>
      </c>
      <c r="F945">
        <v>589</v>
      </c>
      <c r="G945">
        <v>589</v>
      </c>
      <c r="H945">
        <v>589</v>
      </c>
      <c r="I945">
        <v>589</v>
      </c>
      <c r="J945">
        <v>589</v>
      </c>
      <c r="K945">
        <v>589</v>
      </c>
      <c r="L945">
        <v>589</v>
      </c>
      <c r="M945">
        <v>589</v>
      </c>
      <c r="N945">
        <v>623</v>
      </c>
      <c r="O945" s="173">
        <f t="shared" si="196"/>
        <v>588.58333333333337</v>
      </c>
      <c r="P945" s="173">
        <f t="shared" si="197"/>
        <v>-63.666666666666629</v>
      </c>
      <c r="Q945" s="177">
        <f t="shared" si="198"/>
        <v>-9.7610834291554816E-2</v>
      </c>
    </row>
    <row r="946" spans="1:17" x14ac:dyDescent="0.2">
      <c r="B946" t="s">
        <v>259</v>
      </c>
      <c r="C946">
        <v>585</v>
      </c>
      <c r="D946">
        <v>542</v>
      </c>
      <c r="E946">
        <v>535</v>
      </c>
      <c r="F946">
        <v>545</v>
      </c>
      <c r="G946">
        <v>547</v>
      </c>
      <c r="H946">
        <v>584</v>
      </c>
      <c r="I946">
        <v>608</v>
      </c>
      <c r="J946">
        <v>604</v>
      </c>
      <c r="K946">
        <v>592</v>
      </c>
      <c r="L946">
        <v>599</v>
      </c>
      <c r="M946">
        <v>628</v>
      </c>
      <c r="N946">
        <v>595</v>
      </c>
      <c r="O946" s="173">
        <f t="shared" si="196"/>
        <v>580.33333333333337</v>
      </c>
      <c r="P946" s="173">
        <f t="shared" si="197"/>
        <v>-8.25</v>
      </c>
      <c r="Q946" s="177">
        <f t="shared" si="198"/>
        <v>-1.4016706781820756E-2</v>
      </c>
    </row>
    <row r="947" spans="1:17" x14ac:dyDescent="0.2">
      <c r="B947" t="s">
        <v>280</v>
      </c>
      <c r="C947">
        <v>601</v>
      </c>
      <c r="D947">
        <v>626</v>
      </c>
      <c r="E947">
        <v>662</v>
      </c>
      <c r="F947">
        <v>646</v>
      </c>
      <c r="G947">
        <v>635</v>
      </c>
      <c r="H947">
        <v>634</v>
      </c>
      <c r="I947">
        <v>628</v>
      </c>
      <c r="J947">
        <v>656</v>
      </c>
      <c r="K947">
        <v>666</v>
      </c>
      <c r="L947">
        <v>657</v>
      </c>
      <c r="M947">
        <v>576</v>
      </c>
      <c r="N947">
        <v>650</v>
      </c>
      <c r="O947" s="173">
        <f t="shared" si="196"/>
        <v>636.41666666666663</v>
      </c>
      <c r="P947" s="173">
        <f t="shared" si="197"/>
        <v>56.083333333333258</v>
      </c>
      <c r="Q947" s="177">
        <f t="shared" si="198"/>
        <v>9.6639862148190564E-2</v>
      </c>
    </row>
    <row r="948" spans="1:17" x14ac:dyDescent="0.2">
      <c r="B948" t="s">
        <v>290</v>
      </c>
      <c r="C948">
        <v>648</v>
      </c>
      <c r="D948">
        <v>660</v>
      </c>
      <c r="E948">
        <v>652</v>
      </c>
      <c r="F948">
        <v>651</v>
      </c>
      <c r="G948">
        <v>646</v>
      </c>
      <c r="H948">
        <v>659</v>
      </c>
      <c r="I948">
        <v>646</v>
      </c>
      <c r="J948">
        <v>702</v>
      </c>
      <c r="K948">
        <v>699</v>
      </c>
      <c r="L948">
        <v>703</v>
      </c>
      <c r="M948">
        <v>711</v>
      </c>
      <c r="N948">
        <v>718</v>
      </c>
      <c r="O948" s="173">
        <f t="shared" si="196"/>
        <v>674.58333333333337</v>
      </c>
      <c r="P948" s="173">
        <f t="shared" si="197"/>
        <v>38.166666666666742</v>
      </c>
      <c r="Q948" s="177">
        <f t="shared" si="198"/>
        <v>5.99711928767842E-2</v>
      </c>
    </row>
    <row r="949" spans="1:17" x14ac:dyDescent="0.2">
      <c r="B949" t="s">
        <v>293</v>
      </c>
      <c r="C949">
        <v>731</v>
      </c>
      <c r="D949">
        <v>726</v>
      </c>
      <c r="E949">
        <v>720</v>
      </c>
      <c r="F949">
        <v>696</v>
      </c>
      <c r="G949">
        <v>731</v>
      </c>
      <c r="H949">
        <v>721</v>
      </c>
      <c r="I949">
        <v>713</v>
      </c>
      <c r="J949">
        <v>701</v>
      </c>
      <c r="K949">
        <v>691</v>
      </c>
      <c r="L949">
        <v>789</v>
      </c>
      <c r="M949">
        <v>764</v>
      </c>
      <c r="N949">
        <v>691</v>
      </c>
      <c r="O949" s="173">
        <f t="shared" si="196"/>
        <v>722.83333333333337</v>
      </c>
      <c r="P949" s="173">
        <f t="shared" si="197"/>
        <v>48.25</v>
      </c>
      <c r="Q949" s="177">
        <f t="shared" si="198"/>
        <v>7.1525633106856085E-2</v>
      </c>
    </row>
    <row r="950" spans="1:17" x14ac:dyDescent="0.2">
      <c r="B950" t="s">
        <v>294</v>
      </c>
      <c r="C950">
        <v>684</v>
      </c>
      <c r="D950">
        <v>691</v>
      </c>
      <c r="E950">
        <v>716</v>
      </c>
      <c r="F950">
        <v>676</v>
      </c>
      <c r="G950">
        <v>671</v>
      </c>
      <c r="H950">
        <v>676</v>
      </c>
      <c r="I950">
        <v>674</v>
      </c>
      <c r="J950">
        <v>667</v>
      </c>
      <c r="K950">
        <v>669</v>
      </c>
      <c r="L950">
        <v>676</v>
      </c>
      <c r="M950">
        <v>714</v>
      </c>
      <c r="N950">
        <v>718</v>
      </c>
      <c r="O950" s="173">
        <f t="shared" si="196"/>
        <v>686</v>
      </c>
      <c r="P950" s="173">
        <f t="shared" si="197"/>
        <v>-36.833333333333371</v>
      </c>
      <c r="Q950" s="177">
        <f t="shared" ref="Q950:Q956" si="199">SUM(P950/O949)</f>
        <v>-5.095688263776809E-2</v>
      </c>
    </row>
    <row r="951" spans="1:17" x14ac:dyDescent="0.2">
      <c r="B951" t="s">
        <v>295</v>
      </c>
      <c r="C951">
        <v>681</v>
      </c>
      <c r="D951">
        <v>689</v>
      </c>
      <c r="E951">
        <v>680</v>
      </c>
      <c r="F951">
        <v>661</v>
      </c>
      <c r="G951">
        <v>661</v>
      </c>
      <c r="H951">
        <v>678</v>
      </c>
      <c r="I951">
        <v>672</v>
      </c>
      <c r="J951">
        <v>687</v>
      </c>
      <c r="K951">
        <v>677</v>
      </c>
      <c r="L951">
        <v>674</v>
      </c>
      <c r="M951">
        <v>674</v>
      </c>
      <c r="N951">
        <v>691</v>
      </c>
      <c r="O951" s="173">
        <f t="shared" si="196"/>
        <v>677.08333333333337</v>
      </c>
      <c r="P951" s="173">
        <f t="shared" ref="P951:P956" si="200">SUM(O951-O950)</f>
        <v>-8.9166666666666288</v>
      </c>
      <c r="Q951" s="177">
        <f t="shared" si="199"/>
        <v>-1.2998056365403248E-2</v>
      </c>
    </row>
    <row r="952" spans="1:17" x14ac:dyDescent="0.2">
      <c r="B952" t="s">
        <v>335</v>
      </c>
      <c r="C952">
        <v>685</v>
      </c>
      <c r="D952">
        <v>703</v>
      </c>
      <c r="E952">
        <v>697</v>
      </c>
      <c r="F952">
        <v>714</v>
      </c>
      <c r="G952">
        <v>713</v>
      </c>
      <c r="H952">
        <v>746</v>
      </c>
      <c r="I952">
        <v>722</v>
      </c>
      <c r="J952">
        <v>724</v>
      </c>
      <c r="K952">
        <v>728</v>
      </c>
      <c r="L952">
        <v>696</v>
      </c>
      <c r="M952">
        <v>695</v>
      </c>
      <c r="N952">
        <v>676</v>
      </c>
      <c r="O952" s="173">
        <f t="shared" si="196"/>
        <v>708.25</v>
      </c>
      <c r="P952" s="173">
        <f t="shared" si="200"/>
        <v>31.166666666666629</v>
      </c>
      <c r="Q952" s="177">
        <f t="shared" si="199"/>
        <v>4.6030769230769174E-2</v>
      </c>
    </row>
    <row r="953" spans="1:17" x14ac:dyDescent="0.2">
      <c r="B953" t="s">
        <v>358</v>
      </c>
      <c r="C953">
        <v>691</v>
      </c>
      <c r="D953">
        <v>666</v>
      </c>
      <c r="E953">
        <v>624</v>
      </c>
      <c r="F953">
        <v>670</v>
      </c>
      <c r="G953">
        <v>672</v>
      </c>
      <c r="H953">
        <v>675</v>
      </c>
      <c r="I953">
        <v>651</v>
      </c>
      <c r="J953">
        <v>642</v>
      </c>
      <c r="K953">
        <v>588</v>
      </c>
      <c r="L953">
        <v>663</v>
      </c>
      <c r="M953">
        <v>660</v>
      </c>
      <c r="N953">
        <v>646</v>
      </c>
      <c r="O953" s="173">
        <f t="shared" si="196"/>
        <v>654</v>
      </c>
      <c r="P953" s="173">
        <f t="shared" si="200"/>
        <v>-54.25</v>
      </c>
      <c r="Q953" s="177">
        <f t="shared" si="199"/>
        <v>-7.6597246734909988E-2</v>
      </c>
    </row>
    <row r="954" spans="1:17" x14ac:dyDescent="0.2">
      <c r="B954" t="s">
        <v>437</v>
      </c>
      <c r="C954">
        <v>652</v>
      </c>
      <c r="D954">
        <v>655</v>
      </c>
      <c r="E954">
        <v>667</v>
      </c>
      <c r="F954">
        <v>658</v>
      </c>
      <c r="G954">
        <v>671</v>
      </c>
      <c r="H954">
        <v>681</v>
      </c>
      <c r="I954">
        <v>677</v>
      </c>
      <c r="J954">
        <v>673</v>
      </c>
      <c r="K954">
        <v>663</v>
      </c>
      <c r="L954">
        <v>656</v>
      </c>
      <c r="M954">
        <v>662</v>
      </c>
      <c r="N954">
        <v>679</v>
      </c>
      <c r="O954" s="173">
        <f t="shared" si="196"/>
        <v>666.16666666666663</v>
      </c>
      <c r="P954" s="173">
        <f t="shared" si="200"/>
        <v>12.166666666666629</v>
      </c>
      <c r="Q954" s="177">
        <f t="shared" si="199"/>
        <v>1.8603465851172216E-2</v>
      </c>
    </row>
    <row r="955" spans="1:17" x14ac:dyDescent="0.2">
      <c r="B955" t="s">
        <v>471</v>
      </c>
      <c r="C955">
        <v>674</v>
      </c>
      <c r="D955">
        <v>675</v>
      </c>
      <c r="E955">
        <v>693</v>
      </c>
      <c r="F955">
        <v>708</v>
      </c>
      <c r="G955">
        <v>741</v>
      </c>
      <c r="H955">
        <v>687</v>
      </c>
      <c r="I955">
        <v>729</v>
      </c>
      <c r="J955">
        <v>690</v>
      </c>
      <c r="K955">
        <v>701</v>
      </c>
      <c r="L955">
        <v>693</v>
      </c>
      <c r="M955">
        <v>738</v>
      </c>
      <c r="N955">
        <v>729</v>
      </c>
      <c r="O955" s="173">
        <f t="shared" si="196"/>
        <v>704.83333333333337</v>
      </c>
      <c r="P955" s="173">
        <f t="shared" si="200"/>
        <v>38.666666666666742</v>
      </c>
      <c r="Q955" s="177">
        <f t="shared" si="199"/>
        <v>5.804353264948723E-2</v>
      </c>
    </row>
    <row r="956" spans="1:17" x14ac:dyDescent="0.2">
      <c r="B956" t="s">
        <v>537</v>
      </c>
      <c r="C956">
        <v>722</v>
      </c>
      <c r="D956">
        <v>713</v>
      </c>
      <c r="E956">
        <v>717</v>
      </c>
      <c r="F956">
        <v>696</v>
      </c>
      <c r="G956">
        <v>673</v>
      </c>
      <c r="H956">
        <v>688</v>
      </c>
      <c r="I956">
        <v>676</v>
      </c>
      <c r="J956">
        <v>681</v>
      </c>
      <c r="K956">
        <v>670</v>
      </c>
      <c r="L956">
        <v>672</v>
      </c>
      <c r="M956">
        <v>697</v>
      </c>
      <c r="N956">
        <v>744</v>
      </c>
      <c r="O956" s="173">
        <f t="shared" si="196"/>
        <v>695.75</v>
      </c>
      <c r="P956" s="173">
        <f t="shared" si="200"/>
        <v>-9.0833333333333712</v>
      </c>
      <c r="Q956" s="177">
        <f t="shared" si="199"/>
        <v>-1.2887207377630699E-2</v>
      </c>
    </row>
    <row r="957" spans="1:17" x14ac:dyDescent="0.2">
      <c r="O957" s="173"/>
      <c r="P957" s="173"/>
      <c r="Q957" s="177"/>
    </row>
    <row r="958" spans="1:17" ht="25.5" x14ac:dyDescent="0.2">
      <c r="A958" s="175" t="s">
        <v>443</v>
      </c>
      <c r="B958" s="653" t="s">
        <v>418</v>
      </c>
      <c r="C958" s="654" t="s">
        <v>419</v>
      </c>
      <c r="D958" s="654" t="s">
        <v>420</v>
      </c>
      <c r="E958" s="654" t="s">
        <v>421</v>
      </c>
      <c r="F958" s="654" t="s">
        <v>422</v>
      </c>
      <c r="G958" s="654" t="s">
        <v>423</v>
      </c>
      <c r="H958" s="654" t="s">
        <v>424</v>
      </c>
      <c r="I958" s="654" t="s">
        <v>425</v>
      </c>
      <c r="J958" s="654" t="s">
        <v>426</v>
      </c>
      <c r="K958" s="654" t="s">
        <v>427</v>
      </c>
      <c r="L958" s="654" t="s">
        <v>428</v>
      </c>
      <c r="M958" s="654" t="s">
        <v>429</v>
      </c>
      <c r="N958" s="654" t="s">
        <v>430</v>
      </c>
    </row>
    <row r="959" spans="1:17" x14ac:dyDescent="0.2">
      <c r="B959" t="s">
        <v>434</v>
      </c>
      <c r="C959">
        <v>227</v>
      </c>
      <c r="D959">
        <v>238</v>
      </c>
      <c r="E959">
        <v>241</v>
      </c>
      <c r="F959">
        <v>237</v>
      </c>
      <c r="G959">
        <v>237</v>
      </c>
      <c r="H959">
        <v>245</v>
      </c>
      <c r="I959">
        <v>239</v>
      </c>
      <c r="J959">
        <v>232</v>
      </c>
      <c r="K959">
        <v>228</v>
      </c>
      <c r="L959">
        <v>226</v>
      </c>
      <c r="M959">
        <v>226</v>
      </c>
      <c r="N959">
        <v>238</v>
      </c>
      <c r="O959" s="173">
        <f t="shared" ref="O959:O973" si="201">SUM(C959:N959)/12</f>
        <v>234.5</v>
      </c>
      <c r="P959" s="173"/>
    </row>
    <row r="960" spans="1:17" x14ac:dyDescent="0.2">
      <c r="B960" t="s">
        <v>435</v>
      </c>
      <c r="C960">
        <v>227</v>
      </c>
      <c r="D960">
        <v>234</v>
      </c>
      <c r="E960">
        <v>235</v>
      </c>
      <c r="F960">
        <v>220</v>
      </c>
      <c r="G960">
        <v>231</v>
      </c>
      <c r="H960">
        <v>222</v>
      </c>
      <c r="I960">
        <v>209</v>
      </c>
      <c r="J960">
        <v>216</v>
      </c>
      <c r="K960">
        <v>219</v>
      </c>
      <c r="L960">
        <v>212</v>
      </c>
      <c r="M960">
        <v>211</v>
      </c>
      <c r="N960">
        <v>211</v>
      </c>
      <c r="O960" s="173">
        <f t="shared" si="201"/>
        <v>220.58333333333334</v>
      </c>
      <c r="P960" s="173">
        <f t="shared" ref="P960:P967" si="202">SUM(O960-O959)</f>
        <v>-13.916666666666657</v>
      </c>
      <c r="Q960" s="177">
        <f t="shared" ref="Q960:Q966" si="203">SUM(P960/O959)</f>
        <v>-5.9346126510305575E-2</v>
      </c>
    </row>
    <row r="961" spans="1:17" x14ac:dyDescent="0.2">
      <c r="B961" t="s">
        <v>436</v>
      </c>
      <c r="C961">
        <v>210</v>
      </c>
      <c r="D961">
        <v>212</v>
      </c>
      <c r="E961">
        <v>205</v>
      </c>
      <c r="F961">
        <v>205</v>
      </c>
      <c r="G961">
        <v>220</v>
      </c>
      <c r="H961">
        <v>221</v>
      </c>
      <c r="I961">
        <v>223</v>
      </c>
      <c r="J961">
        <v>227</v>
      </c>
      <c r="K961">
        <v>230</v>
      </c>
      <c r="L961">
        <v>204</v>
      </c>
      <c r="M961">
        <v>178</v>
      </c>
      <c r="N961">
        <v>152</v>
      </c>
      <c r="O961" s="173">
        <f t="shared" si="201"/>
        <v>207.25</v>
      </c>
      <c r="P961" s="173">
        <f t="shared" si="202"/>
        <v>-13.333333333333343</v>
      </c>
      <c r="Q961" s="177">
        <f t="shared" si="203"/>
        <v>-6.0445787684170797E-2</v>
      </c>
    </row>
    <row r="962" spans="1:17" x14ac:dyDescent="0.2">
      <c r="B962" t="s">
        <v>260</v>
      </c>
      <c r="C962">
        <v>257</v>
      </c>
      <c r="D962">
        <v>269</v>
      </c>
      <c r="E962">
        <v>265</v>
      </c>
      <c r="F962">
        <v>244</v>
      </c>
      <c r="G962">
        <v>244</v>
      </c>
      <c r="H962">
        <v>244</v>
      </c>
      <c r="I962">
        <v>244</v>
      </c>
      <c r="J962">
        <v>244</v>
      </c>
      <c r="K962">
        <v>244</v>
      </c>
      <c r="L962">
        <v>244</v>
      </c>
      <c r="M962">
        <v>244</v>
      </c>
      <c r="N962">
        <v>244</v>
      </c>
      <c r="O962" s="173">
        <f t="shared" si="201"/>
        <v>248.91666666666666</v>
      </c>
      <c r="P962" s="173">
        <f t="shared" si="202"/>
        <v>41.666666666666657</v>
      </c>
      <c r="Q962" s="177">
        <f t="shared" si="203"/>
        <v>0.20104543626859667</v>
      </c>
    </row>
    <row r="963" spans="1:17" x14ac:dyDescent="0.2">
      <c r="B963" t="s">
        <v>259</v>
      </c>
      <c r="C963">
        <v>239</v>
      </c>
      <c r="D963">
        <v>224</v>
      </c>
      <c r="E963">
        <v>226</v>
      </c>
      <c r="F963">
        <v>219</v>
      </c>
      <c r="G963">
        <v>227</v>
      </c>
      <c r="H963">
        <v>220</v>
      </c>
      <c r="I963">
        <v>214</v>
      </c>
      <c r="J963">
        <v>214</v>
      </c>
      <c r="K963">
        <v>205</v>
      </c>
      <c r="L963">
        <v>216</v>
      </c>
      <c r="M963">
        <v>210</v>
      </c>
      <c r="N963">
        <v>213</v>
      </c>
      <c r="O963" s="173">
        <f t="shared" si="201"/>
        <v>218.91666666666666</v>
      </c>
      <c r="P963" s="173">
        <f t="shared" si="202"/>
        <v>-30</v>
      </c>
      <c r="Q963" s="177">
        <f t="shared" si="203"/>
        <v>-0.12052226314027453</v>
      </c>
    </row>
    <row r="964" spans="1:17" x14ac:dyDescent="0.2">
      <c r="B964" t="s">
        <v>280</v>
      </c>
      <c r="C964">
        <v>214</v>
      </c>
      <c r="D964">
        <v>211</v>
      </c>
      <c r="E964">
        <v>207</v>
      </c>
      <c r="F964">
        <v>229</v>
      </c>
      <c r="G964">
        <v>243</v>
      </c>
      <c r="H964">
        <v>240</v>
      </c>
      <c r="I964">
        <v>243</v>
      </c>
      <c r="J964">
        <v>245</v>
      </c>
      <c r="K964">
        <v>245</v>
      </c>
      <c r="L964">
        <v>259</v>
      </c>
      <c r="M964">
        <v>261</v>
      </c>
      <c r="N964">
        <v>263</v>
      </c>
      <c r="O964" s="173">
        <f t="shared" si="201"/>
        <v>238.33333333333334</v>
      </c>
      <c r="P964" s="173">
        <f t="shared" si="202"/>
        <v>19.416666666666686</v>
      </c>
      <c r="Q964" s="177">
        <f t="shared" si="203"/>
        <v>8.8694328130947936E-2</v>
      </c>
    </row>
    <row r="965" spans="1:17" x14ac:dyDescent="0.2">
      <c r="B965" t="s">
        <v>290</v>
      </c>
      <c r="C965">
        <v>264</v>
      </c>
      <c r="D965">
        <v>263</v>
      </c>
      <c r="E965">
        <v>264</v>
      </c>
      <c r="F965">
        <v>259</v>
      </c>
      <c r="G965">
        <v>262</v>
      </c>
      <c r="H965">
        <v>259</v>
      </c>
      <c r="I965">
        <v>244</v>
      </c>
      <c r="J965">
        <v>246</v>
      </c>
      <c r="K965">
        <v>253</v>
      </c>
      <c r="L965">
        <v>249</v>
      </c>
      <c r="M965">
        <v>248</v>
      </c>
      <c r="N965">
        <v>256</v>
      </c>
      <c r="O965" s="173">
        <f t="shared" si="201"/>
        <v>255.58333333333334</v>
      </c>
      <c r="P965" s="173">
        <f t="shared" si="202"/>
        <v>17.25</v>
      </c>
      <c r="Q965" s="177">
        <f t="shared" si="203"/>
        <v>7.237762237762238E-2</v>
      </c>
    </row>
    <row r="966" spans="1:17" x14ac:dyDescent="0.2">
      <c r="B966" t="s">
        <v>293</v>
      </c>
      <c r="C966">
        <v>259</v>
      </c>
      <c r="D966">
        <v>269</v>
      </c>
      <c r="E966">
        <v>262</v>
      </c>
      <c r="F966">
        <v>281</v>
      </c>
      <c r="G966">
        <v>292</v>
      </c>
      <c r="H966">
        <v>287</v>
      </c>
      <c r="I966">
        <v>285</v>
      </c>
      <c r="J966">
        <v>271</v>
      </c>
      <c r="K966">
        <v>263</v>
      </c>
      <c r="L966">
        <v>304</v>
      </c>
      <c r="M966">
        <v>301</v>
      </c>
      <c r="N966">
        <v>256</v>
      </c>
      <c r="O966" s="173">
        <f t="shared" si="201"/>
        <v>277.5</v>
      </c>
      <c r="P966" s="173">
        <f t="shared" si="202"/>
        <v>21.916666666666657</v>
      </c>
      <c r="Q966" s="177">
        <f t="shared" si="203"/>
        <v>8.5751548744701617E-2</v>
      </c>
    </row>
    <row r="967" spans="1:17" x14ac:dyDescent="0.2">
      <c r="B967" t="s">
        <v>294</v>
      </c>
      <c r="C967">
        <v>263</v>
      </c>
      <c r="D967">
        <v>269</v>
      </c>
      <c r="E967">
        <v>260</v>
      </c>
      <c r="F967">
        <v>254</v>
      </c>
      <c r="G967">
        <v>247</v>
      </c>
      <c r="H967">
        <v>251</v>
      </c>
      <c r="I967">
        <v>244</v>
      </c>
      <c r="J967">
        <v>235</v>
      </c>
      <c r="K967">
        <v>233</v>
      </c>
      <c r="L967">
        <v>251</v>
      </c>
      <c r="M967">
        <v>278</v>
      </c>
      <c r="N967">
        <v>279</v>
      </c>
      <c r="O967" s="173">
        <f t="shared" si="201"/>
        <v>255.33333333333334</v>
      </c>
      <c r="P967" s="173">
        <f t="shared" si="202"/>
        <v>-22.166666666666657</v>
      </c>
      <c r="Q967" s="177">
        <f t="shared" ref="Q967:Q973" si="204">SUM(P967/O966)</f>
        <v>-7.987987987987985E-2</v>
      </c>
    </row>
    <row r="968" spans="1:17" x14ac:dyDescent="0.2">
      <c r="B968" t="s">
        <v>295</v>
      </c>
      <c r="C968">
        <v>271</v>
      </c>
      <c r="D968">
        <v>264</v>
      </c>
      <c r="E968">
        <v>264</v>
      </c>
      <c r="F968">
        <v>265</v>
      </c>
      <c r="G968">
        <v>260</v>
      </c>
      <c r="H968">
        <v>261</v>
      </c>
      <c r="I968">
        <v>266</v>
      </c>
      <c r="J968">
        <v>257</v>
      </c>
      <c r="K968">
        <v>261</v>
      </c>
      <c r="L968">
        <v>270</v>
      </c>
      <c r="M968">
        <v>273</v>
      </c>
      <c r="N968">
        <v>267</v>
      </c>
      <c r="O968" s="173">
        <f t="shared" si="201"/>
        <v>264.91666666666669</v>
      </c>
      <c r="P968" s="173">
        <f t="shared" ref="P968:P973" si="205">SUM(O968-O967)</f>
        <v>9.5833333333333428</v>
      </c>
      <c r="Q968" s="177">
        <f t="shared" si="204"/>
        <v>3.7532637075718051E-2</v>
      </c>
    </row>
    <row r="969" spans="1:17" x14ac:dyDescent="0.2">
      <c r="B969" t="s">
        <v>335</v>
      </c>
      <c r="C969">
        <v>267</v>
      </c>
      <c r="D969">
        <v>266</v>
      </c>
      <c r="E969">
        <v>268</v>
      </c>
      <c r="F969">
        <v>273</v>
      </c>
      <c r="G969">
        <v>266</v>
      </c>
      <c r="H969">
        <v>255</v>
      </c>
      <c r="I969">
        <v>256</v>
      </c>
      <c r="J969">
        <v>248</v>
      </c>
      <c r="K969">
        <v>253</v>
      </c>
      <c r="L969">
        <v>255</v>
      </c>
      <c r="M969">
        <v>251</v>
      </c>
      <c r="N969">
        <v>255</v>
      </c>
      <c r="O969" s="173">
        <f t="shared" si="201"/>
        <v>259.41666666666669</v>
      </c>
      <c r="P969" s="173">
        <f t="shared" si="205"/>
        <v>-5.5</v>
      </c>
      <c r="Q969" s="177">
        <f t="shared" si="204"/>
        <v>-2.0761245674740483E-2</v>
      </c>
    </row>
    <row r="970" spans="1:17" x14ac:dyDescent="0.2">
      <c r="B970" t="s">
        <v>358</v>
      </c>
      <c r="C970">
        <v>260</v>
      </c>
      <c r="D970">
        <v>250</v>
      </c>
      <c r="E970">
        <v>251</v>
      </c>
      <c r="F970">
        <v>257</v>
      </c>
      <c r="G970">
        <v>258</v>
      </c>
      <c r="H970">
        <v>252</v>
      </c>
      <c r="I970">
        <v>247</v>
      </c>
      <c r="J970">
        <v>244</v>
      </c>
      <c r="K970">
        <v>299</v>
      </c>
      <c r="L970">
        <v>242</v>
      </c>
      <c r="M970">
        <v>246</v>
      </c>
      <c r="N970">
        <v>247</v>
      </c>
      <c r="O970" s="173">
        <f t="shared" si="201"/>
        <v>254.41666666666666</v>
      </c>
      <c r="P970" s="173">
        <f t="shared" si="205"/>
        <v>-5.0000000000000284</v>
      </c>
      <c r="Q970" s="177">
        <f t="shared" si="204"/>
        <v>-1.9274012206874507E-2</v>
      </c>
    </row>
    <row r="971" spans="1:17" x14ac:dyDescent="0.2">
      <c r="B971" t="s">
        <v>437</v>
      </c>
      <c r="C971">
        <v>247</v>
      </c>
      <c r="D971">
        <v>250</v>
      </c>
      <c r="E971">
        <v>259</v>
      </c>
      <c r="F971">
        <v>259</v>
      </c>
      <c r="G971">
        <v>260</v>
      </c>
      <c r="H971">
        <v>269</v>
      </c>
      <c r="I971">
        <v>253</v>
      </c>
      <c r="J971">
        <v>246</v>
      </c>
      <c r="K971">
        <v>259</v>
      </c>
      <c r="L971">
        <v>253</v>
      </c>
      <c r="M971">
        <v>236</v>
      </c>
      <c r="N971">
        <v>227</v>
      </c>
      <c r="O971" s="173">
        <f t="shared" si="201"/>
        <v>251.5</v>
      </c>
      <c r="P971" s="173">
        <f t="shared" si="205"/>
        <v>-2.9166666666666572</v>
      </c>
      <c r="Q971" s="177">
        <f t="shared" si="204"/>
        <v>-1.1464133639043526E-2</v>
      </c>
    </row>
    <row r="972" spans="1:17" x14ac:dyDescent="0.2">
      <c r="B972" t="s">
        <v>471</v>
      </c>
      <c r="C972">
        <v>230</v>
      </c>
      <c r="D972">
        <v>228</v>
      </c>
      <c r="E972">
        <v>245</v>
      </c>
      <c r="F972">
        <v>241</v>
      </c>
      <c r="G972">
        <v>241</v>
      </c>
      <c r="H972">
        <v>233</v>
      </c>
      <c r="I972">
        <v>245</v>
      </c>
      <c r="J972">
        <v>265</v>
      </c>
      <c r="K972">
        <v>258</v>
      </c>
      <c r="L972">
        <v>261</v>
      </c>
      <c r="M972">
        <v>241</v>
      </c>
      <c r="N972">
        <v>231</v>
      </c>
      <c r="O972" s="173">
        <f t="shared" si="201"/>
        <v>243.25</v>
      </c>
      <c r="P972" s="173">
        <f t="shared" si="205"/>
        <v>-8.25</v>
      </c>
      <c r="Q972" s="177">
        <f t="shared" si="204"/>
        <v>-3.2803180914512925E-2</v>
      </c>
    </row>
    <row r="973" spans="1:17" x14ac:dyDescent="0.2">
      <c r="B973" t="s">
        <v>537</v>
      </c>
      <c r="C973">
        <v>265</v>
      </c>
      <c r="D973">
        <v>253</v>
      </c>
      <c r="E973">
        <v>234</v>
      </c>
      <c r="F973">
        <v>254</v>
      </c>
      <c r="G973">
        <v>242</v>
      </c>
      <c r="H973">
        <v>256</v>
      </c>
      <c r="I973">
        <v>262</v>
      </c>
      <c r="J973">
        <v>264</v>
      </c>
      <c r="K973">
        <v>253</v>
      </c>
      <c r="L973">
        <v>262</v>
      </c>
      <c r="M973">
        <v>274</v>
      </c>
      <c r="N973">
        <v>288</v>
      </c>
      <c r="O973" s="173">
        <f t="shared" si="201"/>
        <v>258.91666666666669</v>
      </c>
      <c r="P973" s="173">
        <f t="shared" si="205"/>
        <v>15.666666666666686</v>
      </c>
      <c r="Q973" s="177">
        <f t="shared" si="204"/>
        <v>6.4405618362452968E-2</v>
      </c>
    </row>
    <row r="974" spans="1:17" x14ac:dyDescent="0.2">
      <c r="O974" s="173"/>
      <c r="P974" s="173"/>
      <c r="Q974" s="177"/>
    </row>
    <row r="975" spans="1:17" x14ac:dyDescent="0.2">
      <c r="A975" s="178"/>
      <c r="B975" s="178"/>
      <c r="C975" s="178"/>
      <c r="D975" s="178"/>
      <c r="E975" s="178"/>
      <c r="F975" s="178"/>
      <c r="G975" s="178"/>
      <c r="H975" s="178"/>
      <c r="I975" s="178"/>
      <c r="J975" s="178"/>
      <c r="K975" s="178"/>
      <c r="L975" s="178"/>
      <c r="M975" s="178"/>
      <c r="N975" s="178"/>
      <c r="O975" s="178"/>
      <c r="P975" s="178"/>
      <c r="Q975" s="178"/>
    </row>
    <row r="976" spans="1:17" ht="25.5" x14ac:dyDescent="0.2">
      <c r="A976" s="175" t="s">
        <v>444</v>
      </c>
      <c r="B976" s="653" t="s">
        <v>418</v>
      </c>
      <c r="C976" s="654" t="s">
        <v>419</v>
      </c>
      <c r="D976" s="654" t="s">
        <v>420</v>
      </c>
      <c r="E976" s="654" t="s">
        <v>421</v>
      </c>
      <c r="F976" s="654" t="s">
        <v>422</v>
      </c>
      <c r="G976" s="654" t="s">
        <v>423</v>
      </c>
      <c r="H976" s="654" t="s">
        <v>424</v>
      </c>
      <c r="I976" s="654" t="s">
        <v>425</v>
      </c>
      <c r="J976" s="654" t="s">
        <v>426</v>
      </c>
      <c r="K976" s="654" t="s">
        <v>427</v>
      </c>
      <c r="L976" s="654" t="s">
        <v>428</v>
      </c>
      <c r="M976" s="654" t="s">
        <v>429</v>
      </c>
      <c r="N976" s="654" t="s">
        <v>430</v>
      </c>
    </row>
    <row r="977" spans="2:17" x14ac:dyDescent="0.2">
      <c r="B977" t="s">
        <v>434</v>
      </c>
      <c r="C977">
        <v>204</v>
      </c>
      <c r="D977">
        <v>210</v>
      </c>
      <c r="E977">
        <v>215</v>
      </c>
      <c r="F977">
        <v>213</v>
      </c>
      <c r="G977">
        <v>212</v>
      </c>
      <c r="H977">
        <v>207</v>
      </c>
      <c r="I977">
        <v>200</v>
      </c>
      <c r="J977">
        <v>199</v>
      </c>
      <c r="K977">
        <v>192</v>
      </c>
      <c r="L977">
        <v>192</v>
      </c>
      <c r="M977">
        <v>181</v>
      </c>
      <c r="N977">
        <v>189</v>
      </c>
      <c r="O977" s="173">
        <f t="shared" ref="O977:O991" si="206">SUM(C977:N977)/12</f>
        <v>201.16666666666666</v>
      </c>
      <c r="P977" s="173"/>
    </row>
    <row r="978" spans="2:17" x14ac:dyDescent="0.2">
      <c r="B978" t="s">
        <v>435</v>
      </c>
      <c r="C978">
        <v>191</v>
      </c>
      <c r="D978">
        <v>194</v>
      </c>
      <c r="E978">
        <v>194</v>
      </c>
      <c r="F978">
        <v>191</v>
      </c>
      <c r="G978">
        <v>191</v>
      </c>
      <c r="H978">
        <v>198</v>
      </c>
      <c r="I978">
        <v>185</v>
      </c>
      <c r="J978">
        <v>192</v>
      </c>
      <c r="K978">
        <v>188</v>
      </c>
      <c r="L978">
        <v>198</v>
      </c>
      <c r="M978">
        <v>203</v>
      </c>
      <c r="N978">
        <v>203</v>
      </c>
      <c r="O978" s="173">
        <f t="shared" si="206"/>
        <v>194</v>
      </c>
      <c r="P978" s="173">
        <f t="shared" ref="P978:P985" si="207">SUM(O978-O977)</f>
        <v>-7.1666666666666572</v>
      </c>
      <c r="Q978" s="177">
        <f t="shared" ref="Q978:Q984" si="208">SUM(P978/O977)</f>
        <v>-3.5625517812758863E-2</v>
      </c>
    </row>
    <row r="979" spans="2:17" x14ac:dyDescent="0.2">
      <c r="B979" t="s">
        <v>436</v>
      </c>
      <c r="C979">
        <v>201</v>
      </c>
      <c r="D979">
        <v>196</v>
      </c>
      <c r="E979">
        <v>198</v>
      </c>
      <c r="F979">
        <v>188</v>
      </c>
      <c r="G979">
        <v>188</v>
      </c>
      <c r="H979">
        <v>192</v>
      </c>
      <c r="I979">
        <v>189</v>
      </c>
      <c r="J979">
        <v>200</v>
      </c>
      <c r="K979">
        <v>219</v>
      </c>
      <c r="L979">
        <v>228</v>
      </c>
      <c r="M979">
        <v>234</v>
      </c>
      <c r="N979">
        <v>237</v>
      </c>
      <c r="O979" s="173">
        <f t="shared" si="206"/>
        <v>205.83333333333334</v>
      </c>
      <c r="P979" s="173">
        <f t="shared" si="207"/>
        <v>11.833333333333343</v>
      </c>
      <c r="Q979" s="177">
        <f t="shared" si="208"/>
        <v>6.0996563573883208E-2</v>
      </c>
    </row>
    <row r="980" spans="2:17" x14ac:dyDescent="0.2">
      <c r="B980" t="s">
        <v>260</v>
      </c>
      <c r="C980">
        <v>246</v>
      </c>
      <c r="D980">
        <v>242</v>
      </c>
      <c r="E980">
        <v>245</v>
      </c>
      <c r="F980">
        <v>245</v>
      </c>
      <c r="G980">
        <v>245</v>
      </c>
      <c r="H980">
        <v>245</v>
      </c>
      <c r="I980">
        <v>245</v>
      </c>
      <c r="J980">
        <v>245</v>
      </c>
      <c r="K980">
        <v>245</v>
      </c>
      <c r="L980">
        <v>245</v>
      </c>
      <c r="M980">
        <v>245</v>
      </c>
      <c r="N980">
        <v>245</v>
      </c>
      <c r="O980" s="173">
        <f t="shared" si="206"/>
        <v>244.83333333333334</v>
      </c>
      <c r="P980" s="173">
        <f t="shared" si="207"/>
        <v>39</v>
      </c>
      <c r="Q980" s="177">
        <f t="shared" si="208"/>
        <v>0.18947368421052629</v>
      </c>
    </row>
    <row r="981" spans="2:17" x14ac:dyDescent="0.2">
      <c r="B981" t="s">
        <v>259</v>
      </c>
      <c r="C981">
        <v>219</v>
      </c>
      <c r="D981">
        <v>239</v>
      </c>
      <c r="E981">
        <v>239</v>
      </c>
      <c r="F981">
        <v>242</v>
      </c>
      <c r="G981">
        <v>237</v>
      </c>
      <c r="H981">
        <v>248</v>
      </c>
      <c r="I981">
        <v>255</v>
      </c>
      <c r="J981">
        <v>262</v>
      </c>
      <c r="K981">
        <v>263</v>
      </c>
      <c r="L981">
        <v>274</v>
      </c>
      <c r="M981">
        <v>266</v>
      </c>
      <c r="N981">
        <v>278</v>
      </c>
      <c r="O981" s="173">
        <f t="shared" si="206"/>
        <v>251.83333333333334</v>
      </c>
      <c r="P981" s="173">
        <f t="shared" si="207"/>
        <v>7</v>
      </c>
      <c r="Q981" s="177">
        <f t="shared" si="208"/>
        <v>2.8590878148400271E-2</v>
      </c>
    </row>
    <row r="982" spans="2:17" x14ac:dyDescent="0.2">
      <c r="B982" t="s">
        <v>280</v>
      </c>
      <c r="C982">
        <v>278</v>
      </c>
      <c r="D982">
        <v>279</v>
      </c>
      <c r="E982">
        <v>277</v>
      </c>
      <c r="F982">
        <v>279</v>
      </c>
      <c r="G982">
        <v>282</v>
      </c>
      <c r="H982">
        <v>282</v>
      </c>
      <c r="I982">
        <v>287</v>
      </c>
      <c r="J982">
        <v>293</v>
      </c>
      <c r="K982">
        <v>299</v>
      </c>
      <c r="L982">
        <v>299</v>
      </c>
      <c r="M982">
        <v>316</v>
      </c>
      <c r="N982">
        <v>325</v>
      </c>
      <c r="O982" s="173">
        <f t="shared" si="206"/>
        <v>291.33333333333331</v>
      </c>
      <c r="P982" s="173">
        <f t="shared" si="207"/>
        <v>39.499999999999972</v>
      </c>
      <c r="Q982" s="177">
        <f t="shared" si="208"/>
        <v>0.15684976836532086</v>
      </c>
    </row>
    <row r="983" spans="2:17" x14ac:dyDescent="0.2">
      <c r="B983" t="s">
        <v>290</v>
      </c>
      <c r="C983">
        <v>335</v>
      </c>
      <c r="D983">
        <v>349</v>
      </c>
      <c r="E983">
        <v>352</v>
      </c>
      <c r="F983">
        <v>352</v>
      </c>
      <c r="G983">
        <v>348</v>
      </c>
      <c r="H983">
        <v>363</v>
      </c>
      <c r="I983">
        <v>362</v>
      </c>
      <c r="J983">
        <v>370</v>
      </c>
      <c r="K983">
        <v>376</v>
      </c>
      <c r="L983">
        <v>393</v>
      </c>
      <c r="M983">
        <v>401</v>
      </c>
      <c r="N983">
        <v>400</v>
      </c>
      <c r="O983" s="173">
        <f t="shared" si="206"/>
        <v>366.75</v>
      </c>
      <c r="P983" s="173">
        <f t="shared" si="207"/>
        <v>75.416666666666686</v>
      </c>
      <c r="Q983" s="177">
        <f t="shared" si="208"/>
        <v>0.25886727688787192</v>
      </c>
    </row>
    <row r="984" spans="2:17" x14ac:dyDescent="0.2">
      <c r="B984" t="s">
        <v>293</v>
      </c>
      <c r="C984">
        <v>397</v>
      </c>
      <c r="D984">
        <v>402</v>
      </c>
      <c r="E984">
        <v>398</v>
      </c>
      <c r="F984">
        <v>408</v>
      </c>
      <c r="G984">
        <v>409</v>
      </c>
      <c r="H984">
        <v>416</v>
      </c>
      <c r="I984">
        <v>415</v>
      </c>
      <c r="J984">
        <v>414</v>
      </c>
      <c r="K984">
        <v>405</v>
      </c>
      <c r="L984">
        <v>486</v>
      </c>
      <c r="M984">
        <v>472</v>
      </c>
      <c r="N984">
        <v>409</v>
      </c>
      <c r="O984" s="173">
        <f t="shared" si="206"/>
        <v>419.25</v>
      </c>
      <c r="P984" s="173">
        <f t="shared" si="207"/>
        <v>52.5</v>
      </c>
      <c r="Q984" s="177">
        <f t="shared" si="208"/>
        <v>0.14314928425357873</v>
      </c>
    </row>
    <row r="985" spans="2:17" x14ac:dyDescent="0.2">
      <c r="B985" t="s">
        <v>294</v>
      </c>
      <c r="C985">
        <v>426</v>
      </c>
      <c r="D985">
        <v>431</v>
      </c>
      <c r="E985">
        <v>506</v>
      </c>
      <c r="F985">
        <v>455</v>
      </c>
      <c r="G985">
        <v>489</v>
      </c>
      <c r="H985">
        <v>513</v>
      </c>
      <c r="I985">
        <v>514</v>
      </c>
      <c r="J985">
        <v>518</v>
      </c>
      <c r="K985">
        <v>505</v>
      </c>
      <c r="L985">
        <v>502</v>
      </c>
      <c r="M985">
        <v>516</v>
      </c>
      <c r="N985">
        <v>530</v>
      </c>
      <c r="O985" s="173">
        <f t="shared" si="206"/>
        <v>492.08333333333331</v>
      </c>
      <c r="P985" s="173">
        <f t="shared" si="207"/>
        <v>72.833333333333314</v>
      </c>
      <c r="Q985" s="177">
        <f t="shared" ref="Q985:Q991" si="209">SUM(P985/O984)</f>
        <v>0.17372291790896438</v>
      </c>
    </row>
    <row r="986" spans="2:17" x14ac:dyDescent="0.2">
      <c r="B986" t="s">
        <v>295</v>
      </c>
      <c r="C986">
        <v>482</v>
      </c>
      <c r="D986">
        <v>466</v>
      </c>
      <c r="E986">
        <v>463</v>
      </c>
      <c r="F986">
        <v>466</v>
      </c>
      <c r="G986">
        <v>455</v>
      </c>
      <c r="H986">
        <v>458</v>
      </c>
      <c r="I986">
        <v>448</v>
      </c>
      <c r="J986">
        <v>451</v>
      </c>
      <c r="K986">
        <v>454</v>
      </c>
      <c r="L986">
        <v>449</v>
      </c>
      <c r="M986">
        <v>443</v>
      </c>
      <c r="N986">
        <v>447</v>
      </c>
      <c r="O986" s="173">
        <f t="shared" si="206"/>
        <v>456.83333333333331</v>
      </c>
      <c r="P986" s="173">
        <f t="shared" ref="P986:P991" si="210">SUM(O986-O985)</f>
        <v>-35.25</v>
      </c>
      <c r="Q986" s="177">
        <f t="shared" si="209"/>
        <v>-7.1634208298052504E-2</v>
      </c>
    </row>
    <row r="987" spans="2:17" x14ac:dyDescent="0.2">
      <c r="B987" t="s">
        <v>335</v>
      </c>
      <c r="C987">
        <v>441</v>
      </c>
      <c r="D987">
        <v>439</v>
      </c>
      <c r="E987">
        <v>439</v>
      </c>
      <c r="F987">
        <v>426</v>
      </c>
      <c r="G987">
        <v>432</v>
      </c>
      <c r="H987">
        <v>465</v>
      </c>
      <c r="I987">
        <v>452</v>
      </c>
      <c r="J987">
        <v>441</v>
      </c>
      <c r="K987">
        <v>443</v>
      </c>
      <c r="L987">
        <v>462</v>
      </c>
      <c r="M987">
        <v>480</v>
      </c>
      <c r="N987">
        <v>467</v>
      </c>
      <c r="O987" s="173">
        <f t="shared" si="206"/>
        <v>448.91666666666669</v>
      </c>
      <c r="P987" s="173">
        <f t="shared" si="210"/>
        <v>-7.9166666666666288</v>
      </c>
      <c r="Q987" s="177">
        <f t="shared" si="209"/>
        <v>-1.7329441809558473E-2</v>
      </c>
    </row>
    <row r="988" spans="2:17" x14ac:dyDescent="0.2">
      <c r="B988" t="s">
        <v>358</v>
      </c>
      <c r="C988">
        <v>465</v>
      </c>
      <c r="D988">
        <v>456</v>
      </c>
      <c r="E988">
        <v>455</v>
      </c>
      <c r="F988">
        <v>464</v>
      </c>
      <c r="G988">
        <v>461</v>
      </c>
      <c r="H988">
        <v>470</v>
      </c>
      <c r="I988">
        <v>443</v>
      </c>
      <c r="J988">
        <v>469</v>
      </c>
      <c r="K988">
        <v>478</v>
      </c>
      <c r="L988">
        <v>471</v>
      </c>
      <c r="M988">
        <v>457</v>
      </c>
      <c r="N988">
        <v>468</v>
      </c>
      <c r="O988" s="173">
        <f t="shared" si="206"/>
        <v>463.08333333333331</v>
      </c>
      <c r="P988" s="173">
        <f t="shared" si="210"/>
        <v>14.166666666666629</v>
      </c>
      <c r="Q988" s="177">
        <f t="shared" si="209"/>
        <v>3.1557453127900419E-2</v>
      </c>
    </row>
    <row r="989" spans="2:17" x14ac:dyDescent="0.2">
      <c r="B989" t="s">
        <v>437</v>
      </c>
      <c r="C989">
        <v>486</v>
      </c>
      <c r="D989">
        <v>496</v>
      </c>
      <c r="E989">
        <v>489</v>
      </c>
      <c r="F989">
        <v>495</v>
      </c>
      <c r="G989">
        <v>495</v>
      </c>
      <c r="H989">
        <v>495</v>
      </c>
      <c r="I989">
        <v>495</v>
      </c>
      <c r="J989">
        <v>500</v>
      </c>
      <c r="K989">
        <v>502</v>
      </c>
      <c r="L989">
        <v>508</v>
      </c>
      <c r="M989">
        <v>497</v>
      </c>
      <c r="N989">
        <v>504</v>
      </c>
      <c r="O989" s="173">
        <f t="shared" si="206"/>
        <v>496.83333333333331</v>
      </c>
      <c r="P989" s="173">
        <f t="shared" si="210"/>
        <v>33.75</v>
      </c>
      <c r="Q989" s="177">
        <f t="shared" si="209"/>
        <v>7.2881050926759047E-2</v>
      </c>
    </row>
    <row r="990" spans="2:17" x14ac:dyDescent="0.2">
      <c r="B990" t="s">
        <v>471</v>
      </c>
      <c r="C990">
        <v>496</v>
      </c>
      <c r="D990">
        <v>494</v>
      </c>
      <c r="E990">
        <v>478</v>
      </c>
      <c r="F990">
        <v>497</v>
      </c>
      <c r="G990">
        <v>499</v>
      </c>
      <c r="H990">
        <v>494</v>
      </c>
      <c r="I990">
        <v>489</v>
      </c>
      <c r="J990">
        <v>495</v>
      </c>
      <c r="K990">
        <v>490</v>
      </c>
      <c r="L990">
        <v>488</v>
      </c>
      <c r="M990">
        <v>497</v>
      </c>
      <c r="N990">
        <v>488</v>
      </c>
      <c r="O990" s="173">
        <f t="shared" si="206"/>
        <v>492.08333333333331</v>
      </c>
      <c r="P990" s="173">
        <f t="shared" si="210"/>
        <v>-4.75</v>
      </c>
      <c r="Q990" s="177">
        <f t="shared" si="209"/>
        <v>-9.5605501509560559E-3</v>
      </c>
    </row>
    <row r="991" spans="2:17" x14ac:dyDescent="0.2">
      <c r="B991" t="s">
        <v>537</v>
      </c>
      <c r="C991">
        <v>487</v>
      </c>
      <c r="D991">
        <v>474</v>
      </c>
      <c r="E991">
        <v>466</v>
      </c>
      <c r="F991">
        <v>470</v>
      </c>
      <c r="G991">
        <v>464</v>
      </c>
      <c r="H991">
        <v>474</v>
      </c>
      <c r="I991">
        <v>469</v>
      </c>
      <c r="J991">
        <v>478</v>
      </c>
      <c r="K991">
        <v>472</v>
      </c>
      <c r="L991">
        <v>468</v>
      </c>
      <c r="M991">
        <v>474</v>
      </c>
      <c r="N991">
        <v>471</v>
      </c>
      <c r="O991" s="173">
        <f t="shared" si="206"/>
        <v>472.25</v>
      </c>
      <c r="P991" s="173">
        <f t="shared" si="210"/>
        <v>-19.833333333333314</v>
      </c>
      <c r="Q991" s="177">
        <f t="shared" si="209"/>
        <v>-4.0304826418289551E-2</v>
      </c>
    </row>
    <row r="992" spans="2:17" x14ac:dyDescent="0.2">
      <c r="O992" s="173"/>
      <c r="P992" s="173"/>
      <c r="Q992" s="177"/>
    </row>
    <row r="993" spans="1:17" ht="25.5" x14ac:dyDescent="0.2">
      <c r="A993" s="175" t="s">
        <v>445</v>
      </c>
      <c r="B993" s="653" t="s">
        <v>418</v>
      </c>
      <c r="C993" s="654" t="s">
        <v>419</v>
      </c>
      <c r="D993" s="654" t="s">
        <v>420</v>
      </c>
      <c r="E993" s="654" t="s">
        <v>421</v>
      </c>
      <c r="F993" s="654" t="s">
        <v>422</v>
      </c>
      <c r="G993" s="654" t="s">
        <v>423</v>
      </c>
      <c r="H993" s="654" t="s">
        <v>424</v>
      </c>
      <c r="I993" s="654" t="s">
        <v>425</v>
      </c>
      <c r="J993" s="654" t="s">
        <v>426</v>
      </c>
      <c r="K993" s="654" t="s">
        <v>427</v>
      </c>
      <c r="L993" s="654" t="s">
        <v>428</v>
      </c>
      <c r="M993" s="654" t="s">
        <v>429</v>
      </c>
      <c r="N993" s="654" t="s">
        <v>430</v>
      </c>
    </row>
    <row r="994" spans="1:17" x14ac:dyDescent="0.2">
      <c r="B994" t="s">
        <v>434</v>
      </c>
      <c r="C994">
        <v>173</v>
      </c>
      <c r="D994">
        <v>167</v>
      </c>
      <c r="E994">
        <v>163</v>
      </c>
      <c r="F994">
        <v>169</v>
      </c>
      <c r="G994">
        <v>161</v>
      </c>
      <c r="H994">
        <v>164</v>
      </c>
      <c r="I994">
        <v>156</v>
      </c>
      <c r="J994">
        <v>157</v>
      </c>
      <c r="K994">
        <v>148</v>
      </c>
      <c r="L994">
        <v>156</v>
      </c>
      <c r="M994">
        <v>171</v>
      </c>
      <c r="N994">
        <v>177</v>
      </c>
      <c r="O994" s="173">
        <f t="shared" ref="O994:O1008" si="211">SUM(C994:N994)/12</f>
        <v>163.5</v>
      </c>
      <c r="P994" s="173"/>
    </row>
    <row r="995" spans="1:17" x14ac:dyDescent="0.2">
      <c r="B995" t="s">
        <v>435</v>
      </c>
      <c r="C995">
        <v>169</v>
      </c>
      <c r="D995">
        <v>160</v>
      </c>
      <c r="E995">
        <v>150</v>
      </c>
      <c r="F995">
        <v>143</v>
      </c>
      <c r="G995">
        <v>143</v>
      </c>
      <c r="H995">
        <v>140</v>
      </c>
      <c r="I995">
        <v>144</v>
      </c>
      <c r="J995">
        <v>152</v>
      </c>
      <c r="K995">
        <v>152</v>
      </c>
      <c r="L995">
        <v>143</v>
      </c>
      <c r="M995">
        <v>151</v>
      </c>
      <c r="N995">
        <v>152</v>
      </c>
      <c r="O995" s="173">
        <f t="shared" si="211"/>
        <v>149.91666666666666</v>
      </c>
      <c r="P995" s="173">
        <f t="shared" ref="P995:P1002" si="212">SUM(O995-O994)</f>
        <v>-13.583333333333343</v>
      </c>
      <c r="Q995" s="177">
        <f t="shared" ref="Q995:Q1001" si="213">SUM(P995/O994)</f>
        <v>-8.3078491335372123E-2</v>
      </c>
    </row>
    <row r="996" spans="1:17" x14ac:dyDescent="0.2">
      <c r="B996" t="s">
        <v>436</v>
      </c>
      <c r="C996">
        <v>144</v>
      </c>
      <c r="D996">
        <v>141</v>
      </c>
      <c r="E996">
        <v>140</v>
      </c>
      <c r="F996">
        <v>142</v>
      </c>
      <c r="G996">
        <v>138</v>
      </c>
      <c r="H996">
        <v>143</v>
      </c>
      <c r="I996">
        <v>143</v>
      </c>
      <c r="J996">
        <v>152</v>
      </c>
      <c r="K996">
        <v>157</v>
      </c>
      <c r="L996">
        <v>162</v>
      </c>
      <c r="M996">
        <v>167</v>
      </c>
      <c r="N996">
        <v>172</v>
      </c>
      <c r="O996" s="173">
        <f t="shared" si="211"/>
        <v>150.08333333333334</v>
      </c>
      <c r="P996" s="173">
        <f t="shared" si="212"/>
        <v>0.16666666666668561</v>
      </c>
      <c r="Q996" s="177">
        <f t="shared" si="213"/>
        <v>1.1117287381880085E-3</v>
      </c>
    </row>
    <row r="997" spans="1:17" x14ac:dyDescent="0.2">
      <c r="B997" t="s">
        <v>260</v>
      </c>
      <c r="C997">
        <v>175</v>
      </c>
      <c r="D997">
        <v>144</v>
      </c>
      <c r="E997">
        <v>144</v>
      </c>
      <c r="F997">
        <v>144</v>
      </c>
      <c r="G997">
        <v>153</v>
      </c>
      <c r="H997">
        <v>153</v>
      </c>
      <c r="I997">
        <v>153</v>
      </c>
      <c r="J997">
        <v>153</v>
      </c>
      <c r="K997">
        <v>153</v>
      </c>
      <c r="L997">
        <v>162</v>
      </c>
      <c r="M997">
        <v>167</v>
      </c>
      <c r="N997">
        <v>172</v>
      </c>
      <c r="O997" s="173">
        <f t="shared" si="211"/>
        <v>156.08333333333334</v>
      </c>
      <c r="P997" s="173">
        <f t="shared" si="212"/>
        <v>6</v>
      </c>
      <c r="Q997" s="177">
        <f t="shared" si="213"/>
        <v>3.9977790116601887E-2</v>
      </c>
    </row>
    <row r="998" spans="1:17" x14ac:dyDescent="0.2">
      <c r="B998" t="s">
        <v>259</v>
      </c>
      <c r="C998">
        <v>189</v>
      </c>
      <c r="D998">
        <v>147</v>
      </c>
      <c r="E998">
        <v>150</v>
      </c>
      <c r="F998">
        <v>149</v>
      </c>
      <c r="G998">
        <v>143</v>
      </c>
      <c r="H998">
        <v>144</v>
      </c>
      <c r="I998">
        <v>145</v>
      </c>
      <c r="J998">
        <v>150</v>
      </c>
      <c r="K998">
        <v>156</v>
      </c>
      <c r="L998">
        <v>156</v>
      </c>
      <c r="M998">
        <v>137</v>
      </c>
      <c r="N998">
        <v>137</v>
      </c>
      <c r="O998" s="173">
        <f t="shared" si="211"/>
        <v>150.25</v>
      </c>
      <c r="P998" s="173">
        <f t="shared" si="212"/>
        <v>-5.8333333333333428</v>
      </c>
      <c r="Q998" s="177">
        <f t="shared" si="213"/>
        <v>-3.7373198077949872E-2</v>
      </c>
    </row>
    <row r="999" spans="1:17" x14ac:dyDescent="0.2">
      <c r="B999" t="s">
        <v>280</v>
      </c>
      <c r="C999">
        <v>121</v>
      </c>
      <c r="D999">
        <v>120</v>
      </c>
      <c r="E999">
        <v>127</v>
      </c>
      <c r="F999">
        <v>130</v>
      </c>
      <c r="G999">
        <v>134</v>
      </c>
      <c r="H999">
        <v>143</v>
      </c>
      <c r="I999">
        <v>142</v>
      </c>
      <c r="J999">
        <v>138</v>
      </c>
      <c r="K999">
        <v>139</v>
      </c>
      <c r="L999">
        <v>146</v>
      </c>
      <c r="M999">
        <v>148</v>
      </c>
      <c r="N999">
        <v>147</v>
      </c>
      <c r="O999" s="173">
        <f t="shared" si="211"/>
        <v>136.25</v>
      </c>
      <c r="P999" s="173">
        <f t="shared" si="212"/>
        <v>-14</v>
      </c>
      <c r="Q999" s="177">
        <f t="shared" si="213"/>
        <v>-9.3178036605657238E-2</v>
      </c>
    </row>
    <row r="1000" spans="1:17" x14ac:dyDescent="0.2">
      <c r="B1000" t="s">
        <v>290</v>
      </c>
      <c r="C1000">
        <v>146</v>
      </c>
      <c r="D1000">
        <v>146</v>
      </c>
      <c r="E1000">
        <v>146</v>
      </c>
      <c r="F1000">
        <v>152</v>
      </c>
      <c r="G1000">
        <v>150</v>
      </c>
      <c r="H1000">
        <v>141</v>
      </c>
      <c r="I1000">
        <v>136</v>
      </c>
      <c r="J1000">
        <v>139</v>
      </c>
      <c r="K1000">
        <v>141</v>
      </c>
      <c r="L1000">
        <v>149</v>
      </c>
      <c r="M1000">
        <v>155</v>
      </c>
      <c r="N1000">
        <v>142</v>
      </c>
      <c r="O1000" s="173">
        <f t="shared" si="211"/>
        <v>145.25</v>
      </c>
      <c r="P1000" s="173">
        <f t="shared" si="212"/>
        <v>9</v>
      </c>
      <c r="Q1000" s="177">
        <f t="shared" si="213"/>
        <v>6.6055045871559637E-2</v>
      </c>
    </row>
    <row r="1001" spans="1:17" x14ac:dyDescent="0.2">
      <c r="B1001" t="s">
        <v>293</v>
      </c>
      <c r="C1001">
        <v>148</v>
      </c>
      <c r="D1001">
        <v>149</v>
      </c>
      <c r="E1001">
        <v>149</v>
      </c>
      <c r="F1001">
        <v>151</v>
      </c>
      <c r="G1001">
        <v>139</v>
      </c>
      <c r="H1001">
        <v>141</v>
      </c>
      <c r="I1001">
        <v>136</v>
      </c>
      <c r="J1001">
        <v>148</v>
      </c>
      <c r="K1001">
        <v>146</v>
      </c>
      <c r="L1001">
        <v>210</v>
      </c>
      <c r="M1001">
        <v>211</v>
      </c>
      <c r="N1001">
        <v>152</v>
      </c>
      <c r="O1001" s="173">
        <f t="shared" si="211"/>
        <v>156.66666666666666</v>
      </c>
      <c r="P1001" s="173">
        <f t="shared" si="212"/>
        <v>11.416666666666657</v>
      </c>
      <c r="Q1001" s="177">
        <f t="shared" si="213"/>
        <v>7.8600114744692987E-2</v>
      </c>
    </row>
    <row r="1002" spans="1:17" x14ac:dyDescent="0.2">
      <c r="B1002" t="s">
        <v>294</v>
      </c>
      <c r="C1002">
        <v>146</v>
      </c>
      <c r="D1002">
        <v>150</v>
      </c>
      <c r="E1002">
        <v>146</v>
      </c>
      <c r="F1002">
        <v>146</v>
      </c>
      <c r="G1002">
        <v>114</v>
      </c>
      <c r="H1002">
        <v>99</v>
      </c>
      <c r="I1002">
        <v>169</v>
      </c>
      <c r="J1002">
        <v>145</v>
      </c>
      <c r="K1002">
        <v>145</v>
      </c>
      <c r="L1002">
        <v>145</v>
      </c>
      <c r="M1002">
        <v>139</v>
      </c>
      <c r="N1002">
        <v>138</v>
      </c>
      <c r="O1002" s="173">
        <f t="shared" si="211"/>
        <v>140.16666666666666</v>
      </c>
      <c r="P1002" s="173">
        <f t="shared" si="212"/>
        <v>-16.5</v>
      </c>
      <c r="Q1002" s="177">
        <f t="shared" ref="Q1002:Q1008" si="214">SUM(P1002/O1001)</f>
        <v>-0.10531914893617023</v>
      </c>
    </row>
    <row r="1003" spans="1:17" x14ac:dyDescent="0.2">
      <c r="B1003" t="s">
        <v>295</v>
      </c>
      <c r="C1003">
        <v>133</v>
      </c>
      <c r="D1003">
        <v>135</v>
      </c>
      <c r="E1003">
        <v>136</v>
      </c>
      <c r="F1003">
        <v>143</v>
      </c>
      <c r="G1003">
        <v>140</v>
      </c>
      <c r="H1003">
        <v>144</v>
      </c>
      <c r="I1003">
        <v>145</v>
      </c>
      <c r="J1003">
        <v>144</v>
      </c>
      <c r="K1003">
        <v>166</v>
      </c>
      <c r="L1003">
        <v>162</v>
      </c>
      <c r="M1003">
        <v>166</v>
      </c>
      <c r="N1003">
        <v>161</v>
      </c>
      <c r="O1003" s="173">
        <f t="shared" si="211"/>
        <v>147.91666666666666</v>
      </c>
      <c r="P1003" s="173">
        <f t="shared" ref="P1003:P1008" si="215">SUM(O1003-O1002)</f>
        <v>7.75</v>
      </c>
      <c r="Q1003" s="177">
        <f t="shared" si="214"/>
        <v>5.5291319857312726E-2</v>
      </c>
    </row>
    <row r="1004" spans="1:17" x14ac:dyDescent="0.2">
      <c r="B1004" t="s">
        <v>335</v>
      </c>
      <c r="C1004">
        <v>159</v>
      </c>
      <c r="D1004">
        <v>157</v>
      </c>
      <c r="E1004">
        <v>154</v>
      </c>
      <c r="F1004">
        <v>156</v>
      </c>
      <c r="G1004">
        <v>155</v>
      </c>
      <c r="H1004">
        <v>151</v>
      </c>
      <c r="I1004">
        <v>152</v>
      </c>
      <c r="J1004">
        <v>148</v>
      </c>
      <c r="K1004">
        <v>152</v>
      </c>
      <c r="L1004">
        <v>155</v>
      </c>
      <c r="M1004">
        <v>161</v>
      </c>
      <c r="N1004">
        <v>156</v>
      </c>
      <c r="O1004" s="173">
        <f t="shared" si="211"/>
        <v>154.66666666666666</v>
      </c>
      <c r="P1004" s="173">
        <f t="shared" si="215"/>
        <v>6.75</v>
      </c>
      <c r="Q1004" s="177">
        <f t="shared" si="214"/>
        <v>4.5633802816901409E-2</v>
      </c>
    </row>
    <row r="1005" spans="1:17" x14ac:dyDescent="0.2">
      <c r="B1005" t="s">
        <v>358</v>
      </c>
      <c r="C1005">
        <v>150</v>
      </c>
      <c r="D1005">
        <v>158</v>
      </c>
      <c r="E1005">
        <v>160</v>
      </c>
      <c r="F1005">
        <v>142</v>
      </c>
      <c r="G1005">
        <v>141</v>
      </c>
      <c r="H1005">
        <v>138</v>
      </c>
      <c r="I1005">
        <v>139</v>
      </c>
      <c r="J1005">
        <v>136</v>
      </c>
      <c r="K1005">
        <v>134</v>
      </c>
      <c r="L1005">
        <v>142</v>
      </c>
      <c r="M1005">
        <v>143</v>
      </c>
      <c r="N1005">
        <v>135</v>
      </c>
      <c r="O1005" s="173">
        <f t="shared" si="211"/>
        <v>143.16666666666666</v>
      </c>
      <c r="P1005" s="173">
        <f t="shared" si="215"/>
        <v>-11.5</v>
      </c>
      <c r="Q1005" s="177">
        <f t="shared" si="214"/>
        <v>-7.4353448275862072E-2</v>
      </c>
    </row>
    <row r="1006" spans="1:17" x14ac:dyDescent="0.2">
      <c r="B1006" t="s">
        <v>437</v>
      </c>
      <c r="C1006">
        <v>137</v>
      </c>
      <c r="D1006">
        <v>145</v>
      </c>
      <c r="E1006">
        <v>146</v>
      </c>
      <c r="F1006">
        <v>150</v>
      </c>
      <c r="G1006">
        <v>146</v>
      </c>
      <c r="H1006">
        <v>138</v>
      </c>
      <c r="I1006">
        <v>137</v>
      </c>
      <c r="J1006">
        <v>135</v>
      </c>
      <c r="K1006">
        <v>138</v>
      </c>
      <c r="L1006">
        <v>141</v>
      </c>
      <c r="M1006">
        <v>147</v>
      </c>
      <c r="N1006">
        <v>140</v>
      </c>
      <c r="O1006" s="173">
        <f t="shared" si="211"/>
        <v>141.66666666666666</v>
      </c>
      <c r="P1006" s="173">
        <f t="shared" si="215"/>
        <v>-1.5</v>
      </c>
      <c r="Q1006" s="177">
        <f t="shared" si="214"/>
        <v>-1.0477299185098952E-2</v>
      </c>
    </row>
    <row r="1007" spans="1:17" x14ac:dyDescent="0.2">
      <c r="B1007" t="s">
        <v>471</v>
      </c>
      <c r="C1007">
        <v>140</v>
      </c>
      <c r="D1007">
        <v>137</v>
      </c>
      <c r="E1007">
        <v>119</v>
      </c>
      <c r="F1007">
        <v>113</v>
      </c>
      <c r="G1007">
        <v>111</v>
      </c>
      <c r="H1007">
        <v>112</v>
      </c>
      <c r="I1007">
        <v>117</v>
      </c>
      <c r="J1007">
        <v>109</v>
      </c>
      <c r="K1007">
        <v>106</v>
      </c>
      <c r="L1007">
        <v>117</v>
      </c>
      <c r="M1007">
        <v>122</v>
      </c>
      <c r="N1007">
        <v>124</v>
      </c>
      <c r="O1007" s="173">
        <f t="shared" si="211"/>
        <v>118.91666666666667</v>
      </c>
      <c r="P1007" s="173">
        <f t="shared" si="215"/>
        <v>-22.749999999999986</v>
      </c>
      <c r="Q1007" s="177">
        <f t="shared" si="214"/>
        <v>-0.16058823529411756</v>
      </c>
    </row>
    <row r="1008" spans="1:17" x14ac:dyDescent="0.2">
      <c r="B1008" t="s">
        <v>537</v>
      </c>
      <c r="C1008">
        <v>138</v>
      </c>
      <c r="D1008">
        <v>145</v>
      </c>
      <c r="E1008">
        <v>142</v>
      </c>
      <c r="F1008">
        <v>146</v>
      </c>
      <c r="G1008">
        <v>148</v>
      </c>
      <c r="H1008">
        <v>149</v>
      </c>
      <c r="I1008">
        <v>150</v>
      </c>
      <c r="J1008">
        <v>147</v>
      </c>
      <c r="K1008">
        <v>152</v>
      </c>
      <c r="L1008">
        <v>159</v>
      </c>
      <c r="M1008">
        <v>160</v>
      </c>
      <c r="N1008">
        <v>157</v>
      </c>
      <c r="O1008" s="173">
        <f t="shared" si="211"/>
        <v>149.41666666666666</v>
      </c>
      <c r="P1008" s="173">
        <f t="shared" si="215"/>
        <v>30.499999999999986</v>
      </c>
      <c r="Q1008" s="177">
        <f t="shared" si="214"/>
        <v>0.25648213034337758</v>
      </c>
    </row>
    <row r="1009" spans="1:17" x14ac:dyDescent="0.2">
      <c r="O1009" s="173"/>
      <c r="P1009" s="173"/>
      <c r="Q1009" s="177"/>
    </row>
    <row r="1010" spans="1:17" ht="25.5" x14ac:dyDescent="0.2">
      <c r="A1010" s="175" t="s">
        <v>446</v>
      </c>
      <c r="B1010" s="653" t="s">
        <v>418</v>
      </c>
      <c r="C1010" s="654" t="s">
        <v>419</v>
      </c>
      <c r="D1010" s="654" t="s">
        <v>420</v>
      </c>
      <c r="E1010" s="654" t="s">
        <v>421</v>
      </c>
      <c r="F1010" s="654" t="s">
        <v>422</v>
      </c>
      <c r="G1010" s="654" t="s">
        <v>423</v>
      </c>
      <c r="H1010" s="654" t="s">
        <v>424</v>
      </c>
      <c r="I1010" s="654" t="s">
        <v>425</v>
      </c>
      <c r="J1010" s="654" t="s">
        <v>426</v>
      </c>
      <c r="K1010" s="654" t="s">
        <v>427</v>
      </c>
      <c r="L1010" s="654" t="s">
        <v>428</v>
      </c>
      <c r="M1010" s="654" t="s">
        <v>429</v>
      </c>
      <c r="N1010" s="654" t="s">
        <v>430</v>
      </c>
    </row>
    <row r="1011" spans="1:17" x14ac:dyDescent="0.2">
      <c r="B1011" t="s">
        <v>434</v>
      </c>
      <c r="C1011">
        <v>88</v>
      </c>
      <c r="D1011">
        <v>88</v>
      </c>
      <c r="E1011">
        <v>91</v>
      </c>
      <c r="F1011">
        <v>89</v>
      </c>
      <c r="G1011">
        <v>92</v>
      </c>
      <c r="H1011">
        <v>87</v>
      </c>
      <c r="I1011">
        <v>92</v>
      </c>
      <c r="J1011">
        <v>98</v>
      </c>
      <c r="K1011">
        <v>100</v>
      </c>
      <c r="L1011">
        <v>101</v>
      </c>
      <c r="M1011">
        <v>101</v>
      </c>
      <c r="N1011">
        <v>103</v>
      </c>
      <c r="O1011" s="173">
        <f t="shared" ref="O1011:O1019" si="216">SUM(C1011:N1011)/12</f>
        <v>94.166666666666671</v>
      </c>
      <c r="P1011" s="173"/>
    </row>
    <row r="1012" spans="1:17" x14ac:dyDescent="0.2">
      <c r="B1012" t="s">
        <v>435</v>
      </c>
      <c r="C1012">
        <v>99</v>
      </c>
      <c r="D1012">
        <v>99</v>
      </c>
      <c r="E1012">
        <v>93</v>
      </c>
      <c r="F1012">
        <v>96</v>
      </c>
      <c r="G1012">
        <v>87</v>
      </c>
      <c r="H1012">
        <v>98</v>
      </c>
      <c r="I1012">
        <v>92</v>
      </c>
      <c r="J1012">
        <v>97</v>
      </c>
      <c r="K1012">
        <v>96</v>
      </c>
      <c r="L1012">
        <v>96</v>
      </c>
      <c r="M1012">
        <v>99</v>
      </c>
      <c r="N1012">
        <v>104</v>
      </c>
      <c r="O1012" s="173">
        <f t="shared" si="216"/>
        <v>96.333333333333329</v>
      </c>
      <c r="P1012" s="173">
        <f t="shared" ref="P1012:P1019" si="217">SUM(O1012-O1011)</f>
        <v>2.1666666666666572</v>
      </c>
      <c r="Q1012" s="177">
        <f t="shared" ref="Q1012:Q1018" si="218">SUM(P1012/O1011)</f>
        <v>2.3008849557522023E-2</v>
      </c>
    </row>
    <row r="1013" spans="1:17" x14ac:dyDescent="0.2">
      <c r="B1013" t="s">
        <v>436</v>
      </c>
      <c r="C1013">
        <v>103</v>
      </c>
      <c r="D1013">
        <v>108</v>
      </c>
      <c r="E1013">
        <v>99</v>
      </c>
      <c r="F1013">
        <v>108</v>
      </c>
      <c r="G1013">
        <v>104</v>
      </c>
      <c r="H1013">
        <v>89</v>
      </c>
      <c r="I1013">
        <v>81</v>
      </c>
      <c r="J1013">
        <v>73</v>
      </c>
      <c r="K1013">
        <v>71</v>
      </c>
      <c r="L1013">
        <v>75</v>
      </c>
      <c r="M1013">
        <v>110</v>
      </c>
      <c r="N1013">
        <v>120</v>
      </c>
      <c r="O1013" s="173">
        <f t="shared" si="216"/>
        <v>95.083333333333329</v>
      </c>
      <c r="P1013" s="173">
        <f t="shared" si="217"/>
        <v>-1.25</v>
      </c>
      <c r="Q1013" s="177">
        <f t="shared" si="218"/>
        <v>-1.2975778546712804E-2</v>
      </c>
    </row>
    <row r="1014" spans="1:17" x14ac:dyDescent="0.2">
      <c r="B1014" t="s">
        <v>260</v>
      </c>
      <c r="C1014">
        <v>75</v>
      </c>
      <c r="D1014">
        <v>134</v>
      </c>
      <c r="E1014">
        <v>85</v>
      </c>
      <c r="F1014">
        <v>85</v>
      </c>
      <c r="G1014">
        <v>86</v>
      </c>
      <c r="H1014">
        <v>89</v>
      </c>
      <c r="I1014">
        <v>85</v>
      </c>
      <c r="J1014">
        <v>85</v>
      </c>
      <c r="K1014">
        <v>85</v>
      </c>
      <c r="L1014">
        <v>85</v>
      </c>
      <c r="M1014">
        <v>85</v>
      </c>
      <c r="N1014">
        <v>85</v>
      </c>
      <c r="O1014" s="173">
        <f t="shared" si="216"/>
        <v>88.666666666666671</v>
      </c>
      <c r="P1014" s="173">
        <f t="shared" si="217"/>
        <v>-6.4166666666666572</v>
      </c>
      <c r="Q1014" s="177">
        <f t="shared" si="218"/>
        <v>-6.7484662576687018E-2</v>
      </c>
    </row>
    <row r="1015" spans="1:17" x14ac:dyDescent="0.2">
      <c r="B1015" t="s">
        <v>259</v>
      </c>
      <c r="C1015">
        <v>107</v>
      </c>
      <c r="D1015">
        <v>90</v>
      </c>
      <c r="E1015">
        <v>90</v>
      </c>
      <c r="F1015">
        <v>91</v>
      </c>
      <c r="G1015">
        <v>89</v>
      </c>
      <c r="H1015">
        <v>89</v>
      </c>
      <c r="I1015">
        <v>87</v>
      </c>
      <c r="J1015">
        <v>83</v>
      </c>
      <c r="K1015">
        <v>79</v>
      </c>
      <c r="L1015">
        <v>83</v>
      </c>
      <c r="M1015">
        <v>84</v>
      </c>
      <c r="N1015">
        <v>86</v>
      </c>
      <c r="O1015" s="173">
        <f t="shared" si="216"/>
        <v>88.166666666666671</v>
      </c>
      <c r="P1015" s="173">
        <f t="shared" si="217"/>
        <v>-0.5</v>
      </c>
      <c r="Q1015" s="177">
        <f t="shared" si="218"/>
        <v>-5.6390977443609019E-3</v>
      </c>
    </row>
    <row r="1016" spans="1:17" x14ac:dyDescent="0.2">
      <c r="B1016" t="s">
        <v>280</v>
      </c>
      <c r="C1016">
        <v>94</v>
      </c>
      <c r="D1016">
        <v>94</v>
      </c>
      <c r="E1016">
        <v>95</v>
      </c>
      <c r="F1016">
        <v>92</v>
      </c>
      <c r="G1016">
        <v>92</v>
      </c>
      <c r="H1016">
        <v>91</v>
      </c>
      <c r="I1016">
        <v>93</v>
      </c>
      <c r="J1016">
        <v>90</v>
      </c>
      <c r="K1016">
        <v>87</v>
      </c>
      <c r="L1016">
        <v>86</v>
      </c>
      <c r="M1016">
        <v>86</v>
      </c>
      <c r="N1016">
        <v>85</v>
      </c>
      <c r="O1016" s="173">
        <f t="shared" si="216"/>
        <v>90.416666666666671</v>
      </c>
      <c r="P1016" s="173">
        <f t="shared" si="217"/>
        <v>2.25</v>
      </c>
      <c r="Q1016" s="177">
        <f t="shared" si="218"/>
        <v>2.5519848771266538E-2</v>
      </c>
    </row>
    <row r="1017" spans="1:17" x14ac:dyDescent="0.2">
      <c r="B1017" t="s">
        <v>290</v>
      </c>
      <c r="C1017">
        <v>88</v>
      </c>
      <c r="D1017">
        <v>90</v>
      </c>
      <c r="E1017">
        <v>90</v>
      </c>
      <c r="F1017">
        <v>93</v>
      </c>
      <c r="G1017">
        <v>90</v>
      </c>
      <c r="H1017">
        <v>89</v>
      </c>
      <c r="I1017">
        <v>112</v>
      </c>
      <c r="J1017">
        <v>108</v>
      </c>
      <c r="K1017">
        <v>112</v>
      </c>
      <c r="L1017">
        <v>113</v>
      </c>
      <c r="M1017">
        <v>109</v>
      </c>
      <c r="N1017">
        <v>108</v>
      </c>
      <c r="O1017" s="173">
        <f t="shared" si="216"/>
        <v>100.16666666666667</v>
      </c>
      <c r="P1017" s="173">
        <f t="shared" si="217"/>
        <v>9.75</v>
      </c>
      <c r="Q1017" s="177">
        <f t="shared" si="218"/>
        <v>0.10783410138248847</v>
      </c>
    </row>
    <row r="1018" spans="1:17" x14ac:dyDescent="0.2">
      <c r="B1018" t="s">
        <v>293</v>
      </c>
      <c r="C1018">
        <v>107</v>
      </c>
      <c r="D1018">
        <v>106</v>
      </c>
      <c r="E1018">
        <v>105</v>
      </c>
      <c r="F1018">
        <v>96</v>
      </c>
      <c r="G1018">
        <v>99</v>
      </c>
      <c r="H1018">
        <v>101</v>
      </c>
      <c r="I1018">
        <v>103</v>
      </c>
      <c r="J1018">
        <v>103</v>
      </c>
      <c r="K1018">
        <v>100</v>
      </c>
      <c r="L1018">
        <v>113</v>
      </c>
      <c r="M1018">
        <v>118</v>
      </c>
      <c r="N1018">
        <v>104</v>
      </c>
      <c r="O1018" s="173">
        <f t="shared" si="216"/>
        <v>104.58333333333333</v>
      </c>
      <c r="P1018" s="173">
        <f t="shared" si="217"/>
        <v>4.4166666666666572</v>
      </c>
      <c r="Q1018" s="177">
        <f t="shared" si="218"/>
        <v>4.4093178036605563E-2</v>
      </c>
    </row>
    <row r="1019" spans="1:17" x14ac:dyDescent="0.2">
      <c r="B1019" t="s">
        <v>294</v>
      </c>
      <c r="C1019">
        <v>106</v>
      </c>
      <c r="D1019">
        <v>102</v>
      </c>
      <c r="E1019">
        <v>105</v>
      </c>
      <c r="F1019">
        <v>103</v>
      </c>
      <c r="G1019">
        <v>103</v>
      </c>
      <c r="H1019">
        <v>103</v>
      </c>
      <c r="I1019">
        <v>99</v>
      </c>
      <c r="J1019">
        <v>98</v>
      </c>
      <c r="K1019">
        <v>100</v>
      </c>
      <c r="L1019">
        <v>101</v>
      </c>
      <c r="M1019">
        <v>100</v>
      </c>
      <c r="N1019">
        <v>103</v>
      </c>
      <c r="O1019" s="173">
        <f t="shared" si="216"/>
        <v>101.91666666666667</v>
      </c>
      <c r="P1019" s="173">
        <f t="shared" si="217"/>
        <v>-2.6666666666666572</v>
      </c>
      <c r="Q1019" s="177">
        <f t="shared" ref="Q1019:Q1025" si="219">SUM(P1019/O1018)</f>
        <v>-2.5498007968127401E-2</v>
      </c>
    </row>
    <row r="1020" spans="1:17" x14ac:dyDescent="0.2">
      <c r="B1020" t="s">
        <v>295</v>
      </c>
      <c r="C1020">
        <v>96</v>
      </c>
      <c r="D1020">
        <v>95</v>
      </c>
      <c r="E1020">
        <v>92</v>
      </c>
      <c r="F1020">
        <v>93</v>
      </c>
      <c r="G1020">
        <v>90</v>
      </c>
      <c r="H1020">
        <v>90</v>
      </c>
      <c r="I1020">
        <v>90</v>
      </c>
      <c r="J1020">
        <v>90</v>
      </c>
      <c r="K1020">
        <v>91</v>
      </c>
      <c r="L1020">
        <v>90</v>
      </c>
      <c r="M1020">
        <v>75</v>
      </c>
      <c r="N1020">
        <v>74</v>
      </c>
      <c r="O1020" s="173">
        <f>SUM(C1020:N1020)/12</f>
        <v>88.833333333333329</v>
      </c>
      <c r="P1020" s="173">
        <f t="shared" ref="P1020:P1025" si="220">SUM(O1020-O1019)</f>
        <v>-13.083333333333343</v>
      </c>
      <c r="Q1020" s="177">
        <f t="shared" si="219"/>
        <v>-0.12837285363859371</v>
      </c>
    </row>
    <row r="1021" spans="1:17" x14ac:dyDescent="0.2">
      <c r="B1021" t="s">
        <v>335</v>
      </c>
      <c r="C1021">
        <v>73</v>
      </c>
      <c r="D1021">
        <v>73</v>
      </c>
      <c r="E1021">
        <v>68</v>
      </c>
      <c r="F1021">
        <v>69</v>
      </c>
      <c r="G1021">
        <v>70</v>
      </c>
      <c r="H1021">
        <v>77</v>
      </c>
      <c r="I1021">
        <v>71</v>
      </c>
      <c r="J1021">
        <v>74</v>
      </c>
      <c r="K1021">
        <v>74</v>
      </c>
      <c r="L1021">
        <v>72</v>
      </c>
      <c r="N1021">
        <v>93</v>
      </c>
      <c r="O1021" s="173">
        <f>SUM(C1021:N1021)/11</f>
        <v>74</v>
      </c>
      <c r="P1021" s="173">
        <f t="shared" si="220"/>
        <v>-14.833333333333329</v>
      </c>
      <c r="Q1021" s="177">
        <f t="shared" si="219"/>
        <v>-0.16697936210131328</v>
      </c>
    </row>
    <row r="1022" spans="1:17" x14ac:dyDescent="0.2">
      <c r="B1022" t="s">
        <v>358</v>
      </c>
      <c r="C1022">
        <v>95</v>
      </c>
      <c r="D1022">
        <v>93</v>
      </c>
      <c r="E1022">
        <v>89</v>
      </c>
      <c r="F1022">
        <v>84</v>
      </c>
      <c r="G1022">
        <v>84</v>
      </c>
      <c r="H1022">
        <v>86</v>
      </c>
      <c r="I1022">
        <v>87</v>
      </c>
      <c r="J1022">
        <v>84</v>
      </c>
      <c r="K1022">
        <v>86</v>
      </c>
      <c r="L1022">
        <v>89</v>
      </c>
      <c r="M1022">
        <v>91</v>
      </c>
      <c r="N1022">
        <v>96</v>
      </c>
      <c r="O1022" s="173">
        <f>SUM(C1022:N1022)/12</f>
        <v>88.666666666666671</v>
      </c>
      <c r="P1022" s="173">
        <f t="shared" si="220"/>
        <v>14.666666666666671</v>
      </c>
      <c r="Q1022" s="177">
        <f t="shared" si="219"/>
        <v>0.19819819819819826</v>
      </c>
    </row>
    <row r="1023" spans="1:17" x14ac:dyDescent="0.2">
      <c r="B1023" t="s">
        <v>437</v>
      </c>
      <c r="C1023">
        <v>100</v>
      </c>
      <c r="D1023">
        <v>99</v>
      </c>
      <c r="E1023">
        <v>98</v>
      </c>
      <c r="F1023">
        <v>99</v>
      </c>
      <c r="G1023">
        <v>98</v>
      </c>
      <c r="H1023">
        <v>99</v>
      </c>
      <c r="I1023">
        <v>101</v>
      </c>
      <c r="J1023">
        <v>102</v>
      </c>
      <c r="K1023">
        <v>101</v>
      </c>
      <c r="L1023">
        <v>102</v>
      </c>
      <c r="M1023">
        <v>103</v>
      </c>
      <c r="N1023">
        <v>107</v>
      </c>
      <c r="O1023" s="173">
        <f>SUM(C1023:N1023)/12</f>
        <v>100.75</v>
      </c>
      <c r="P1023" s="173">
        <f t="shared" si="220"/>
        <v>12.083333333333329</v>
      </c>
      <c r="Q1023" s="177">
        <f t="shared" si="219"/>
        <v>0.13627819548872175</v>
      </c>
    </row>
    <row r="1024" spans="1:17" x14ac:dyDescent="0.2">
      <c r="B1024" t="s">
        <v>471</v>
      </c>
      <c r="C1024">
        <v>108</v>
      </c>
      <c r="D1024">
        <v>108</v>
      </c>
      <c r="E1024">
        <v>109</v>
      </c>
      <c r="F1024">
        <v>106</v>
      </c>
      <c r="G1024">
        <v>102</v>
      </c>
      <c r="H1024">
        <v>100</v>
      </c>
      <c r="I1024">
        <v>97</v>
      </c>
      <c r="J1024">
        <v>94</v>
      </c>
      <c r="K1024">
        <v>98</v>
      </c>
      <c r="L1024">
        <v>100</v>
      </c>
      <c r="M1024">
        <v>105</v>
      </c>
      <c r="N1024">
        <v>101</v>
      </c>
      <c r="O1024" s="173">
        <f>SUM(C1024:N1024)/12</f>
        <v>102.33333333333333</v>
      </c>
      <c r="P1024" s="173">
        <f t="shared" si="220"/>
        <v>1.5833333333333286</v>
      </c>
      <c r="Q1024" s="177">
        <f t="shared" si="219"/>
        <v>1.5715467328370508E-2</v>
      </c>
    </row>
    <row r="1025" spans="1:17" x14ac:dyDescent="0.2">
      <c r="B1025" t="s">
        <v>537</v>
      </c>
      <c r="C1025">
        <v>100</v>
      </c>
      <c r="D1025">
        <v>100</v>
      </c>
      <c r="E1025">
        <v>101</v>
      </c>
      <c r="F1025">
        <v>94</v>
      </c>
      <c r="G1025">
        <v>95</v>
      </c>
      <c r="H1025">
        <v>102</v>
      </c>
      <c r="I1025">
        <v>97</v>
      </c>
      <c r="J1025">
        <v>96</v>
      </c>
      <c r="K1025">
        <v>95</v>
      </c>
      <c r="L1025">
        <v>97</v>
      </c>
      <c r="M1025">
        <v>98</v>
      </c>
      <c r="N1025">
        <v>97</v>
      </c>
      <c r="O1025" s="173">
        <f>SUM(C1025:N1025)/12</f>
        <v>97.666666666666671</v>
      </c>
      <c r="P1025" s="173">
        <f t="shared" si="220"/>
        <v>-4.6666666666666572</v>
      </c>
      <c r="Q1025" s="177">
        <f t="shared" si="219"/>
        <v>-4.5602605863192092E-2</v>
      </c>
    </row>
    <row r="1026" spans="1:17" x14ac:dyDescent="0.2">
      <c r="O1026" s="173"/>
      <c r="P1026" s="173"/>
      <c r="Q1026" s="177"/>
    </row>
    <row r="1027" spans="1:17" x14ac:dyDescent="0.2">
      <c r="A1027" s="178"/>
      <c r="B1027" s="178"/>
      <c r="C1027" s="178"/>
      <c r="D1027" s="178"/>
      <c r="E1027" s="178"/>
      <c r="F1027" s="178"/>
      <c r="G1027" s="178"/>
      <c r="H1027" s="178"/>
      <c r="I1027" s="178"/>
      <c r="J1027" s="178"/>
      <c r="K1027" s="178"/>
      <c r="L1027" s="178"/>
      <c r="M1027" s="178"/>
      <c r="N1027" s="178"/>
      <c r="O1027" s="178"/>
      <c r="P1027" s="178"/>
      <c r="Q1027" s="178"/>
    </row>
    <row r="1028" spans="1:17" ht="25.5" x14ac:dyDescent="0.2">
      <c r="A1028" s="175" t="s">
        <v>447</v>
      </c>
      <c r="B1028" s="653" t="s">
        <v>418</v>
      </c>
      <c r="C1028" s="654" t="s">
        <v>419</v>
      </c>
      <c r="D1028" s="654" t="s">
        <v>420</v>
      </c>
      <c r="E1028" s="654" t="s">
        <v>421</v>
      </c>
      <c r="F1028" s="654" t="s">
        <v>422</v>
      </c>
      <c r="G1028" s="654" t="s">
        <v>423</v>
      </c>
      <c r="H1028" s="654" t="s">
        <v>424</v>
      </c>
      <c r="I1028" s="654" t="s">
        <v>425</v>
      </c>
      <c r="J1028" s="654" t="s">
        <v>426</v>
      </c>
      <c r="K1028" s="654" t="s">
        <v>427</v>
      </c>
      <c r="L1028" s="654" t="s">
        <v>428</v>
      </c>
      <c r="M1028" s="654" t="s">
        <v>429</v>
      </c>
      <c r="N1028" s="654" t="s">
        <v>430</v>
      </c>
    </row>
    <row r="1029" spans="1:17" x14ac:dyDescent="0.2">
      <c r="B1029" t="s">
        <v>434</v>
      </c>
      <c r="C1029">
        <v>69</v>
      </c>
      <c r="D1029">
        <v>69</v>
      </c>
      <c r="E1029">
        <v>69</v>
      </c>
      <c r="F1029">
        <v>69</v>
      </c>
      <c r="G1029">
        <v>56</v>
      </c>
      <c r="H1029">
        <v>58</v>
      </c>
      <c r="I1029">
        <v>57</v>
      </c>
      <c r="J1029">
        <v>58</v>
      </c>
      <c r="K1029">
        <v>56</v>
      </c>
      <c r="L1029">
        <v>62</v>
      </c>
      <c r="M1029">
        <v>57</v>
      </c>
      <c r="N1029">
        <v>58</v>
      </c>
      <c r="O1029" s="173">
        <f t="shared" ref="O1029:O1043" si="221">SUM(C1029:N1029)/12</f>
        <v>61.5</v>
      </c>
      <c r="P1029" s="173"/>
    </row>
    <row r="1030" spans="1:17" x14ac:dyDescent="0.2">
      <c r="B1030" t="s">
        <v>435</v>
      </c>
      <c r="C1030">
        <v>52</v>
      </c>
      <c r="D1030">
        <v>56</v>
      </c>
      <c r="E1030">
        <v>51</v>
      </c>
      <c r="F1030">
        <v>57</v>
      </c>
      <c r="G1030">
        <v>60</v>
      </c>
      <c r="H1030">
        <v>58</v>
      </c>
      <c r="I1030">
        <v>62</v>
      </c>
      <c r="J1030">
        <v>63</v>
      </c>
      <c r="K1030">
        <v>59</v>
      </c>
      <c r="L1030">
        <v>59</v>
      </c>
      <c r="M1030">
        <v>62</v>
      </c>
      <c r="N1030">
        <v>60</v>
      </c>
      <c r="O1030" s="173">
        <f t="shared" si="221"/>
        <v>58.25</v>
      </c>
      <c r="P1030" s="173">
        <f t="shared" ref="P1030:P1037" si="222">SUM(O1030-O1029)</f>
        <v>-3.25</v>
      </c>
      <c r="Q1030" s="177">
        <f t="shared" ref="Q1030:Q1036" si="223">SUM(P1030/O1029)</f>
        <v>-5.2845528455284556E-2</v>
      </c>
    </row>
    <row r="1031" spans="1:17" x14ac:dyDescent="0.2">
      <c r="B1031" t="s">
        <v>436</v>
      </c>
      <c r="C1031">
        <v>60</v>
      </c>
      <c r="D1031">
        <v>55</v>
      </c>
      <c r="E1031">
        <v>57</v>
      </c>
      <c r="F1031">
        <v>55</v>
      </c>
      <c r="G1031">
        <v>55</v>
      </c>
      <c r="H1031">
        <v>52</v>
      </c>
      <c r="I1031">
        <v>60</v>
      </c>
      <c r="J1031">
        <v>72</v>
      </c>
      <c r="K1031">
        <v>77</v>
      </c>
      <c r="L1031">
        <v>82</v>
      </c>
      <c r="M1031">
        <v>87</v>
      </c>
      <c r="N1031">
        <v>92</v>
      </c>
      <c r="O1031" s="173">
        <f t="shared" si="221"/>
        <v>67</v>
      </c>
      <c r="P1031" s="173">
        <f t="shared" si="222"/>
        <v>8.75</v>
      </c>
      <c r="Q1031" s="177">
        <f t="shared" si="223"/>
        <v>0.15021459227467812</v>
      </c>
    </row>
    <row r="1032" spans="1:17" x14ac:dyDescent="0.2">
      <c r="B1032" t="s">
        <v>260</v>
      </c>
      <c r="C1032">
        <v>87</v>
      </c>
      <c r="D1032">
        <v>86</v>
      </c>
      <c r="E1032">
        <v>88</v>
      </c>
      <c r="F1032">
        <v>86</v>
      </c>
      <c r="G1032">
        <v>86</v>
      </c>
      <c r="H1032">
        <v>86</v>
      </c>
      <c r="I1032">
        <v>86</v>
      </c>
      <c r="J1032">
        <v>86</v>
      </c>
      <c r="K1032">
        <v>86</v>
      </c>
      <c r="L1032">
        <v>86</v>
      </c>
      <c r="M1032">
        <v>86</v>
      </c>
      <c r="N1032">
        <v>86</v>
      </c>
      <c r="O1032" s="173">
        <f t="shared" si="221"/>
        <v>86.25</v>
      </c>
      <c r="P1032" s="173">
        <f t="shared" si="222"/>
        <v>19.25</v>
      </c>
      <c r="Q1032" s="177">
        <f t="shared" si="223"/>
        <v>0.28731343283582089</v>
      </c>
    </row>
    <row r="1033" spans="1:17" x14ac:dyDescent="0.2">
      <c r="B1033" t="s">
        <v>259</v>
      </c>
      <c r="C1033">
        <v>93</v>
      </c>
      <c r="D1033">
        <v>80</v>
      </c>
      <c r="E1033">
        <v>78</v>
      </c>
      <c r="F1033">
        <v>78</v>
      </c>
      <c r="G1033">
        <v>84</v>
      </c>
      <c r="H1033">
        <v>90</v>
      </c>
      <c r="I1033">
        <v>88</v>
      </c>
      <c r="J1033">
        <v>92</v>
      </c>
      <c r="K1033">
        <v>94</v>
      </c>
      <c r="L1033">
        <v>84</v>
      </c>
      <c r="M1033">
        <v>84</v>
      </c>
      <c r="N1033">
        <v>85</v>
      </c>
      <c r="O1033" s="173">
        <f t="shared" si="221"/>
        <v>85.833333333333329</v>
      </c>
      <c r="P1033" s="173">
        <f t="shared" si="222"/>
        <v>-0.4166666666666714</v>
      </c>
      <c r="Q1033" s="177">
        <f t="shared" si="223"/>
        <v>-4.8309178743961905E-3</v>
      </c>
    </row>
    <row r="1034" spans="1:17" x14ac:dyDescent="0.2">
      <c r="B1034" t="s">
        <v>280</v>
      </c>
      <c r="C1034">
        <v>80</v>
      </c>
      <c r="D1034">
        <v>84</v>
      </c>
      <c r="E1034">
        <v>85</v>
      </c>
      <c r="F1034">
        <v>88</v>
      </c>
      <c r="G1034">
        <v>90</v>
      </c>
      <c r="H1034">
        <v>95</v>
      </c>
      <c r="I1034">
        <v>101</v>
      </c>
      <c r="J1034">
        <v>94</v>
      </c>
      <c r="K1034">
        <v>90</v>
      </c>
      <c r="L1034">
        <v>93</v>
      </c>
      <c r="M1034">
        <v>101</v>
      </c>
      <c r="N1034">
        <v>107</v>
      </c>
      <c r="O1034" s="173">
        <f t="shared" si="221"/>
        <v>92.333333333333329</v>
      </c>
      <c r="P1034" s="173">
        <f t="shared" si="222"/>
        <v>6.5</v>
      </c>
      <c r="Q1034" s="177">
        <f t="shared" si="223"/>
        <v>7.5728155339805828E-2</v>
      </c>
    </row>
    <row r="1035" spans="1:17" x14ac:dyDescent="0.2">
      <c r="B1035" t="s">
        <v>290</v>
      </c>
      <c r="C1035">
        <v>112</v>
      </c>
      <c r="D1035">
        <v>110</v>
      </c>
      <c r="E1035">
        <v>108</v>
      </c>
      <c r="F1035">
        <v>113</v>
      </c>
      <c r="G1035">
        <v>112</v>
      </c>
      <c r="H1035">
        <v>108</v>
      </c>
      <c r="I1035">
        <v>107</v>
      </c>
      <c r="J1035">
        <v>123</v>
      </c>
      <c r="K1035">
        <v>114</v>
      </c>
      <c r="L1035">
        <v>116</v>
      </c>
      <c r="M1035">
        <v>117</v>
      </c>
      <c r="N1035">
        <v>121</v>
      </c>
      <c r="O1035" s="173">
        <f t="shared" si="221"/>
        <v>113.41666666666667</v>
      </c>
      <c r="P1035" s="173">
        <f t="shared" si="222"/>
        <v>21.083333333333343</v>
      </c>
      <c r="Q1035" s="177">
        <f t="shared" si="223"/>
        <v>0.22833935018050552</v>
      </c>
    </row>
    <row r="1036" spans="1:17" x14ac:dyDescent="0.2">
      <c r="B1036" t="s">
        <v>293</v>
      </c>
      <c r="C1036">
        <v>121</v>
      </c>
      <c r="D1036">
        <v>122</v>
      </c>
      <c r="E1036">
        <v>122</v>
      </c>
      <c r="F1036">
        <v>126</v>
      </c>
      <c r="G1036">
        <v>124</v>
      </c>
      <c r="H1036">
        <v>122</v>
      </c>
      <c r="I1036">
        <v>124</v>
      </c>
      <c r="J1036">
        <v>122</v>
      </c>
      <c r="K1036">
        <v>121</v>
      </c>
      <c r="L1036">
        <v>115</v>
      </c>
      <c r="M1036">
        <v>114</v>
      </c>
      <c r="N1036">
        <v>121</v>
      </c>
      <c r="O1036" s="173">
        <f t="shared" si="221"/>
        <v>121.16666666666667</v>
      </c>
      <c r="P1036" s="173">
        <f t="shared" si="222"/>
        <v>7.75</v>
      </c>
      <c r="Q1036" s="177">
        <f t="shared" si="223"/>
        <v>6.8332108743570902E-2</v>
      </c>
    </row>
    <row r="1037" spans="1:17" x14ac:dyDescent="0.2">
      <c r="B1037" t="s">
        <v>294</v>
      </c>
      <c r="C1037">
        <v>99</v>
      </c>
      <c r="D1037">
        <v>100</v>
      </c>
      <c r="E1037">
        <v>107</v>
      </c>
      <c r="F1037">
        <v>104</v>
      </c>
      <c r="G1037">
        <v>103</v>
      </c>
      <c r="H1037">
        <v>100</v>
      </c>
      <c r="I1037">
        <v>101</v>
      </c>
      <c r="J1037">
        <v>98</v>
      </c>
      <c r="K1037">
        <v>92</v>
      </c>
      <c r="L1037">
        <v>85</v>
      </c>
      <c r="M1037">
        <v>92</v>
      </c>
      <c r="N1037">
        <v>88</v>
      </c>
      <c r="O1037" s="173">
        <f t="shared" si="221"/>
        <v>97.416666666666671</v>
      </c>
      <c r="P1037" s="173">
        <f t="shared" si="222"/>
        <v>-23.75</v>
      </c>
      <c r="Q1037" s="177">
        <f t="shared" ref="Q1037:Q1043" si="224">SUM(P1037/O1036)</f>
        <v>-0.19601100412654746</v>
      </c>
    </row>
    <row r="1038" spans="1:17" x14ac:dyDescent="0.2">
      <c r="B1038" t="s">
        <v>295</v>
      </c>
      <c r="C1038">
        <v>79</v>
      </c>
      <c r="D1038">
        <v>82</v>
      </c>
      <c r="E1038">
        <v>82</v>
      </c>
      <c r="F1038">
        <v>78</v>
      </c>
      <c r="G1038">
        <v>79</v>
      </c>
      <c r="H1038">
        <v>83</v>
      </c>
      <c r="I1038">
        <v>84</v>
      </c>
      <c r="J1038">
        <v>90</v>
      </c>
      <c r="K1038">
        <v>95</v>
      </c>
      <c r="L1038">
        <v>94</v>
      </c>
      <c r="M1038">
        <v>94</v>
      </c>
      <c r="N1038">
        <v>72</v>
      </c>
      <c r="O1038" s="173">
        <f t="shared" si="221"/>
        <v>84.333333333333329</v>
      </c>
      <c r="P1038" s="173">
        <f t="shared" ref="P1038:P1043" si="225">SUM(O1038-O1037)</f>
        <v>-13.083333333333343</v>
      </c>
      <c r="Q1038" s="177">
        <f t="shared" si="224"/>
        <v>-0.13430282292557752</v>
      </c>
    </row>
    <row r="1039" spans="1:17" x14ac:dyDescent="0.2">
      <c r="B1039" t="s">
        <v>335</v>
      </c>
      <c r="C1039">
        <v>84</v>
      </c>
      <c r="D1039">
        <v>87</v>
      </c>
      <c r="E1039">
        <v>92</v>
      </c>
      <c r="F1039">
        <v>97</v>
      </c>
      <c r="G1039">
        <v>101</v>
      </c>
      <c r="H1039">
        <v>100</v>
      </c>
      <c r="I1039">
        <v>85</v>
      </c>
      <c r="J1039">
        <v>86</v>
      </c>
      <c r="K1039">
        <v>90</v>
      </c>
      <c r="L1039">
        <v>89</v>
      </c>
      <c r="M1039">
        <v>83</v>
      </c>
      <c r="N1039">
        <v>82</v>
      </c>
      <c r="O1039" s="173">
        <f t="shared" si="221"/>
        <v>89.666666666666671</v>
      </c>
      <c r="P1039" s="173">
        <f t="shared" si="225"/>
        <v>5.3333333333333428</v>
      </c>
      <c r="Q1039" s="177">
        <f t="shared" si="224"/>
        <v>6.324110671936771E-2</v>
      </c>
    </row>
    <row r="1040" spans="1:17" x14ac:dyDescent="0.2">
      <c r="B1040" t="s">
        <v>358</v>
      </c>
      <c r="C1040">
        <v>87</v>
      </c>
      <c r="D1040">
        <v>86</v>
      </c>
      <c r="E1040">
        <v>87</v>
      </c>
      <c r="F1040">
        <v>77</v>
      </c>
      <c r="G1040">
        <v>76</v>
      </c>
      <c r="H1040">
        <v>73</v>
      </c>
      <c r="I1040">
        <v>69</v>
      </c>
      <c r="J1040">
        <v>75</v>
      </c>
      <c r="K1040">
        <v>74</v>
      </c>
      <c r="L1040">
        <v>74</v>
      </c>
      <c r="M1040">
        <v>72</v>
      </c>
      <c r="N1040">
        <v>73</v>
      </c>
      <c r="O1040" s="173">
        <f t="shared" si="221"/>
        <v>76.916666666666671</v>
      </c>
      <c r="P1040" s="173">
        <f t="shared" si="225"/>
        <v>-12.75</v>
      </c>
      <c r="Q1040" s="177">
        <f t="shared" si="224"/>
        <v>-0.14219330855018586</v>
      </c>
    </row>
    <row r="1041" spans="1:17" x14ac:dyDescent="0.2">
      <c r="B1041" t="s">
        <v>437</v>
      </c>
      <c r="C1041">
        <v>74</v>
      </c>
      <c r="D1041">
        <v>71</v>
      </c>
      <c r="E1041">
        <v>77</v>
      </c>
      <c r="F1041">
        <v>76</v>
      </c>
      <c r="G1041">
        <v>78</v>
      </c>
      <c r="H1041">
        <v>71</v>
      </c>
      <c r="I1041">
        <v>69</v>
      </c>
      <c r="J1041">
        <v>64</v>
      </c>
      <c r="K1041">
        <v>62</v>
      </c>
      <c r="L1041">
        <v>55</v>
      </c>
      <c r="M1041">
        <v>55</v>
      </c>
      <c r="N1041">
        <v>54</v>
      </c>
      <c r="O1041" s="173">
        <f t="shared" si="221"/>
        <v>67.166666666666671</v>
      </c>
      <c r="P1041" s="173">
        <f t="shared" si="225"/>
        <v>-9.75</v>
      </c>
      <c r="Q1041" s="177">
        <f t="shared" si="224"/>
        <v>-0.12676056338028169</v>
      </c>
    </row>
    <row r="1042" spans="1:17" x14ac:dyDescent="0.2">
      <c r="B1042" t="s">
        <v>471</v>
      </c>
      <c r="C1042">
        <v>59</v>
      </c>
      <c r="D1042">
        <v>57</v>
      </c>
      <c r="E1042">
        <v>54</v>
      </c>
      <c r="F1042">
        <v>53</v>
      </c>
      <c r="G1042">
        <v>56</v>
      </c>
      <c r="H1042">
        <v>62</v>
      </c>
      <c r="I1042">
        <v>55</v>
      </c>
      <c r="J1042">
        <v>50</v>
      </c>
      <c r="K1042">
        <v>49</v>
      </c>
      <c r="L1042">
        <v>51</v>
      </c>
      <c r="M1042">
        <v>52</v>
      </c>
      <c r="N1042">
        <v>50</v>
      </c>
      <c r="O1042" s="173">
        <f t="shared" si="221"/>
        <v>54</v>
      </c>
      <c r="P1042" s="173">
        <f t="shared" si="225"/>
        <v>-13.166666666666671</v>
      </c>
      <c r="Q1042" s="177">
        <f t="shared" si="224"/>
        <v>-0.19602977667493801</v>
      </c>
    </row>
    <row r="1043" spans="1:17" x14ac:dyDescent="0.2">
      <c r="B1043" t="s">
        <v>537</v>
      </c>
      <c r="C1043">
        <v>54</v>
      </c>
      <c r="D1043">
        <v>57</v>
      </c>
      <c r="E1043">
        <v>63</v>
      </c>
      <c r="F1043">
        <v>64</v>
      </c>
      <c r="G1043">
        <v>67</v>
      </c>
      <c r="H1043">
        <v>65</v>
      </c>
      <c r="I1043">
        <v>65</v>
      </c>
      <c r="J1043">
        <v>65</v>
      </c>
      <c r="K1043">
        <v>67</v>
      </c>
      <c r="L1043">
        <v>66</v>
      </c>
      <c r="M1043">
        <v>66</v>
      </c>
      <c r="N1043">
        <v>69</v>
      </c>
      <c r="O1043" s="173">
        <f t="shared" si="221"/>
        <v>64</v>
      </c>
      <c r="P1043" s="173">
        <f t="shared" si="225"/>
        <v>10</v>
      </c>
      <c r="Q1043" s="177">
        <f t="shared" si="224"/>
        <v>0.18518518518518517</v>
      </c>
    </row>
    <row r="1044" spans="1:17" x14ac:dyDescent="0.2">
      <c r="O1044" s="173"/>
      <c r="P1044" s="173"/>
      <c r="Q1044" s="177"/>
    </row>
    <row r="1045" spans="1:17" ht="25.5" x14ac:dyDescent="0.2">
      <c r="A1045" s="175" t="s">
        <v>448</v>
      </c>
      <c r="B1045" s="653" t="s">
        <v>418</v>
      </c>
      <c r="C1045" s="654" t="s">
        <v>419</v>
      </c>
      <c r="D1045" s="654" t="s">
        <v>420</v>
      </c>
      <c r="E1045" s="654" t="s">
        <v>421</v>
      </c>
      <c r="F1045" s="654" t="s">
        <v>422</v>
      </c>
      <c r="G1045" s="654" t="s">
        <v>423</v>
      </c>
      <c r="H1045" s="654" t="s">
        <v>424</v>
      </c>
      <c r="I1045" s="654" t="s">
        <v>425</v>
      </c>
      <c r="J1045" s="654" t="s">
        <v>426</v>
      </c>
      <c r="K1045" s="654" t="s">
        <v>427</v>
      </c>
      <c r="L1045" s="654" t="s">
        <v>428</v>
      </c>
      <c r="M1045" s="654" t="s">
        <v>429</v>
      </c>
      <c r="N1045" s="654" t="s">
        <v>430</v>
      </c>
    </row>
    <row r="1046" spans="1:17" x14ac:dyDescent="0.2">
      <c r="B1046" t="s">
        <v>434</v>
      </c>
      <c r="C1046">
        <v>92</v>
      </c>
      <c r="D1046">
        <v>91</v>
      </c>
      <c r="E1046">
        <v>97</v>
      </c>
      <c r="F1046">
        <v>94</v>
      </c>
      <c r="G1046">
        <v>87</v>
      </c>
      <c r="H1046">
        <v>85</v>
      </c>
      <c r="I1046">
        <v>91</v>
      </c>
      <c r="J1046">
        <v>89</v>
      </c>
      <c r="K1046">
        <v>92</v>
      </c>
      <c r="L1046">
        <v>92</v>
      </c>
      <c r="M1046">
        <v>94</v>
      </c>
      <c r="N1046">
        <v>92</v>
      </c>
      <c r="O1046" s="173">
        <f t="shared" ref="O1046:O1060" si="226">SUM(C1046:N1046)/12</f>
        <v>91.333333333333329</v>
      </c>
      <c r="P1046" s="173"/>
    </row>
    <row r="1047" spans="1:17" x14ac:dyDescent="0.2">
      <c r="B1047" t="s">
        <v>435</v>
      </c>
      <c r="C1047">
        <v>90</v>
      </c>
      <c r="D1047">
        <v>98</v>
      </c>
      <c r="E1047">
        <v>89</v>
      </c>
      <c r="F1047">
        <v>84</v>
      </c>
      <c r="G1047">
        <v>84</v>
      </c>
      <c r="H1047">
        <v>78</v>
      </c>
      <c r="I1047">
        <v>83</v>
      </c>
      <c r="J1047">
        <v>87</v>
      </c>
      <c r="K1047">
        <v>81</v>
      </c>
      <c r="L1047">
        <v>81</v>
      </c>
      <c r="M1047">
        <v>77</v>
      </c>
      <c r="N1047">
        <v>79</v>
      </c>
      <c r="O1047" s="173">
        <f t="shared" si="226"/>
        <v>84.25</v>
      </c>
      <c r="P1047" s="173">
        <f t="shared" ref="P1047:P1054" si="227">SUM(O1047-O1046)</f>
        <v>-7.0833333333333286</v>
      </c>
      <c r="Q1047" s="177">
        <f t="shared" ref="Q1047:Q1053" si="228">SUM(P1047/O1046)</f>
        <v>-7.7554744525547392E-2</v>
      </c>
    </row>
    <row r="1048" spans="1:17" x14ac:dyDescent="0.2">
      <c r="B1048" t="s">
        <v>436</v>
      </c>
      <c r="C1048">
        <v>81</v>
      </c>
      <c r="D1048">
        <v>78</v>
      </c>
      <c r="E1048">
        <v>73</v>
      </c>
      <c r="F1048">
        <v>77</v>
      </c>
      <c r="G1048">
        <v>86</v>
      </c>
      <c r="H1048">
        <v>96</v>
      </c>
      <c r="I1048">
        <v>84</v>
      </c>
      <c r="J1048">
        <v>72</v>
      </c>
      <c r="K1048">
        <v>74</v>
      </c>
      <c r="L1048">
        <v>76</v>
      </c>
      <c r="M1048">
        <v>78</v>
      </c>
      <c r="N1048">
        <v>88</v>
      </c>
      <c r="O1048" s="173">
        <f t="shared" si="226"/>
        <v>80.25</v>
      </c>
      <c r="P1048" s="173">
        <f t="shared" si="227"/>
        <v>-4</v>
      </c>
      <c r="Q1048" s="177">
        <f t="shared" si="228"/>
        <v>-4.7477744807121663E-2</v>
      </c>
    </row>
    <row r="1049" spans="1:17" x14ac:dyDescent="0.2">
      <c r="B1049" t="s">
        <v>260</v>
      </c>
      <c r="C1049">
        <v>98</v>
      </c>
      <c r="D1049">
        <v>98</v>
      </c>
      <c r="E1049">
        <v>100</v>
      </c>
      <c r="F1049">
        <v>93</v>
      </c>
      <c r="G1049">
        <v>93</v>
      </c>
      <c r="H1049">
        <v>93</v>
      </c>
      <c r="I1049">
        <v>93</v>
      </c>
      <c r="J1049">
        <v>93</v>
      </c>
      <c r="K1049">
        <v>93</v>
      </c>
      <c r="L1049">
        <v>93</v>
      </c>
      <c r="M1049">
        <v>93</v>
      </c>
      <c r="N1049">
        <v>93</v>
      </c>
      <c r="O1049" s="173">
        <f t="shared" si="226"/>
        <v>94.416666666666671</v>
      </c>
      <c r="P1049" s="173">
        <f t="shared" si="227"/>
        <v>14.166666666666671</v>
      </c>
      <c r="Q1049" s="177">
        <f t="shared" si="228"/>
        <v>0.17653167185877472</v>
      </c>
    </row>
    <row r="1050" spans="1:17" x14ac:dyDescent="0.2">
      <c r="B1050" t="s">
        <v>259</v>
      </c>
      <c r="C1050">
        <v>106</v>
      </c>
      <c r="D1050">
        <v>90</v>
      </c>
      <c r="E1050">
        <v>91</v>
      </c>
      <c r="F1050">
        <v>91</v>
      </c>
      <c r="G1050">
        <v>87</v>
      </c>
      <c r="H1050">
        <v>80</v>
      </c>
      <c r="I1050">
        <v>76</v>
      </c>
      <c r="J1050">
        <v>78</v>
      </c>
      <c r="K1050">
        <v>83</v>
      </c>
      <c r="L1050">
        <v>92</v>
      </c>
      <c r="M1050">
        <v>99</v>
      </c>
      <c r="N1050">
        <v>101</v>
      </c>
      <c r="O1050" s="173">
        <f t="shared" si="226"/>
        <v>89.5</v>
      </c>
      <c r="P1050" s="173">
        <f t="shared" si="227"/>
        <v>-4.9166666666666714</v>
      </c>
      <c r="Q1050" s="177">
        <f t="shared" si="228"/>
        <v>-5.2074139452780277E-2</v>
      </c>
    </row>
    <row r="1051" spans="1:17" x14ac:dyDescent="0.2">
      <c r="B1051" t="s">
        <v>280</v>
      </c>
      <c r="C1051">
        <v>93</v>
      </c>
      <c r="D1051">
        <v>90</v>
      </c>
      <c r="E1051">
        <v>91</v>
      </c>
      <c r="F1051">
        <v>94</v>
      </c>
      <c r="G1051">
        <v>91</v>
      </c>
      <c r="H1051">
        <v>91</v>
      </c>
      <c r="I1051">
        <v>93</v>
      </c>
      <c r="J1051">
        <v>90</v>
      </c>
      <c r="K1051">
        <v>83</v>
      </c>
      <c r="L1051">
        <v>84</v>
      </c>
      <c r="M1051">
        <v>79</v>
      </c>
      <c r="N1051">
        <v>77</v>
      </c>
      <c r="O1051" s="173">
        <f t="shared" si="226"/>
        <v>88</v>
      </c>
      <c r="P1051" s="173">
        <f t="shared" si="227"/>
        <v>-1.5</v>
      </c>
      <c r="Q1051" s="177">
        <f t="shared" si="228"/>
        <v>-1.6759776536312849E-2</v>
      </c>
    </row>
    <row r="1052" spans="1:17" x14ac:dyDescent="0.2">
      <c r="B1052" t="s">
        <v>290</v>
      </c>
      <c r="C1052">
        <v>79</v>
      </c>
      <c r="D1052">
        <v>78</v>
      </c>
      <c r="E1052">
        <v>74</v>
      </c>
      <c r="F1052">
        <v>69</v>
      </c>
      <c r="G1052">
        <v>66</v>
      </c>
      <c r="H1052">
        <v>62</v>
      </c>
      <c r="I1052">
        <v>59</v>
      </c>
      <c r="J1052">
        <v>64</v>
      </c>
      <c r="K1052">
        <v>59</v>
      </c>
      <c r="L1052">
        <v>55</v>
      </c>
      <c r="M1052">
        <v>61</v>
      </c>
      <c r="N1052">
        <v>64</v>
      </c>
      <c r="O1052" s="173">
        <f t="shared" si="226"/>
        <v>65.833333333333329</v>
      </c>
      <c r="P1052" s="173">
        <f t="shared" si="227"/>
        <v>-22.166666666666671</v>
      </c>
      <c r="Q1052" s="177">
        <f t="shared" si="228"/>
        <v>-0.25189393939393945</v>
      </c>
    </row>
    <row r="1053" spans="1:17" x14ac:dyDescent="0.2">
      <c r="B1053" t="s">
        <v>293</v>
      </c>
      <c r="C1053">
        <v>68</v>
      </c>
      <c r="D1053">
        <v>67</v>
      </c>
      <c r="E1053">
        <v>71</v>
      </c>
      <c r="F1053">
        <v>72</v>
      </c>
      <c r="G1053">
        <v>81</v>
      </c>
      <c r="H1053">
        <v>85</v>
      </c>
      <c r="I1053">
        <v>85</v>
      </c>
      <c r="J1053">
        <v>85</v>
      </c>
      <c r="K1053">
        <v>73</v>
      </c>
      <c r="L1053">
        <v>82</v>
      </c>
      <c r="M1053">
        <v>78</v>
      </c>
      <c r="N1053">
        <v>80</v>
      </c>
      <c r="O1053" s="173">
        <f t="shared" si="226"/>
        <v>77.25</v>
      </c>
      <c r="P1053" s="173">
        <f t="shared" si="227"/>
        <v>11.416666666666671</v>
      </c>
      <c r="Q1053" s="177">
        <f t="shared" si="228"/>
        <v>0.17341772151898743</v>
      </c>
    </row>
    <row r="1054" spans="1:17" x14ac:dyDescent="0.2">
      <c r="B1054" t="s">
        <v>294</v>
      </c>
      <c r="C1054">
        <v>77</v>
      </c>
      <c r="D1054">
        <v>75</v>
      </c>
      <c r="E1054">
        <v>74</v>
      </c>
      <c r="F1054">
        <v>75</v>
      </c>
      <c r="G1054">
        <v>75</v>
      </c>
      <c r="H1054">
        <v>77</v>
      </c>
      <c r="I1054">
        <v>81</v>
      </c>
      <c r="J1054">
        <v>79</v>
      </c>
      <c r="K1054">
        <v>79</v>
      </c>
      <c r="L1054">
        <v>79</v>
      </c>
      <c r="M1054">
        <v>80</v>
      </c>
      <c r="N1054">
        <v>76</v>
      </c>
      <c r="O1054" s="173">
        <f t="shared" si="226"/>
        <v>77.25</v>
      </c>
      <c r="P1054" s="173">
        <f t="shared" si="227"/>
        <v>0</v>
      </c>
      <c r="Q1054" s="177">
        <f t="shared" ref="Q1054:Q1060" si="229">SUM(P1054/O1053)</f>
        <v>0</v>
      </c>
    </row>
    <row r="1055" spans="1:17" x14ac:dyDescent="0.2">
      <c r="B1055" t="s">
        <v>295</v>
      </c>
      <c r="C1055">
        <v>68</v>
      </c>
      <c r="D1055">
        <v>66</v>
      </c>
      <c r="E1055">
        <v>65</v>
      </c>
      <c r="F1055">
        <v>61</v>
      </c>
      <c r="G1055">
        <v>59</v>
      </c>
      <c r="H1055">
        <v>57</v>
      </c>
      <c r="I1055">
        <v>55</v>
      </c>
      <c r="J1055">
        <v>56</v>
      </c>
      <c r="K1055">
        <v>58</v>
      </c>
      <c r="L1055">
        <v>60</v>
      </c>
      <c r="M1055">
        <v>61</v>
      </c>
      <c r="N1055">
        <v>62</v>
      </c>
      <c r="O1055" s="173">
        <f t="shared" si="226"/>
        <v>60.666666666666664</v>
      </c>
      <c r="P1055" s="173">
        <f t="shared" ref="P1055:P1060" si="230">SUM(O1055-O1054)</f>
        <v>-16.583333333333336</v>
      </c>
      <c r="Q1055" s="177">
        <f t="shared" si="229"/>
        <v>-0.21467098166127296</v>
      </c>
    </row>
    <row r="1056" spans="1:17" x14ac:dyDescent="0.2">
      <c r="B1056" t="s">
        <v>335</v>
      </c>
      <c r="C1056">
        <v>58</v>
      </c>
      <c r="D1056">
        <v>59</v>
      </c>
      <c r="E1056">
        <v>55</v>
      </c>
      <c r="F1056">
        <v>68</v>
      </c>
      <c r="G1056">
        <v>62</v>
      </c>
      <c r="H1056">
        <v>58</v>
      </c>
      <c r="I1056">
        <v>55</v>
      </c>
      <c r="J1056">
        <v>58</v>
      </c>
      <c r="K1056">
        <v>59</v>
      </c>
      <c r="L1056">
        <v>57</v>
      </c>
      <c r="M1056">
        <v>52</v>
      </c>
      <c r="N1056">
        <v>54</v>
      </c>
      <c r="O1056" s="173">
        <f t="shared" si="226"/>
        <v>57.916666666666664</v>
      </c>
      <c r="P1056" s="173">
        <f t="shared" si="230"/>
        <v>-2.75</v>
      </c>
      <c r="Q1056" s="177">
        <f t="shared" si="229"/>
        <v>-4.5329670329670328E-2</v>
      </c>
    </row>
    <row r="1057" spans="1:17" x14ac:dyDescent="0.2">
      <c r="B1057" t="s">
        <v>358</v>
      </c>
      <c r="C1057">
        <v>55</v>
      </c>
      <c r="D1057">
        <v>55</v>
      </c>
      <c r="E1057">
        <v>49</v>
      </c>
      <c r="F1057">
        <v>51</v>
      </c>
      <c r="G1057">
        <v>53</v>
      </c>
      <c r="H1057">
        <v>57</v>
      </c>
      <c r="I1057">
        <v>63</v>
      </c>
      <c r="J1057">
        <v>65</v>
      </c>
      <c r="K1057">
        <v>65</v>
      </c>
      <c r="L1057">
        <v>61</v>
      </c>
      <c r="M1057">
        <v>66</v>
      </c>
      <c r="N1057">
        <v>63</v>
      </c>
      <c r="O1057" s="173">
        <f t="shared" si="226"/>
        <v>58.583333333333336</v>
      </c>
      <c r="P1057" s="173">
        <f t="shared" si="230"/>
        <v>0.6666666666666714</v>
      </c>
      <c r="Q1057" s="177">
        <f t="shared" si="229"/>
        <v>1.1510791366906557E-2</v>
      </c>
    </row>
    <row r="1058" spans="1:17" x14ac:dyDescent="0.2">
      <c r="B1058" t="s">
        <v>437</v>
      </c>
      <c r="C1058">
        <v>63</v>
      </c>
      <c r="D1058">
        <v>66</v>
      </c>
      <c r="E1058">
        <v>66</v>
      </c>
      <c r="F1058">
        <v>59</v>
      </c>
      <c r="G1058">
        <v>69</v>
      </c>
      <c r="H1058">
        <v>72</v>
      </c>
      <c r="I1058">
        <v>76</v>
      </c>
      <c r="J1058">
        <v>75</v>
      </c>
      <c r="K1058">
        <v>81</v>
      </c>
      <c r="L1058">
        <v>82</v>
      </c>
      <c r="M1058">
        <v>70</v>
      </c>
      <c r="N1058">
        <v>80</v>
      </c>
      <c r="O1058" s="173">
        <f t="shared" si="226"/>
        <v>71.583333333333329</v>
      </c>
      <c r="P1058" s="173">
        <f t="shared" si="230"/>
        <v>12.999999999999993</v>
      </c>
      <c r="Q1058" s="177">
        <f t="shared" si="229"/>
        <v>0.22190611664295862</v>
      </c>
    </row>
    <row r="1059" spans="1:17" x14ac:dyDescent="0.2">
      <c r="B1059" t="s">
        <v>471</v>
      </c>
      <c r="C1059">
        <v>72</v>
      </c>
      <c r="D1059">
        <v>71</v>
      </c>
      <c r="E1059">
        <v>74</v>
      </c>
      <c r="F1059">
        <v>75</v>
      </c>
      <c r="G1059">
        <v>69</v>
      </c>
      <c r="H1059">
        <v>74</v>
      </c>
      <c r="I1059">
        <v>72</v>
      </c>
      <c r="J1059">
        <v>74</v>
      </c>
      <c r="K1059">
        <v>79</v>
      </c>
      <c r="L1059">
        <v>82</v>
      </c>
      <c r="M1059">
        <v>87</v>
      </c>
      <c r="N1059">
        <v>87</v>
      </c>
      <c r="O1059" s="173">
        <f t="shared" si="226"/>
        <v>76.333333333333329</v>
      </c>
      <c r="P1059" s="173">
        <f t="shared" si="230"/>
        <v>4.75</v>
      </c>
      <c r="Q1059" s="177">
        <f t="shared" si="229"/>
        <v>6.6356228172293363E-2</v>
      </c>
    </row>
    <row r="1060" spans="1:17" x14ac:dyDescent="0.2">
      <c r="B1060" t="s">
        <v>537</v>
      </c>
      <c r="C1060">
        <v>94</v>
      </c>
      <c r="D1060">
        <v>94</v>
      </c>
      <c r="E1060">
        <v>101</v>
      </c>
      <c r="F1060">
        <v>108</v>
      </c>
      <c r="G1060">
        <v>108</v>
      </c>
      <c r="H1060">
        <v>107</v>
      </c>
      <c r="I1060">
        <v>98</v>
      </c>
      <c r="J1060">
        <v>97</v>
      </c>
      <c r="K1060">
        <v>96</v>
      </c>
      <c r="L1060">
        <v>98</v>
      </c>
      <c r="M1060">
        <v>100</v>
      </c>
      <c r="N1060">
        <v>101</v>
      </c>
      <c r="O1060" s="173">
        <f t="shared" si="226"/>
        <v>100.16666666666667</v>
      </c>
      <c r="P1060" s="173">
        <f t="shared" si="230"/>
        <v>23.833333333333343</v>
      </c>
      <c r="Q1060" s="177">
        <f t="shared" si="229"/>
        <v>0.31222707423580798</v>
      </c>
    </row>
    <row r="1061" spans="1:17" x14ac:dyDescent="0.2">
      <c r="O1061" s="173"/>
      <c r="P1061" s="173"/>
      <c r="Q1061" s="177"/>
    </row>
    <row r="1062" spans="1:17" ht="25.5" x14ac:dyDescent="0.2">
      <c r="A1062" s="175" t="s">
        <v>449</v>
      </c>
      <c r="B1062" s="653" t="s">
        <v>418</v>
      </c>
      <c r="C1062" s="654" t="s">
        <v>419</v>
      </c>
      <c r="D1062" s="654" t="s">
        <v>420</v>
      </c>
      <c r="E1062" s="654" t="s">
        <v>421</v>
      </c>
      <c r="F1062" s="654" t="s">
        <v>422</v>
      </c>
      <c r="G1062" s="654" t="s">
        <v>423</v>
      </c>
      <c r="H1062" s="654" t="s">
        <v>424</v>
      </c>
      <c r="I1062" s="654" t="s">
        <v>425</v>
      </c>
      <c r="J1062" s="654" t="s">
        <v>426</v>
      </c>
      <c r="K1062" s="654" t="s">
        <v>427</v>
      </c>
      <c r="L1062" s="654" t="s">
        <v>428</v>
      </c>
      <c r="M1062" s="654" t="s">
        <v>429</v>
      </c>
      <c r="N1062" s="654" t="s">
        <v>430</v>
      </c>
    </row>
    <row r="1063" spans="1:17" x14ac:dyDescent="0.2">
      <c r="B1063" t="s">
        <v>434</v>
      </c>
      <c r="C1063">
        <v>438</v>
      </c>
      <c r="D1063">
        <v>444</v>
      </c>
      <c r="E1063">
        <v>446</v>
      </c>
      <c r="F1063">
        <v>441</v>
      </c>
      <c r="G1063">
        <v>444</v>
      </c>
      <c r="H1063">
        <v>449</v>
      </c>
      <c r="I1063">
        <v>447</v>
      </c>
      <c r="J1063">
        <v>460</v>
      </c>
      <c r="K1063">
        <v>465</v>
      </c>
      <c r="L1063">
        <v>463</v>
      </c>
      <c r="M1063">
        <v>469</v>
      </c>
      <c r="N1063">
        <v>478</v>
      </c>
      <c r="O1063" s="173">
        <f t="shared" ref="O1063:O1077" si="231">SUM(C1063:N1063)/12</f>
        <v>453.66666666666669</v>
      </c>
      <c r="P1063" s="173"/>
    </row>
    <row r="1064" spans="1:17" x14ac:dyDescent="0.2">
      <c r="B1064" t="s">
        <v>435</v>
      </c>
      <c r="C1064">
        <v>474</v>
      </c>
      <c r="D1064">
        <v>481</v>
      </c>
      <c r="E1064">
        <v>491</v>
      </c>
      <c r="F1064">
        <v>478</v>
      </c>
      <c r="G1064">
        <v>472</v>
      </c>
      <c r="H1064">
        <v>477</v>
      </c>
      <c r="I1064">
        <v>476</v>
      </c>
      <c r="J1064">
        <v>470</v>
      </c>
      <c r="K1064">
        <v>467</v>
      </c>
      <c r="L1064">
        <v>480</v>
      </c>
      <c r="M1064">
        <v>461</v>
      </c>
      <c r="N1064">
        <v>449</v>
      </c>
      <c r="O1064" s="173">
        <f t="shared" si="231"/>
        <v>473</v>
      </c>
      <c r="P1064" s="173">
        <f t="shared" ref="P1064:P1071" si="232">SUM(O1064-O1063)</f>
        <v>19.333333333333314</v>
      </c>
      <c r="Q1064" s="177">
        <f t="shared" ref="Q1064:Q1070" si="233">SUM(P1064/O1063)</f>
        <v>4.261572373254955E-2</v>
      </c>
    </row>
    <row r="1065" spans="1:17" x14ac:dyDescent="0.2">
      <c r="B1065" t="s">
        <v>436</v>
      </c>
      <c r="C1065">
        <v>463</v>
      </c>
      <c r="D1065">
        <v>474</v>
      </c>
      <c r="E1065">
        <v>480</v>
      </c>
      <c r="F1065">
        <v>457</v>
      </c>
      <c r="G1065">
        <v>459</v>
      </c>
      <c r="H1065">
        <v>469</v>
      </c>
      <c r="I1065">
        <v>460</v>
      </c>
      <c r="J1065">
        <v>446</v>
      </c>
      <c r="K1065">
        <v>457</v>
      </c>
      <c r="L1065">
        <v>468</v>
      </c>
      <c r="M1065">
        <v>479</v>
      </c>
      <c r="N1065">
        <v>490</v>
      </c>
      <c r="O1065" s="173">
        <f t="shared" si="231"/>
        <v>466.83333333333331</v>
      </c>
      <c r="P1065" s="173">
        <f t="shared" si="232"/>
        <v>-6.1666666666666856</v>
      </c>
      <c r="Q1065" s="177">
        <f t="shared" si="233"/>
        <v>-1.3037350246652613E-2</v>
      </c>
    </row>
    <row r="1066" spans="1:17" x14ac:dyDescent="0.2">
      <c r="B1066" t="s">
        <v>260</v>
      </c>
      <c r="C1066">
        <v>537</v>
      </c>
      <c r="D1066">
        <v>544</v>
      </c>
      <c r="E1066">
        <v>514</v>
      </c>
      <c r="F1066">
        <v>562</v>
      </c>
      <c r="G1066">
        <v>557</v>
      </c>
      <c r="H1066">
        <v>551</v>
      </c>
      <c r="I1066">
        <v>545</v>
      </c>
      <c r="J1066">
        <v>538</v>
      </c>
      <c r="K1066">
        <v>525</v>
      </c>
      <c r="L1066">
        <v>518</v>
      </c>
      <c r="M1066">
        <v>502</v>
      </c>
      <c r="N1066">
        <v>506</v>
      </c>
      <c r="O1066" s="173">
        <f t="shared" si="231"/>
        <v>533.25</v>
      </c>
      <c r="P1066" s="173">
        <f t="shared" si="232"/>
        <v>66.416666666666686</v>
      </c>
      <c r="Q1066" s="177">
        <f t="shared" si="233"/>
        <v>0.14227061763655841</v>
      </c>
    </row>
    <row r="1067" spans="1:17" x14ac:dyDescent="0.2">
      <c r="B1067" t="s">
        <v>259</v>
      </c>
      <c r="C1067">
        <v>519</v>
      </c>
      <c r="D1067">
        <v>507</v>
      </c>
      <c r="E1067">
        <v>516</v>
      </c>
      <c r="F1067">
        <v>509</v>
      </c>
      <c r="G1067">
        <v>495</v>
      </c>
      <c r="H1067">
        <v>503</v>
      </c>
      <c r="I1067">
        <v>484</v>
      </c>
      <c r="J1067">
        <v>484</v>
      </c>
      <c r="K1067">
        <v>477</v>
      </c>
      <c r="L1067">
        <v>470</v>
      </c>
      <c r="M1067">
        <v>474</v>
      </c>
      <c r="N1067">
        <v>464</v>
      </c>
      <c r="O1067" s="173">
        <f t="shared" si="231"/>
        <v>491.83333333333331</v>
      </c>
      <c r="P1067" s="173">
        <f t="shared" si="232"/>
        <v>-41.416666666666686</v>
      </c>
      <c r="Q1067" s="177">
        <f t="shared" si="233"/>
        <v>-7.7668385685263353E-2</v>
      </c>
    </row>
    <row r="1068" spans="1:17" x14ac:dyDescent="0.2">
      <c r="B1068" t="s">
        <v>280</v>
      </c>
      <c r="C1068">
        <v>472</v>
      </c>
      <c r="D1068">
        <v>489</v>
      </c>
      <c r="E1068">
        <v>468</v>
      </c>
      <c r="F1068">
        <v>461</v>
      </c>
      <c r="G1068">
        <v>460</v>
      </c>
      <c r="H1068">
        <v>449</v>
      </c>
      <c r="I1068">
        <v>436</v>
      </c>
      <c r="J1068">
        <v>442</v>
      </c>
      <c r="K1068">
        <v>445</v>
      </c>
      <c r="L1068">
        <v>458</v>
      </c>
      <c r="M1068">
        <v>472</v>
      </c>
      <c r="N1068">
        <v>480</v>
      </c>
      <c r="O1068" s="173">
        <f t="shared" si="231"/>
        <v>461</v>
      </c>
      <c r="P1068" s="173">
        <f t="shared" si="232"/>
        <v>-30.833333333333314</v>
      </c>
      <c r="Q1068" s="177">
        <f t="shared" si="233"/>
        <v>-6.2690613351406271E-2</v>
      </c>
    </row>
    <row r="1069" spans="1:17" x14ac:dyDescent="0.2">
      <c r="B1069" t="s">
        <v>290</v>
      </c>
      <c r="C1069">
        <v>478</v>
      </c>
      <c r="D1069">
        <v>478</v>
      </c>
      <c r="E1069">
        <v>474</v>
      </c>
      <c r="F1069">
        <v>493</v>
      </c>
      <c r="G1069">
        <v>488</v>
      </c>
      <c r="H1069">
        <v>495</v>
      </c>
      <c r="I1069">
        <v>507</v>
      </c>
      <c r="J1069">
        <v>499</v>
      </c>
      <c r="K1069">
        <v>500</v>
      </c>
      <c r="L1069">
        <v>518</v>
      </c>
      <c r="M1069">
        <v>540</v>
      </c>
      <c r="N1069">
        <v>551</v>
      </c>
      <c r="O1069" s="173">
        <f t="shared" si="231"/>
        <v>501.75</v>
      </c>
      <c r="P1069" s="173">
        <f t="shared" si="232"/>
        <v>40.75</v>
      </c>
      <c r="Q1069" s="177">
        <f t="shared" si="233"/>
        <v>8.8394793926247286E-2</v>
      </c>
    </row>
    <row r="1070" spans="1:17" x14ac:dyDescent="0.2">
      <c r="B1070" t="s">
        <v>293</v>
      </c>
      <c r="C1070">
        <v>551</v>
      </c>
      <c r="D1070">
        <v>536</v>
      </c>
      <c r="E1070">
        <v>521</v>
      </c>
      <c r="F1070">
        <v>522</v>
      </c>
      <c r="G1070">
        <v>527</v>
      </c>
      <c r="H1070">
        <v>545</v>
      </c>
      <c r="I1070">
        <v>548</v>
      </c>
      <c r="J1070">
        <v>549</v>
      </c>
      <c r="K1070">
        <v>549</v>
      </c>
      <c r="L1070">
        <v>650</v>
      </c>
      <c r="M1070">
        <v>666</v>
      </c>
      <c r="N1070">
        <v>591</v>
      </c>
      <c r="O1070" s="173">
        <f t="shared" si="231"/>
        <v>562.91666666666663</v>
      </c>
      <c r="P1070" s="173">
        <f t="shared" si="232"/>
        <v>61.166666666666629</v>
      </c>
      <c r="Q1070" s="177">
        <f t="shared" si="233"/>
        <v>0.12190666002325187</v>
      </c>
    </row>
    <row r="1071" spans="1:17" x14ac:dyDescent="0.2">
      <c r="B1071" t="s">
        <v>294</v>
      </c>
      <c r="C1071">
        <v>596</v>
      </c>
      <c r="D1071">
        <v>617</v>
      </c>
      <c r="E1071">
        <v>722</v>
      </c>
      <c r="F1071">
        <v>657</v>
      </c>
      <c r="G1071">
        <v>723</v>
      </c>
      <c r="H1071">
        <v>717</v>
      </c>
      <c r="I1071">
        <v>729</v>
      </c>
      <c r="J1071">
        <v>730</v>
      </c>
      <c r="K1071">
        <v>721</v>
      </c>
      <c r="L1071">
        <v>721</v>
      </c>
      <c r="M1071">
        <v>754</v>
      </c>
      <c r="N1071">
        <v>770</v>
      </c>
      <c r="O1071" s="173">
        <f t="shared" si="231"/>
        <v>704.75</v>
      </c>
      <c r="P1071" s="173">
        <f t="shared" si="232"/>
        <v>141.83333333333337</v>
      </c>
      <c r="Q1071" s="177">
        <f t="shared" ref="Q1071:Q1077" si="234">SUM(P1071/O1070)</f>
        <v>0.25196150999259814</v>
      </c>
    </row>
    <row r="1072" spans="1:17" x14ac:dyDescent="0.2">
      <c r="B1072" t="s">
        <v>295</v>
      </c>
      <c r="C1072">
        <v>711</v>
      </c>
      <c r="D1072">
        <v>710</v>
      </c>
      <c r="E1072">
        <v>721</v>
      </c>
      <c r="F1072">
        <v>726</v>
      </c>
      <c r="G1072">
        <v>736</v>
      </c>
      <c r="H1072">
        <v>731</v>
      </c>
      <c r="I1072">
        <v>722</v>
      </c>
      <c r="J1072">
        <v>719</v>
      </c>
      <c r="K1072">
        <v>722</v>
      </c>
      <c r="L1072">
        <v>750</v>
      </c>
      <c r="M1072">
        <v>759</v>
      </c>
      <c r="N1072">
        <v>764</v>
      </c>
      <c r="O1072" s="173">
        <f t="shared" si="231"/>
        <v>730.91666666666663</v>
      </c>
      <c r="P1072" s="173">
        <f t="shared" ref="P1072:P1077" si="235">SUM(O1072-O1071)</f>
        <v>26.166666666666629</v>
      </c>
      <c r="Q1072" s="177">
        <f t="shared" si="234"/>
        <v>3.7129005557526254E-2</v>
      </c>
    </row>
    <row r="1073" spans="1:18" x14ac:dyDescent="0.2">
      <c r="B1073" t="s">
        <v>335</v>
      </c>
      <c r="C1073">
        <v>750</v>
      </c>
      <c r="D1073">
        <v>743</v>
      </c>
      <c r="E1073">
        <v>732</v>
      </c>
      <c r="F1073">
        <v>728</v>
      </c>
      <c r="G1073">
        <v>713</v>
      </c>
      <c r="H1073">
        <v>774</v>
      </c>
      <c r="I1073">
        <v>746</v>
      </c>
      <c r="J1073">
        <v>760</v>
      </c>
      <c r="K1073">
        <v>768</v>
      </c>
      <c r="L1073">
        <v>783</v>
      </c>
      <c r="M1073">
        <v>769</v>
      </c>
      <c r="N1073">
        <v>766</v>
      </c>
      <c r="O1073" s="173">
        <f t="shared" si="231"/>
        <v>752.66666666666663</v>
      </c>
      <c r="P1073" s="173">
        <f t="shared" si="235"/>
        <v>21.75</v>
      </c>
      <c r="Q1073" s="177">
        <f t="shared" si="234"/>
        <v>2.9757154258351386E-2</v>
      </c>
    </row>
    <row r="1074" spans="1:18" x14ac:dyDescent="0.2">
      <c r="B1074" t="s">
        <v>358</v>
      </c>
      <c r="C1074">
        <v>793</v>
      </c>
      <c r="D1074">
        <v>763</v>
      </c>
      <c r="E1074">
        <v>771</v>
      </c>
      <c r="F1074">
        <v>782</v>
      </c>
      <c r="G1074">
        <v>756</v>
      </c>
      <c r="H1074">
        <v>768</v>
      </c>
      <c r="I1074">
        <v>763</v>
      </c>
      <c r="J1074">
        <v>762</v>
      </c>
      <c r="K1074">
        <v>773</v>
      </c>
      <c r="L1074">
        <v>776</v>
      </c>
      <c r="M1074">
        <v>743</v>
      </c>
      <c r="N1074">
        <v>744</v>
      </c>
      <c r="O1074" s="173">
        <f t="shared" si="231"/>
        <v>766.16666666666663</v>
      </c>
      <c r="P1074" s="173">
        <f t="shared" si="235"/>
        <v>13.5</v>
      </c>
      <c r="Q1074" s="177">
        <f t="shared" si="234"/>
        <v>1.7936226749335697E-2</v>
      </c>
    </row>
    <row r="1075" spans="1:18" x14ac:dyDescent="0.2">
      <c r="B1075" t="s">
        <v>437</v>
      </c>
      <c r="C1075">
        <v>746</v>
      </c>
      <c r="D1075">
        <v>738</v>
      </c>
      <c r="E1075">
        <v>726</v>
      </c>
      <c r="F1075">
        <v>723</v>
      </c>
      <c r="G1075">
        <v>723</v>
      </c>
      <c r="H1075">
        <v>711</v>
      </c>
      <c r="I1075">
        <v>722</v>
      </c>
      <c r="J1075">
        <v>715</v>
      </c>
      <c r="K1075">
        <v>701</v>
      </c>
      <c r="L1075">
        <v>696</v>
      </c>
      <c r="M1075">
        <v>716</v>
      </c>
      <c r="N1075">
        <v>722</v>
      </c>
      <c r="O1075" s="173">
        <f t="shared" si="231"/>
        <v>719.91666666666663</v>
      </c>
      <c r="P1075" s="173">
        <f t="shared" si="235"/>
        <v>-46.25</v>
      </c>
      <c r="Q1075" s="177">
        <f t="shared" si="234"/>
        <v>-6.0365455731999133E-2</v>
      </c>
    </row>
    <row r="1076" spans="1:18" x14ac:dyDescent="0.2">
      <c r="B1076" t="s">
        <v>471</v>
      </c>
      <c r="C1076">
        <v>720</v>
      </c>
      <c r="D1076">
        <v>754</v>
      </c>
      <c r="E1076">
        <v>702</v>
      </c>
      <c r="F1076">
        <v>720</v>
      </c>
      <c r="G1076">
        <v>705</v>
      </c>
      <c r="H1076">
        <v>715</v>
      </c>
      <c r="I1076">
        <v>712</v>
      </c>
      <c r="J1076">
        <v>720</v>
      </c>
      <c r="K1076">
        <v>712</v>
      </c>
      <c r="L1076">
        <v>709</v>
      </c>
      <c r="M1076">
        <v>704</v>
      </c>
      <c r="N1076">
        <v>720</v>
      </c>
      <c r="O1076" s="173">
        <f t="shared" si="231"/>
        <v>716.08333333333337</v>
      </c>
      <c r="P1076" s="173">
        <f t="shared" si="235"/>
        <v>-3.8333333333332575</v>
      </c>
      <c r="Q1076" s="177">
        <f t="shared" si="234"/>
        <v>-5.3246903576801823E-3</v>
      </c>
    </row>
    <row r="1077" spans="1:18" x14ac:dyDescent="0.2">
      <c r="B1077" t="s">
        <v>537</v>
      </c>
      <c r="C1077">
        <v>726</v>
      </c>
      <c r="D1077">
        <v>712</v>
      </c>
      <c r="E1077">
        <v>724</v>
      </c>
      <c r="F1077">
        <v>708</v>
      </c>
      <c r="G1077">
        <v>701</v>
      </c>
      <c r="H1077">
        <v>715</v>
      </c>
      <c r="I1077">
        <v>708</v>
      </c>
      <c r="J1077">
        <v>702</v>
      </c>
      <c r="K1077">
        <v>695</v>
      </c>
      <c r="L1077">
        <v>713</v>
      </c>
      <c r="M1077">
        <v>720</v>
      </c>
      <c r="N1077">
        <v>732</v>
      </c>
      <c r="O1077" s="173">
        <f t="shared" si="231"/>
        <v>713</v>
      </c>
      <c r="P1077" s="173">
        <f t="shared" si="235"/>
        <v>-3.0833333333333712</v>
      </c>
      <c r="Q1077" s="177">
        <f t="shared" si="234"/>
        <v>-4.3058303270104101E-3</v>
      </c>
    </row>
    <row r="1078" spans="1:18" x14ac:dyDescent="0.2">
      <c r="O1078" s="173"/>
      <c r="P1078" s="173"/>
      <c r="Q1078" s="177"/>
    </row>
    <row r="1079" spans="1:18" x14ac:dyDescent="0.2">
      <c r="A1079" s="178"/>
      <c r="B1079" s="178"/>
      <c r="C1079" s="178"/>
      <c r="D1079" s="178"/>
      <c r="E1079" s="178"/>
      <c r="F1079" s="178"/>
      <c r="G1079" s="178"/>
      <c r="H1079" s="178"/>
      <c r="I1079" s="178"/>
      <c r="J1079" s="178"/>
      <c r="K1079" s="178"/>
      <c r="L1079" s="178"/>
      <c r="M1079" s="178"/>
      <c r="N1079" s="178"/>
      <c r="O1079" s="178"/>
      <c r="P1079" s="178"/>
      <c r="Q1079" s="178"/>
    </row>
    <row r="1080" spans="1:18" ht="25.5" x14ac:dyDescent="0.2">
      <c r="A1080" s="175" t="s">
        <v>450</v>
      </c>
      <c r="B1080" s="653" t="s">
        <v>418</v>
      </c>
      <c r="C1080" s="654" t="s">
        <v>419</v>
      </c>
      <c r="D1080" s="654" t="s">
        <v>420</v>
      </c>
      <c r="E1080" s="654" t="s">
        <v>421</v>
      </c>
      <c r="F1080" s="654" t="s">
        <v>422</v>
      </c>
      <c r="G1080" s="654" t="s">
        <v>423</v>
      </c>
      <c r="H1080" s="654" t="s">
        <v>424</v>
      </c>
      <c r="I1080" s="654" t="s">
        <v>425</v>
      </c>
      <c r="J1080" s="654" t="s">
        <v>426</v>
      </c>
      <c r="K1080" s="654" t="s">
        <v>427</v>
      </c>
      <c r="L1080" s="654" t="s">
        <v>428</v>
      </c>
      <c r="M1080" s="654" t="s">
        <v>429</v>
      </c>
      <c r="N1080" s="654" t="s">
        <v>430</v>
      </c>
    </row>
    <row r="1081" spans="1:18" x14ac:dyDescent="0.2">
      <c r="B1081" t="s">
        <v>434</v>
      </c>
      <c r="C1081">
        <v>51</v>
      </c>
      <c r="D1081">
        <v>44</v>
      </c>
      <c r="E1081">
        <v>43</v>
      </c>
      <c r="F1081">
        <v>39</v>
      </c>
      <c r="G1081">
        <v>39</v>
      </c>
      <c r="H1081">
        <v>39</v>
      </c>
      <c r="I1081">
        <v>43</v>
      </c>
      <c r="J1081">
        <v>41</v>
      </c>
      <c r="K1081">
        <v>42</v>
      </c>
      <c r="L1081">
        <v>42</v>
      </c>
      <c r="M1081">
        <v>43</v>
      </c>
      <c r="N1081">
        <v>40</v>
      </c>
      <c r="O1081" s="173">
        <f t="shared" ref="O1081:O1095" si="236">SUM(C1081:N1081)/12</f>
        <v>42.166666666666664</v>
      </c>
      <c r="P1081" s="173"/>
    </row>
    <row r="1082" spans="1:18" x14ac:dyDescent="0.2">
      <c r="B1082" t="s">
        <v>435</v>
      </c>
      <c r="C1082">
        <v>43</v>
      </c>
      <c r="D1082">
        <v>47</v>
      </c>
      <c r="E1082">
        <v>47</v>
      </c>
      <c r="F1082">
        <v>51</v>
      </c>
      <c r="G1082">
        <v>46</v>
      </c>
      <c r="H1082">
        <v>44</v>
      </c>
      <c r="I1082">
        <v>48</v>
      </c>
      <c r="J1082">
        <v>41</v>
      </c>
      <c r="K1082">
        <v>47</v>
      </c>
      <c r="L1082">
        <v>44</v>
      </c>
      <c r="M1082">
        <v>43</v>
      </c>
      <c r="N1082">
        <v>46</v>
      </c>
      <c r="O1082" s="173">
        <f t="shared" si="236"/>
        <v>45.583333333333336</v>
      </c>
      <c r="P1082" s="173">
        <f t="shared" ref="P1082:P1089" si="237">SUM(O1082-O1081)</f>
        <v>3.4166666666666714</v>
      </c>
      <c r="Q1082" s="177">
        <f t="shared" ref="Q1082:Q1088" si="238">SUM(P1082/O1081)</f>
        <v>8.1027667984189838E-2</v>
      </c>
    </row>
    <row r="1083" spans="1:18" x14ac:dyDescent="0.2">
      <c r="B1083" t="s">
        <v>436</v>
      </c>
      <c r="C1083">
        <v>45</v>
      </c>
      <c r="D1083">
        <v>49</v>
      </c>
      <c r="E1083">
        <v>48</v>
      </c>
      <c r="F1083">
        <v>51</v>
      </c>
      <c r="G1083">
        <v>51</v>
      </c>
      <c r="H1083">
        <v>46</v>
      </c>
      <c r="I1083">
        <v>49</v>
      </c>
      <c r="J1083">
        <v>45</v>
      </c>
      <c r="K1083">
        <v>46</v>
      </c>
      <c r="L1083">
        <v>47</v>
      </c>
      <c r="M1083">
        <v>48</v>
      </c>
      <c r="N1083">
        <v>49</v>
      </c>
      <c r="O1083" s="173">
        <f t="shared" si="236"/>
        <v>47.833333333333336</v>
      </c>
      <c r="P1083" s="173">
        <f t="shared" si="237"/>
        <v>2.25</v>
      </c>
      <c r="Q1083" s="177">
        <f t="shared" si="238"/>
        <v>4.9360146252285186E-2</v>
      </c>
    </row>
    <row r="1084" spans="1:18" x14ac:dyDescent="0.2">
      <c r="B1084" t="s">
        <v>260</v>
      </c>
      <c r="C1084">
        <v>35</v>
      </c>
      <c r="D1084">
        <v>35</v>
      </c>
      <c r="E1084">
        <v>36</v>
      </c>
      <c r="F1084">
        <v>39</v>
      </c>
      <c r="G1084">
        <v>39</v>
      </c>
      <c r="H1084">
        <v>43</v>
      </c>
      <c r="I1084">
        <v>47</v>
      </c>
      <c r="J1084">
        <v>45</v>
      </c>
      <c r="K1084">
        <v>47</v>
      </c>
      <c r="L1084">
        <v>51</v>
      </c>
      <c r="M1084">
        <v>47</v>
      </c>
      <c r="N1084">
        <v>45</v>
      </c>
      <c r="O1084" s="173">
        <f t="shared" si="236"/>
        <v>42.416666666666664</v>
      </c>
      <c r="P1084" s="173">
        <f t="shared" si="237"/>
        <v>-5.4166666666666714</v>
      </c>
      <c r="Q1084" s="177">
        <f t="shared" si="238"/>
        <v>-0.113240418118467</v>
      </c>
    </row>
    <row r="1085" spans="1:18" x14ac:dyDescent="0.2">
      <c r="B1085" t="s">
        <v>259</v>
      </c>
      <c r="C1085">
        <v>55</v>
      </c>
      <c r="D1085">
        <v>51</v>
      </c>
      <c r="E1085">
        <v>49</v>
      </c>
      <c r="F1085">
        <v>51</v>
      </c>
      <c r="G1085">
        <v>52</v>
      </c>
      <c r="H1085">
        <v>54</v>
      </c>
      <c r="I1085">
        <v>55</v>
      </c>
      <c r="J1085">
        <v>55</v>
      </c>
      <c r="K1085">
        <v>42</v>
      </c>
      <c r="L1085">
        <v>38</v>
      </c>
      <c r="M1085">
        <v>85</v>
      </c>
      <c r="N1085">
        <v>81</v>
      </c>
      <c r="O1085" s="173">
        <f t="shared" si="236"/>
        <v>55.666666666666664</v>
      </c>
      <c r="P1085" s="173">
        <f t="shared" si="237"/>
        <v>13.25</v>
      </c>
      <c r="Q1085" s="177">
        <f t="shared" si="238"/>
        <v>0.31237721021611004</v>
      </c>
    </row>
    <row r="1086" spans="1:18" x14ac:dyDescent="0.2">
      <c r="B1086" t="s">
        <v>280</v>
      </c>
      <c r="C1086">
        <v>81</v>
      </c>
      <c r="D1086">
        <v>81</v>
      </c>
      <c r="E1086">
        <v>74</v>
      </c>
      <c r="F1086">
        <v>79</v>
      </c>
      <c r="G1086">
        <v>77</v>
      </c>
      <c r="H1086">
        <v>77</v>
      </c>
      <c r="I1086">
        <v>74</v>
      </c>
      <c r="J1086">
        <v>74</v>
      </c>
      <c r="K1086">
        <v>74</v>
      </c>
      <c r="L1086">
        <v>75</v>
      </c>
      <c r="M1086">
        <v>75</v>
      </c>
      <c r="N1086">
        <v>76</v>
      </c>
      <c r="O1086" s="173">
        <f t="shared" si="236"/>
        <v>76.416666666666671</v>
      </c>
      <c r="P1086" s="173">
        <f t="shared" si="237"/>
        <v>20.750000000000007</v>
      </c>
      <c r="Q1086" s="177">
        <f t="shared" si="238"/>
        <v>0.37275449101796421</v>
      </c>
    </row>
    <row r="1087" spans="1:18" x14ac:dyDescent="0.2">
      <c r="B1087" t="s">
        <v>290</v>
      </c>
      <c r="C1087">
        <v>78</v>
      </c>
      <c r="D1087">
        <v>76</v>
      </c>
      <c r="E1087">
        <v>80</v>
      </c>
      <c r="F1087">
        <v>81</v>
      </c>
      <c r="G1087">
        <v>77</v>
      </c>
      <c r="H1087">
        <v>76</v>
      </c>
      <c r="I1087">
        <v>74</v>
      </c>
      <c r="J1087">
        <v>76</v>
      </c>
      <c r="K1087">
        <v>71</v>
      </c>
      <c r="L1087">
        <v>71</v>
      </c>
      <c r="M1087">
        <v>74</v>
      </c>
      <c r="N1087">
        <v>75</v>
      </c>
      <c r="O1087" s="173">
        <f t="shared" si="236"/>
        <v>75.75</v>
      </c>
      <c r="P1087" s="173">
        <f t="shared" si="237"/>
        <v>-0.6666666666666714</v>
      </c>
      <c r="Q1087" s="177">
        <f t="shared" si="238"/>
        <v>-8.7241003271538234E-3</v>
      </c>
    </row>
    <row r="1088" spans="1:18" x14ac:dyDescent="0.2">
      <c r="B1088" t="s">
        <v>293</v>
      </c>
      <c r="C1088">
        <v>75</v>
      </c>
      <c r="D1088">
        <v>74</v>
      </c>
      <c r="E1088">
        <v>73</v>
      </c>
      <c r="F1088">
        <v>72</v>
      </c>
      <c r="G1088">
        <v>75</v>
      </c>
      <c r="H1088">
        <v>74</v>
      </c>
      <c r="I1088">
        <v>73</v>
      </c>
      <c r="J1088">
        <v>73</v>
      </c>
      <c r="K1088">
        <v>71</v>
      </c>
      <c r="L1088">
        <v>84</v>
      </c>
      <c r="M1088">
        <v>79</v>
      </c>
      <c r="N1088">
        <v>74</v>
      </c>
      <c r="O1088" s="173">
        <f t="shared" si="236"/>
        <v>74.75</v>
      </c>
      <c r="P1088" s="173">
        <f t="shared" si="237"/>
        <v>-1</v>
      </c>
      <c r="Q1088" s="177">
        <f t="shared" si="238"/>
        <v>-1.3201320132013201E-2</v>
      </c>
      <c r="R1088" s="177"/>
    </row>
    <row r="1089" spans="1:17" x14ac:dyDescent="0.2">
      <c r="B1089" t="s">
        <v>294</v>
      </c>
      <c r="C1089">
        <v>70</v>
      </c>
      <c r="D1089">
        <v>68</v>
      </c>
      <c r="E1089">
        <v>80</v>
      </c>
      <c r="F1089">
        <v>73</v>
      </c>
      <c r="G1089">
        <v>82</v>
      </c>
      <c r="H1089">
        <v>81</v>
      </c>
      <c r="I1089">
        <v>83</v>
      </c>
      <c r="J1089">
        <v>80</v>
      </c>
      <c r="K1089">
        <v>78</v>
      </c>
      <c r="L1089">
        <v>78</v>
      </c>
      <c r="M1089">
        <v>78</v>
      </c>
      <c r="N1089">
        <v>86</v>
      </c>
      <c r="O1089" s="173">
        <f t="shared" si="236"/>
        <v>78.083333333333329</v>
      </c>
      <c r="P1089" s="173">
        <f t="shared" si="237"/>
        <v>3.3333333333333286</v>
      </c>
      <c r="Q1089" s="177">
        <f t="shared" ref="Q1089:Q1095" si="239">SUM(P1089/O1088)</f>
        <v>4.4593088071348874E-2</v>
      </c>
    </row>
    <row r="1090" spans="1:17" x14ac:dyDescent="0.2">
      <c r="B1090" t="s">
        <v>295</v>
      </c>
      <c r="C1090">
        <v>75</v>
      </c>
      <c r="D1090">
        <v>74</v>
      </c>
      <c r="E1090">
        <v>79</v>
      </c>
      <c r="F1090">
        <v>77</v>
      </c>
      <c r="G1090">
        <v>75</v>
      </c>
      <c r="H1090">
        <v>66</v>
      </c>
      <c r="I1090">
        <v>64</v>
      </c>
      <c r="J1090">
        <v>64</v>
      </c>
      <c r="K1090">
        <v>47</v>
      </c>
      <c r="L1090">
        <v>47</v>
      </c>
      <c r="M1090">
        <v>45</v>
      </c>
      <c r="N1090">
        <v>47</v>
      </c>
      <c r="O1090" s="173">
        <f t="shared" si="236"/>
        <v>63.333333333333336</v>
      </c>
      <c r="P1090" s="173">
        <f t="shared" ref="P1090:P1095" si="240">SUM(O1090-O1089)</f>
        <v>-14.749999999999993</v>
      </c>
      <c r="Q1090" s="177">
        <f t="shared" si="239"/>
        <v>-0.18890074706510132</v>
      </c>
    </row>
    <row r="1091" spans="1:17" x14ac:dyDescent="0.2">
      <c r="B1091" t="s">
        <v>335</v>
      </c>
      <c r="C1091">
        <v>42</v>
      </c>
      <c r="D1091">
        <v>43</v>
      </c>
      <c r="E1091">
        <v>41</v>
      </c>
      <c r="F1091">
        <v>41</v>
      </c>
      <c r="G1091">
        <v>38</v>
      </c>
      <c r="H1091">
        <v>54</v>
      </c>
      <c r="I1091">
        <v>60</v>
      </c>
      <c r="J1091">
        <v>53</v>
      </c>
      <c r="K1091">
        <v>57</v>
      </c>
      <c r="L1091">
        <v>45</v>
      </c>
      <c r="M1091">
        <v>48</v>
      </c>
      <c r="N1091">
        <v>49</v>
      </c>
      <c r="O1091" s="173">
        <f t="shared" si="236"/>
        <v>47.583333333333336</v>
      </c>
      <c r="P1091" s="173">
        <f t="shared" si="240"/>
        <v>-15.75</v>
      </c>
      <c r="Q1091" s="177">
        <f t="shared" si="239"/>
        <v>-0.24868421052631579</v>
      </c>
    </row>
    <row r="1092" spans="1:17" x14ac:dyDescent="0.2">
      <c r="B1092" t="s">
        <v>358</v>
      </c>
      <c r="C1092">
        <v>49</v>
      </c>
      <c r="D1092">
        <v>51</v>
      </c>
      <c r="E1092">
        <v>45</v>
      </c>
      <c r="F1092">
        <v>54</v>
      </c>
      <c r="G1092">
        <v>56</v>
      </c>
      <c r="H1092">
        <v>56</v>
      </c>
      <c r="I1092">
        <v>53</v>
      </c>
      <c r="J1092">
        <v>50</v>
      </c>
      <c r="K1092">
        <v>47</v>
      </c>
      <c r="L1092">
        <v>44</v>
      </c>
      <c r="M1092">
        <v>44</v>
      </c>
      <c r="N1092">
        <v>52</v>
      </c>
      <c r="O1092" s="173">
        <f t="shared" si="236"/>
        <v>50.083333333333336</v>
      </c>
      <c r="P1092" s="173">
        <f>SUM(O1092-O1091)</f>
        <v>2.5</v>
      </c>
      <c r="Q1092" s="177">
        <f>SUM(P1092/O1091)</f>
        <v>5.2539404553415062E-2</v>
      </c>
    </row>
    <row r="1093" spans="1:17" x14ac:dyDescent="0.2">
      <c r="B1093" t="s">
        <v>437</v>
      </c>
      <c r="C1093">
        <v>54</v>
      </c>
      <c r="D1093">
        <v>54</v>
      </c>
      <c r="E1093">
        <v>51</v>
      </c>
      <c r="F1093">
        <v>57</v>
      </c>
      <c r="G1093">
        <v>56</v>
      </c>
      <c r="H1093">
        <v>64</v>
      </c>
      <c r="I1093">
        <v>66</v>
      </c>
      <c r="J1093">
        <v>65</v>
      </c>
      <c r="K1093">
        <v>65</v>
      </c>
      <c r="L1093">
        <v>65</v>
      </c>
      <c r="M1093">
        <v>72</v>
      </c>
      <c r="N1093">
        <v>63</v>
      </c>
      <c r="O1093" s="173">
        <f t="shared" si="236"/>
        <v>61</v>
      </c>
      <c r="P1093" s="173">
        <f t="shared" si="240"/>
        <v>10.916666666666664</v>
      </c>
      <c r="Q1093" s="177">
        <f t="shared" si="239"/>
        <v>0.21797004991680527</v>
      </c>
    </row>
    <row r="1094" spans="1:17" x14ac:dyDescent="0.2">
      <c r="B1094" t="s">
        <v>471</v>
      </c>
      <c r="C1094">
        <v>67</v>
      </c>
      <c r="D1094">
        <v>65</v>
      </c>
      <c r="E1094">
        <v>65</v>
      </c>
      <c r="F1094">
        <v>61</v>
      </c>
      <c r="G1094">
        <v>59</v>
      </c>
      <c r="H1094">
        <v>58</v>
      </c>
      <c r="I1094">
        <v>53</v>
      </c>
      <c r="J1094">
        <v>56</v>
      </c>
      <c r="K1094">
        <v>57</v>
      </c>
      <c r="L1094">
        <v>57</v>
      </c>
      <c r="M1094">
        <v>52</v>
      </c>
      <c r="N1094">
        <v>58</v>
      </c>
      <c r="O1094" s="173">
        <f t="shared" si="236"/>
        <v>59</v>
      </c>
      <c r="P1094" s="173">
        <f t="shared" si="240"/>
        <v>-2</v>
      </c>
      <c r="Q1094" s="177">
        <f t="shared" si="239"/>
        <v>-3.2786885245901641E-2</v>
      </c>
    </row>
    <row r="1095" spans="1:17" x14ac:dyDescent="0.2">
      <c r="B1095" t="s">
        <v>537</v>
      </c>
      <c r="C1095">
        <v>55</v>
      </c>
      <c r="D1095">
        <v>43</v>
      </c>
      <c r="E1095">
        <v>45</v>
      </c>
      <c r="F1095">
        <v>45</v>
      </c>
      <c r="G1095">
        <v>40</v>
      </c>
      <c r="H1095">
        <v>45</v>
      </c>
      <c r="I1095">
        <v>45</v>
      </c>
      <c r="J1095">
        <v>49</v>
      </c>
      <c r="K1095">
        <v>53</v>
      </c>
      <c r="L1095">
        <v>50</v>
      </c>
      <c r="M1095">
        <v>51</v>
      </c>
      <c r="N1095">
        <v>50</v>
      </c>
      <c r="O1095" s="173">
        <f t="shared" si="236"/>
        <v>47.583333333333336</v>
      </c>
      <c r="P1095" s="173">
        <f t="shared" si="240"/>
        <v>-11.416666666666664</v>
      </c>
      <c r="Q1095" s="177">
        <f t="shared" si="239"/>
        <v>-0.19350282485875703</v>
      </c>
    </row>
    <row r="1096" spans="1:17" x14ac:dyDescent="0.2">
      <c r="O1096" s="173"/>
      <c r="P1096" s="173"/>
      <c r="Q1096" s="177"/>
    </row>
    <row r="1097" spans="1:17" ht="24.75" customHeight="1" x14ac:dyDescent="0.2">
      <c r="A1097" s="603" t="s">
        <v>451</v>
      </c>
      <c r="B1097" s="654" t="s">
        <v>418</v>
      </c>
      <c r="C1097" s="654" t="s">
        <v>419</v>
      </c>
      <c r="D1097" s="654" t="s">
        <v>420</v>
      </c>
      <c r="E1097" s="654" t="s">
        <v>421</v>
      </c>
      <c r="F1097" s="654" t="s">
        <v>422</v>
      </c>
      <c r="G1097" s="654" t="s">
        <v>423</v>
      </c>
      <c r="H1097" s="654" t="s">
        <v>424</v>
      </c>
      <c r="I1097" s="654" t="s">
        <v>425</v>
      </c>
      <c r="J1097" s="654" t="s">
        <v>426</v>
      </c>
      <c r="K1097" s="654" t="s">
        <v>427</v>
      </c>
      <c r="L1097" s="654" t="s">
        <v>428</v>
      </c>
      <c r="M1097" s="654" t="s">
        <v>429</v>
      </c>
      <c r="N1097" s="654" t="s">
        <v>430</v>
      </c>
    </row>
    <row r="1098" spans="1:17" x14ac:dyDescent="0.2">
      <c r="B1098" t="s">
        <v>335</v>
      </c>
      <c r="H1098">
        <v>120</v>
      </c>
      <c r="I1098">
        <v>96</v>
      </c>
      <c r="J1098">
        <v>123</v>
      </c>
      <c r="K1098">
        <v>105</v>
      </c>
      <c r="L1098">
        <v>122</v>
      </c>
      <c r="M1098">
        <v>118</v>
      </c>
      <c r="N1098">
        <v>118</v>
      </c>
      <c r="O1098" s="173">
        <f>SUM(C1098:N1098)/7</f>
        <v>114.57142857142857</v>
      </c>
      <c r="P1098" s="173"/>
      <c r="Q1098" s="177"/>
    </row>
    <row r="1099" spans="1:17" x14ac:dyDescent="0.2">
      <c r="B1099" t="s">
        <v>358</v>
      </c>
      <c r="C1099">
        <v>108</v>
      </c>
      <c r="D1099">
        <v>110</v>
      </c>
      <c r="E1099">
        <v>105</v>
      </c>
      <c r="F1099">
        <v>102</v>
      </c>
      <c r="G1099">
        <v>121</v>
      </c>
      <c r="H1099">
        <v>133</v>
      </c>
      <c r="I1099">
        <v>137</v>
      </c>
      <c r="J1099">
        <v>129</v>
      </c>
      <c r="K1099">
        <v>137</v>
      </c>
      <c r="L1099">
        <v>140</v>
      </c>
      <c r="M1099">
        <v>134</v>
      </c>
      <c r="N1099">
        <v>128</v>
      </c>
      <c r="O1099" s="173">
        <f>SUM(C1099:N1099)/12</f>
        <v>123.66666666666667</v>
      </c>
      <c r="P1099" s="173">
        <f>SUM(O1099-O1098)</f>
        <v>9.095238095238102</v>
      </c>
      <c r="Q1099" s="177">
        <f>SUM(P1099/O1098)</f>
        <v>7.9384871155444778E-2</v>
      </c>
    </row>
    <row r="1100" spans="1:17" x14ac:dyDescent="0.2">
      <c r="B1100" t="s">
        <v>437</v>
      </c>
      <c r="C1100">
        <v>109</v>
      </c>
      <c r="D1100">
        <v>111</v>
      </c>
      <c r="E1100">
        <v>117</v>
      </c>
      <c r="F1100">
        <v>117</v>
      </c>
      <c r="G1100">
        <v>122</v>
      </c>
      <c r="H1100">
        <v>122</v>
      </c>
      <c r="I1100">
        <v>140</v>
      </c>
      <c r="J1100">
        <v>138</v>
      </c>
      <c r="K1100">
        <v>138</v>
      </c>
      <c r="L1100">
        <v>107</v>
      </c>
      <c r="M1100">
        <v>109</v>
      </c>
      <c r="N1100">
        <v>128</v>
      </c>
      <c r="O1100" s="173">
        <f>SUM(C1100:N1100)/12</f>
        <v>121.5</v>
      </c>
      <c r="P1100" s="173">
        <f>SUM(O1100-O1099)</f>
        <v>-2.1666666666666714</v>
      </c>
      <c r="Q1100" s="177">
        <f>SUM(P1100/O1099)</f>
        <v>-1.7520215633423219E-2</v>
      </c>
    </row>
    <row r="1101" spans="1:17" x14ac:dyDescent="0.2">
      <c r="B1101" t="s">
        <v>471</v>
      </c>
      <c r="C1101">
        <v>109</v>
      </c>
      <c r="D1101">
        <v>116</v>
      </c>
      <c r="E1101">
        <v>125</v>
      </c>
      <c r="F1101">
        <v>113</v>
      </c>
      <c r="G1101">
        <v>99</v>
      </c>
      <c r="H1101">
        <v>98</v>
      </c>
      <c r="I1101">
        <v>107</v>
      </c>
      <c r="J1101">
        <v>113</v>
      </c>
      <c r="K1101">
        <v>118</v>
      </c>
      <c r="L1101">
        <v>105</v>
      </c>
      <c r="M1101">
        <v>107</v>
      </c>
      <c r="N1101">
        <v>110</v>
      </c>
      <c r="O1101" s="173">
        <f>SUM(C1101:N1101)/12</f>
        <v>110</v>
      </c>
      <c r="P1101" s="173">
        <f>SUM(O1101-O1100)</f>
        <v>-11.5</v>
      </c>
      <c r="Q1101" s="177">
        <f>SUM(P1101/O1100)</f>
        <v>-9.4650205761316872E-2</v>
      </c>
    </row>
    <row r="1102" spans="1:17" x14ac:dyDescent="0.2">
      <c r="B1102" t="s">
        <v>537</v>
      </c>
      <c r="C1102">
        <v>111</v>
      </c>
      <c r="D1102">
        <v>102</v>
      </c>
      <c r="E1102">
        <v>122</v>
      </c>
      <c r="F1102">
        <v>144</v>
      </c>
      <c r="G1102">
        <v>154</v>
      </c>
      <c r="H1102">
        <v>164</v>
      </c>
      <c r="I1102">
        <v>164</v>
      </c>
      <c r="J1102">
        <v>169</v>
      </c>
      <c r="K1102">
        <v>164</v>
      </c>
      <c r="L1102">
        <v>165</v>
      </c>
      <c r="M1102">
        <v>161</v>
      </c>
      <c r="N1102">
        <v>142</v>
      </c>
      <c r="O1102" s="173">
        <f>SUM(C1102:N1102)/12</f>
        <v>146.83333333333334</v>
      </c>
      <c r="P1102" s="173">
        <f>SUM(O1102-O1101)</f>
        <v>36.833333333333343</v>
      </c>
      <c r="Q1102" s="177">
        <f>SUM(P1102/O1101)</f>
        <v>0.33484848484848495</v>
      </c>
    </row>
    <row r="1106" spans="1:18" x14ac:dyDescent="0.2">
      <c r="A1106" s="178"/>
      <c r="B1106" s="178"/>
      <c r="C1106" s="178"/>
      <c r="D1106" s="178"/>
      <c r="E1106" s="178"/>
      <c r="F1106" s="178"/>
      <c r="G1106" s="178"/>
      <c r="H1106" s="178"/>
      <c r="I1106" s="178"/>
      <c r="J1106" s="178"/>
      <c r="K1106" s="178"/>
      <c r="L1106" s="178"/>
      <c r="M1106" s="178"/>
      <c r="N1106" s="178"/>
      <c r="O1106" s="178"/>
      <c r="P1106" s="178"/>
      <c r="Q1106" s="178"/>
      <c r="R1106" s="178"/>
    </row>
    <row r="1107" spans="1:18" ht="38.25" x14ac:dyDescent="0.2">
      <c r="A1107" s="657" t="s">
        <v>452</v>
      </c>
      <c r="B1107" s="653" t="s">
        <v>418</v>
      </c>
      <c r="C1107" s="654" t="s">
        <v>419</v>
      </c>
      <c r="D1107" s="654" t="s">
        <v>420</v>
      </c>
      <c r="E1107" s="654" t="s">
        <v>421</v>
      </c>
      <c r="F1107" s="654" t="s">
        <v>422</v>
      </c>
      <c r="G1107" s="654" t="s">
        <v>423</v>
      </c>
      <c r="H1107" s="654" t="s">
        <v>424</v>
      </c>
      <c r="I1107" s="654" t="s">
        <v>425</v>
      </c>
      <c r="J1107" s="654" t="s">
        <v>426</v>
      </c>
      <c r="K1107" s="654" t="s">
        <v>427</v>
      </c>
      <c r="L1107" s="654" t="s">
        <v>428</v>
      </c>
      <c r="M1107" s="654" t="s">
        <v>429</v>
      </c>
      <c r="N1107" s="654" t="s">
        <v>430</v>
      </c>
      <c r="O1107" s="174" t="s">
        <v>431</v>
      </c>
      <c r="P1107" s="660" t="s">
        <v>432</v>
      </c>
      <c r="Q1107" s="660" t="s">
        <v>433</v>
      </c>
      <c r="R1107" s="660" t="s">
        <v>453</v>
      </c>
    </row>
    <row r="1108" spans="1:18" x14ac:dyDescent="0.2">
      <c r="A1108" s="656" t="s">
        <v>470</v>
      </c>
      <c r="B1108" t="s">
        <v>434</v>
      </c>
      <c r="C1108">
        <f t="shared" ref="C1108:N1120" si="241">SUM(C873,C890,C907,C925,C942,C959,C977,C994,C1011,C1029,C1046,C1063,C1081)</f>
        <v>4476</v>
      </c>
      <c r="D1108">
        <f t="shared" si="241"/>
        <v>4483</v>
      </c>
      <c r="E1108">
        <f t="shared" si="241"/>
        <v>4465</v>
      </c>
      <c r="F1108">
        <f t="shared" si="241"/>
        <v>4430</v>
      </c>
      <c r="G1108">
        <f t="shared" si="241"/>
        <v>4464</v>
      </c>
      <c r="H1108">
        <f t="shared" si="241"/>
        <v>4489</v>
      </c>
      <c r="I1108">
        <f t="shared" si="241"/>
        <v>4483</v>
      </c>
      <c r="J1108">
        <f t="shared" si="241"/>
        <v>4518</v>
      </c>
      <c r="K1108">
        <f t="shared" si="241"/>
        <v>4524</v>
      </c>
      <c r="L1108">
        <f t="shared" si="241"/>
        <v>4527</v>
      </c>
      <c r="M1108">
        <f t="shared" si="241"/>
        <v>4496</v>
      </c>
      <c r="N1108">
        <f t="shared" si="241"/>
        <v>4561</v>
      </c>
      <c r="O1108">
        <f t="shared" ref="O1108:O1116" si="242">SUM(C1108:N1108)/12</f>
        <v>4493</v>
      </c>
      <c r="P1108" s="661"/>
      <c r="Q1108" s="661"/>
      <c r="R1108" s="661"/>
    </row>
    <row r="1109" spans="1:18" x14ac:dyDescent="0.2">
      <c r="B1109" t="s">
        <v>435</v>
      </c>
      <c r="C1109">
        <f t="shared" si="241"/>
        <v>4520</v>
      </c>
      <c r="D1109">
        <f t="shared" si="241"/>
        <v>4564</v>
      </c>
      <c r="E1109">
        <f t="shared" si="241"/>
        <v>4554</v>
      </c>
      <c r="F1109">
        <f t="shared" si="241"/>
        <v>4570</v>
      </c>
      <c r="G1109">
        <f t="shared" si="241"/>
        <v>4539</v>
      </c>
      <c r="H1109">
        <f t="shared" si="241"/>
        <v>4559</v>
      </c>
      <c r="I1109">
        <f t="shared" si="241"/>
        <v>4522</v>
      </c>
      <c r="J1109">
        <f t="shared" si="241"/>
        <v>4548</v>
      </c>
      <c r="K1109">
        <f t="shared" si="241"/>
        <v>4510</v>
      </c>
      <c r="L1109">
        <f t="shared" si="241"/>
        <v>4548</v>
      </c>
      <c r="M1109">
        <f t="shared" si="241"/>
        <v>4537</v>
      </c>
      <c r="N1109">
        <f t="shared" si="241"/>
        <v>4525</v>
      </c>
      <c r="O1109" s="173">
        <f t="shared" si="242"/>
        <v>4541.333333333333</v>
      </c>
      <c r="P1109" s="662">
        <f t="shared" ref="P1109:P1115" si="243">SUM(O1109-N1108)</f>
        <v>-19.66666666666697</v>
      </c>
      <c r="Q1109" s="663">
        <f t="shared" ref="Q1109:Q1122" si="244">SUM(P1109/O1108)</f>
        <v>-4.3771793159730621E-3</v>
      </c>
      <c r="R1109" s="661"/>
    </row>
    <row r="1110" spans="1:18" x14ac:dyDescent="0.2">
      <c r="B1110" t="s">
        <v>436</v>
      </c>
      <c r="C1110">
        <f t="shared" si="241"/>
        <v>4558</v>
      </c>
      <c r="D1110">
        <f t="shared" si="241"/>
        <v>4615</v>
      </c>
      <c r="E1110">
        <f t="shared" si="241"/>
        <v>4607</v>
      </c>
      <c r="F1110">
        <f t="shared" si="241"/>
        <v>4575</v>
      </c>
      <c r="G1110">
        <f t="shared" si="241"/>
        <v>4575</v>
      </c>
      <c r="H1110">
        <f t="shared" si="241"/>
        <v>4624</v>
      </c>
      <c r="I1110">
        <f t="shared" si="241"/>
        <v>4604</v>
      </c>
      <c r="J1110">
        <f t="shared" si="241"/>
        <v>4666</v>
      </c>
      <c r="K1110">
        <f t="shared" si="241"/>
        <v>4736</v>
      </c>
      <c r="L1110">
        <f t="shared" si="241"/>
        <v>4774</v>
      </c>
      <c r="M1110">
        <f t="shared" si="241"/>
        <v>4832</v>
      </c>
      <c r="N1110">
        <f t="shared" si="241"/>
        <v>4872</v>
      </c>
      <c r="O1110" s="173">
        <f t="shared" si="242"/>
        <v>4669.833333333333</v>
      </c>
      <c r="P1110" s="662">
        <f t="shared" si="243"/>
        <v>144.83333333333303</v>
      </c>
      <c r="Q1110" s="663">
        <f t="shared" si="244"/>
        <v>3.1892248972401581E-2</v>
      </c>
      <c r="R1110" s="663">
        <f>SUM(Q1109:Q1110)</f>
        <v>2.7515069656428519E-2</v>
      </c>
    </row>
    <row r="1111" spans="1:18" x14ac:dyDescent="0.2">
      <c r="B1111" t="s">
        <v>260</v>
      </c>
      <c r="C1111">
        <f t="shared" si="241"/>
        <v>4823</v>
      </c>
      <c r="D1111">
        <f t="shared" si="241"/>
        <v>4949</v>
      </c>
      <c r="E1111">
        <f t="shared" si="241"/>
        <v>4738</v>
      </c>
      <c r="F1111">
        <f t="shared" si="241"/>
        <v>4753</v>
      </c>
      <c r="G1111">
        <f t="shared" si="241"/>
        <v>4796</v>
      </c>
      <c r="H1111">
        <f t="shared" si="241"/>
        <v>4795</v>
      </c>
      <c r="I1111">
        <f t="shared" si="241"/>
        <v>4787</v>
      </c>
      <c r="J1111">
        <f t="shared" si="241"/>
        <v>4789</v>
      </c>
      <c r="K1111">
        <f t="shared" si="241"/>
        <v>4682</v>
      </c>
      <c r="L1111">
        <f t="shared" si="241"/>
        <v>4694</v>
      </c>
      <c r="M1111">
        <f t="shared" si="241"/>
        <v>4685</v>
      </c>
      <c r="N1111">
        <f t="shared" si="241"/>
        <v>4723</v>
      </c>
      <c r="O1111" s="173">
        <f t="shared" si="242"/>
        <v>4767.833333333333</v>
      </c>
      <c r="P1111" s="662">
        <f t="shared" si="243"/>
        <v>-104.16666666666697</v>
      </c>
      <c r="Q1111" s="663">
        <f t="shared" si="244"/>
        <v>-2.2306292158892245E-2</v>
      </c>
      <c r="R1111" s="663">
        <f>SUM(Q1109:Q1111)</f>
        <v>5.2087774975362738E-3</v>
      </c>
    </row>
    <row r="1112" spans="1:18" x14ac:dyDescent="0.2">
      <c r="B1112" t="s">
        <v>259</v>
      </c>
      <c r="C1112">
        <f t="shared" si="241"/>
        <v>4934</v>
      </c>
      <c r="D1112">
        <f t="shared" si="241"/>
        <v>4681</v>
      </c>
      <c r="E1112">
        <f t="shared" si="241"/>
        <v>4701</v>
      </c>
      <c r="F1112">
        <f t="shared" si="241"/>
        <v>4713</v>
      </c>
      <c r="G1112">
        <f t="shared" si="241"/>
        <v>4644</v>
      </c>
      <c r="H1112">
        <f t="shared" si="241"/>
        <v>4760</v>
      </c>
      <c r="I1112">
        <f t="shared" si="241"/>
        <v>4760</v>
      </c>
      <c r="J1112">
        <f t="shared" si="241"/>
        <v>4753</v>
      </c>
      <c r="K1112">
        <f t="shared" si="241"/>
        <v>4744</v>
      </c>
      <c r="L1112">
        <f t="shared" si="241"/>
        <v>4764</v>
      </c>
      <c r="M1112">
        <f t="shared" si="241"/>
        <v>4810</v>
      </c>
      <c r="N1112">
        <f t="shared" si="241"/>
        <v>4804</v>
      </c>
      <c r="O1112" s="173">
        <f t="shared" si="242"/>
        <v>4755.666666666667</v>
      </c>
      <c r="P1112" s="662">
        <f t="shared" si="243"/>
        <v>32.66666666666697</v>
      </c>
      <c r="Q1112" s="663">
        <f t="shared" si="244"/>
        <v>6.8514699199497264E-3</v>
      </c>
      <c r="R1112" s="663">
        <f>SUM(Q1109:Q1112)</f>
        <v>1.2060247417486E-2</v>
      </c>
    </row>
    <row r="1113" spans="1:18" x14ac:dyDescent="0.2">
      <c r="B1113" t="s">
        <v>280</v>
      </c>
      <c r="C1113">
        <f t="shared" si="241"/>
        <v>4780</v>
      </c>
      <c r="D1113">
        <f t="shared" si="241"/>
        <v>4815</v>
      </c>
      <c r="E1113">
        <f t="shared" si="241"/>
        <v>4843</v>
      </c>
      <c r="F1113">
        <f t="shared" si="241"/>
        <v>4851</v>
      </c>
      <c r="G1113">
        <f t="shared" si="241"/>
        <v>4883</v>
      </c>
      <c r="H1113">
        <f t="shared" si="241"/>
        <v>4792</v>
      </c>
      <c r="I1113">
        <f t="shared" si="241"/>
        <v>4842</v>
      </c>
      <c r="J1113">
        <f t="shared" si="241"/>
        <v>4977</v>
      </c>
      <c r="K1113">
        <f t="shared" si="241"/>
        <v>4949</v>
      </c>
      <c r="L1113">
        <f t="shared" si="241"/>
        <v>4956</v>
      </c>
      <c r="M1113">
        <f t="shared" si="241"/>
        <v>5017</v>
      </c>
      <c r="N1113">
        <f t="shared" si="241"/>
        <v>4991</v>
      </c>
      <c r="O1113" s="173">
        <f t="shared" si="242"/>
        <v>4891.333333333333</v>
      </c>
      <c r="P1113" s="662">
        <f t="shared" si="243"/>
        <v>87.33333333333303</v>
      </c>
      <c r="Q1113" s="663">
        <f t="shared" si="244"/>
        <v>1.8364056914558006E-2</v>
      </c>
      <c r="R1113" s="663">
        <f>SUM(Q1109:Q1113)</f>
        <v>3.0424304332044006E-2</v>
      </c>
    </row>
    <row r="1114" spans="1:18" x14ac:dyDescent="0.2">
      <c r="B1114" t="s">
        <v>290</v>
      </c>
      <c r="C1114">
        <f t="shared" si="241"/>
        <v>5030</v>
      </c>
      <c r="D1114">
        <f t="shared" si="241"/>
        <v>5070</v>
      </c>
      <c r="E1114">
        <f t="shared" si="241"/>
        <v>5041</v>
      </c>
      <c r="F1114">
        <f t="shared" si="241"/>
        <v>5085</v>
      </c>
      <c r="G1114">
        <f t="shared" si="241"/>
        <v>5067</v>
      </c>
      <c r="H1114">
        <f t="shared" si="241"/>
        <v>5102</v>
      </c>
      <c r="I1114">
        <f t="shared" si="241"/>
        <v>5086</v>
      </c>
      <c r="J1114">
        <f t="shared" si="241"/>
        <v>5164</v>
      </c>
      <c r="K1114">
        <f t="shared" si="241"/>
        <v>5141</v>
      </c>
      <c r="L1114">
        <f t="shared" si="241"/>
        <v>5196</v>
      </c>
      <c r="M1114">
        <f t="shared" si="241"/>
        <v>5262</v>
      </c>
      <c r="N1114">
        <f t="shared" si="241"/>
        <v>5272</v>
      </c>
      <c r="O1114" s="173">
        <f t="shared" si="242"/>
        <v>5126.333333333333</v>
      </c>
      <c r="P1114" s="662">
        <f t="shared" si="243"/>
        <v>135.33333333333303</v>
      </c>
      <c r="Q1114" s="663">
        <f t="shared" si="244"/>
        <v>2.7667984189723261E-2</v>
      </c>
      <c r="R1114" s="663">
        <f>SUM(Q1109:Q1114)</f>
        <v>5.8092288521767267E-2</v>
      </c>
    </row>
    <row r="1115" spans="1:18" x14ac:dyDescent="0.2">
      <c r="B1115" t="s">
        <v>293</v>
      </c>
      <c r="C1115">
        <f t="shared" si="241"/>
        <v>5300</v>
      </c>
      <c r="D1115">
        <f t="shared" si="241"/>
        <v>5270</v>
      </c>
      <c r="E1115">
        <f t="shared" si="241"/>
        <v>5214</v>
      </c>
      <c r="F1115">
        <f t="shared" si="241"/>
        <v>5280</v>
      </c>
      <c r="G1115">
        <f t="shared" si="241"/>
        <v>5289</v>
      </c>
      <c r="H1115">
        <f t="shared" si="241"/>
        <v>5344</v>
      </c>
      <c r="I1115">
        <f t="shared" si="241"/>
        <v>5315</v>
      </c>
      <c r="J1115">
        <f t="shared" si="241"/>
        <v>5326</v>
      </c>
      <c r="K1115">
        <f t="shared" si="241"/>
        <v>5260</v>
      </c>
      <c r="L1115">
        <f t="shared" si="241"/>
        <v>5801</v>
      </c>
      <c r="M1115">
        <f t="shared" si="241"/>
        <v>5765</v>
      </c>
      <c r="N1115">
        <f t="shared" si="241"/>
        <v>5296</v>
      </c>
      <c r="O1115" s="173">
        <f t="shared" si="242"/>
        <v>5371.666666666667</v>
      </c>
      <c r="P1115" s="662">
        <f t="shared" si="243"/>
        <v>99.66666666666697</v>
      </c>
      <c r="Q1115" s="663">
        <f t="shared" si="244"/>
        <v>1.9442096365173349E-2</v>
      </c>
      <c r="R1115" s="663">
        <f t="shared" ref="R1115:R1120" si="245">SUM(Q1109:Q1115)</f>
        <v>7.7534384886940616E-2</v>
      </c>
    </row>
    <row r="1116" spans="1:18" x14ac:dyDescent="0.2">
      <c r="B1116" t="s">
        <v>294</v>
      </c>
      <c r="C1116">
        <f t="shared" si="241"/>
        <v>5324</v>
      </c>
      <c r="D1116">
        <f t="shared" si="241"/>
        <v>5413</v>
      </c>
      <c r="E1116">
        <f t="shared" si="241"/>
        <v>5738</v>
      </c>
      <c r="F1116">
        <f t="shared" si="241"/>
        <v>5475</v>
      </c>
      <c r="G1116">
        <f t="shared" si="241"/>
        <v>5231</v>
      </c>
      <c r="H1116">
        <f t="shared" si="241"/>
        <v>5265</v>
      </c>
      <c r="I1116">
        <f t="shared" si="241"/>
        <v>5442</v>
      </c>
      <c r="J1116">
        <f t="shared" si="241"/>
        <v>5402</v>
      </c>
      <c r="K1116">
        <f t="shared" si="241"/>
        <v>5364</v>
      </c>
      <c r="L1116">
        <f t="shared" si="241"/>
        <v>5409</v>
      </c>
      <c r="M1116">
        <f t="shared" si="241"/>
        <v>5790</v>
      </c>
      <c r="N1116">
        <f t="shared" si="241"/>
        <v>5890</v>
      </c>
      <c r="O1116" s="173">
        <f t="shared" si="242"/>
        <v>5478.583333333333</v>
      </c>
      <c r="P1116" s="662">
        <f t="shared" ref="P1116:P1121" si="246">SUM(O1116-O1115)</f>
        <v>106.91666666666606</v>
      </c>
      <c r="Q1116" s="663">
        <f t="shared" si="244"/>
        <v>1.9903816320198459E-2</v>
      </c>
      <c r="R1116" s="663">
        <f t="shared" si="245"/>
        <v>0.10181538052311213</v>
      </c>
    </row>
    <row r="1117" spans="1:18" x14ac:dyDescent="0.2">
      <c r="B1117" t="s">
        <v>295</v>
      </c>
      <c r="C1117">
        <f t="shared" si="241"/>
        <v>5636</v>
      </c>
      <c r="D1117">
        <f t="shared" si="241"/>
        <v>5620</v>
      </c>
      <c r="E1117">
        <f t="shared" si="241"/>
        <v>5623</v>
      </c>
      <c r="F1117">
        <f t="shared" si="241"/>
        <v>5600</v>
      </c>
      <c r="G1117">
        <f t="shared" si="241"/>
        <v>5642</v>
      </c>
      <c r="H1117">
        <f t="shared" si="241"/>
        <v>5678</v>
      </c>
      <c r="I1117">
        <f t="shared" si="241"/>
        <v>5668</v>
      </c>
      <c r="J1117">
        <f t="shared" si="241"/>
        <v>5682</v>
      </c>
      <c r="K1117">
        <f t="shared" si="241"/>
        <v>5707</v>
      </c>
      <c r="L1117">
        <f t="shared" si="241"/>
        <v>5751</v>
      </c>
      <c r="M1117">
        <f t="shared" si="241"/>
        <v>5791</v>
      </c>
      <c r="N1117">
        <f t="shared" si="241"/>
        <v>5813</v>
      </c>
      <c r="O1117" s="173">
        <f>SUM(C1117:N1117)/12</f>
        <v>5684.25</v>
      </c>
      <c r="P1117" s="662">
        <f t="shared" si="246"/>
        <v>205.66666666666697</v>
      </c>
      <c r="Q1117" s="663">
        <f t="shared" si="244"/>
        <v>3.7540118339595148E-2</v>
      </c>
      <c r="R1117" s="663">
        <f t="shared" si="245"/>
        <v>0.1074632498903057</v>
      </c>
    </row>
    <row r="1118" spans="1:18" x14ac:dyDescent="0.2">
      <c r="B1118" t="s">
        <v>335</v>
      </c>
      <c r="C1118">
        <f t="shared" si="241"/>
        <v>5792</v>
      </c>
      <c r="D1118">
        <f t="shared" si="241"/>
        <v>5837</v>
      </c>
      <c r="E1118">
        <f t="shared" si="241"/>
        <v>5783</v>
      </c>
      <c r="F1118">
        <f t="shared" si="241"/>
        <v>5776</v>
      </c>
      <c r="G1118">
        <f t="shared" si="241"/>
        <v>5691</v>
      </c>
      <c r="H1118">
        <f t="shared" si="241"/>
        <v>5868</v>
      </c>
      <c r="I1118">
        <f t="shared" si="241"/>
        <v>5812</v>
      </c>
      <c r="J1118">
        <f t="shared" si="241"/>
        <v>5855</v>
      </c>
      <c r="K1118">
        <f t="shared" si="241"/>
        <v>5867</v>
      </c>
      <c r="L1118">
        <f t="shared" si="241"/>
        <v>5881</v>
      </c>
      <c r="M1118">
        <f t="shared" si="241"/>
        <v>5824</v>
      </c>
      <c r="N1118">
        <f t="shared" si="241"/>
        <v>5846</v>
      </c>
      <c r="O1118" s="173">
        <f>SUM(C1118:N1118)/12</f>
        <v>5819.333333333333</v>
      </c>
      <c r="P1118" s="662">
        <f t="shared" si="246"/>
        <v>135.08333333333303</v>
      </c>
      <c r="Q1118" s="663">
        <f t="shared" si="244"/>
        <v>2.3764495462608618E-2</v>
      </c>
      <c r="R1118" s="663">
        <f t="shared" si="245"/>
        <v>0.15353403751180655</v>
      </c>
    </row>
    <row r="1119" spans="1:18" x14ac:dyDescent="0.2">
      <c r="B1119" t="s">
        <v>358</v>
      </c>
      <c r="C1119">
        <f t="shared" si="241"/>
        <v>5909</v>
      </c>
      <c r="D1119">
        <f t="shared" si="241"/>
        <v>5921</v>
      </c>
      <c r="E1119">
        <f t="shared" si="241"/>
        <v>5881</v>
      </c>
      <c r="F1119">
        <f t="shared" si="241"/>
        <v>5938</v>
      </c>
      <c r="G1119">
        <f t="shared" si="241"/>
        <v>5963</v>
      </c>
      <c r="H1119">
        <f t="shared" si="241"/>
        <v>5986</v>
      </c>
      <c r="I1119">
        <f t="shared" si="241"/>
        <v>5927</v>
      </c>
      <c r="J1119">
        <f t="shared" si="241"/>
        <v>5974</v>
      </c>
      <c r="K1119">
        <f t="shared" si="241"/>
        <v>6009</v>
      </c>
      <c r="L1119">
        <f t="shared" si="241"/>
        <v>6021</v>
      </c>
      <c r="M1119">
        <f t="shared" si="241"/>
        <v>5978</v>
      </c>
      <c r="N1119">
        <f t="shared" si="241"/>
        <v>5883</v>
      </c>
      <c r="O1119" s="173">
        <f>SUM(C1119:N1119)/12</f>
        <v>5949.166666666667</v>
      </c>
      <c r="P1119" s="662">
        <f t="shared" si="246"/>
        <v>129.83333333333394</v>
      </c>
      <c r="Q1119" s="663">
        <f t="shared" si="244"/>
        <v>2.2310688509565919E-2</v>
      </c>
      <c r="R1119" s="663">
        <f t="shared" si="245"/>
        <v>0.16899325610142274</v>
      </c>
    </row>
    <row r="1120" spans="1:18" x14ac:dyDescent="0.2">
      <c r="B1120" t="s">
        <v>454</v>
      </c>
      <c r="C1120">
        <f t="shared" si="241"/>
        <v>5999</v>
      </c>
      <c r="D1120">
        <f t="shared" si="241"/>
        <v>6010</v>
      </c>
      <c r="E1120">
        <f t="shared" si="241"/>
        <v>6006</v>
      </c>
      <c r="F1120">
        <f t="shared" si="241"/>
        <v>6022</v>
      </c>
      <c r="G1120">
        <f t="shared" si="241"/>
        <v>6027</v>
      </c>
      <c r="H1120">
        <f t="shared" si="241"/>
        <v>6072</v>
      </c>
      <c r="I1120">
        <f t="shared" si="241"/>
        <v>6094</v>
      </c>
      <c r="J1120">
        <f t="shared" si="241"/>
        <v>6090</v>
      </c>
      <c r="K1120">
        <f t="shared" si="241"/>
        <v>6044</v>
      </c>
      <c r="L1120">
        <f t="shared" si="241"/>
        <v>6053</v>
      </c>
      <c r="M1120">
        <f t="shared" si="241"/>
        <v>6097</v>
      </c>
      <c r="N1120">
        <f t="shared" si="241"/>
        <v>6122</v>
      </c>
      <c r="O1120" s="173">
        <f>SUM(C1120:N1120)/12</f>
        <v>6053</v>
      </c>
      <c r="P1120" s="662">
        <f t="shared" si="246"/>
        <v>103.83333333333303</v>
      </c>
      <c r="Q1120" s="663">
        <f t="shared" si="244"/>
        <v>1.7453424849418635E-2</v>
      </c>
      <c r="R1120" s="663">
        <f t="shared" si="245"/>
        <v>0.16808262403628338</v>
      </c>
    </row>
    <row r="1121" spans="1:18" x14ac:dyDescent="0.2">
      <c r="B1121" t="s">
        <v>471</v>
      </c>
      <c r="C1121">
        <f t="shared" ref="C1121:O1122" si="247">SUM(C886,C903,C920,C938,C955,C972,C990,C1007,C1024,C1042,C1059,C1076,C1094,C1101)</f>
        <v>6219</v>
      </c>
      <c r="D1121">
        <f t="shared" si="247"/>
        <v>6195</v>
      </c>
      <c r="E1121">
        <f t="shared" si="247"/>
        <v>6211</v>
      </c>
      <c r="F1121">
        <f t="shared" si="247"/>
        <v>6268</v>
      </c>
      <c r="G1121">
        <f t="shared" si="247"/>
        <v>6289</v>
      </c>
      <c r="H1121">
        <f t="shared" si="247"/>
        <v>6246</v>
      </c>
      <c r="I1121">
        <f t="shared" si="247"/>
        <v>6283</v>
      </c>
      <c r="J1121">
        <f t="shared" si="247"/>
        <v>6294</v>
      </c>
      <c r="K1121">
        <f t="shared" si="247"/>
        <v>6169</v>
      </c>
      <c r="L1121">
        <f t="shared" si="247"/>
        <v>6109</v>
      </c>
      <c r="M1121">
        <f t="shared" si="247"/>
        <v>6183</v>
      </c>
      <c r="N1121">
        <f t="shared" si="247"/>
        <v>6197</v>
      </c>
      <c r="O1121" s="173">
        <f t="shared" si="247"/>
        <v>6221.9166666666652</v>
      </c>
      <c r="P1121" s="662">
        <f t="shared" si="246"/>
        <v>168.91666666666515</v>
      </c>
      <c r="Q1121" s="663">
        <f t="shared" si="244"/>
        <v>2.7906272371826392E-2</v>
      </c>
      <c r="R1121" s="663">
        <f>SUM(Q1115:Q1121)</f>
        <v>0.16832091221838652</v>
      </c>
    </row>
    <row r="1122" spans="1:18" s="522" customFormat="1" x14ac:dyDescent="0.2">
      <c r="B1122" s="666" t="s">
        <v>537</v>
      </c>
      <c r="C1122" s="666">
        <f t="shared" si="247"/>
        <v>6254</v>
      </c>
      <c r="D1122" s="666">
        <f t="shared" si="247"/>
        <v>6195</v>
      </c>
      <c r="E1122" s="666">
        <f t="shared" si="247"/>
        <v>6259</v>
      </c>
      <c r="F1122" s="666">
        <f t="shared" si="247"/>
        <v>6210</v>
      </c>
      <c r="G1122" s="666">
        <f t="shared" si="247"/>
        <v>6164</v>
      </c>
      <c r="H1122" s="666">
        <f t="shared" si="247"/>
        <v>6214</v>
      </c>
      <c r="I1122" s="666">
        <f t="shared" si="247"/>
        <v>6176</v>
      </c>
      <c r="J1122" s="666">
        <f t="shared" si="247"/>
        <v>6172</v>
      </c>
      <c r="K1122" s="666">
        <f t="shared" si="247"/>
        <v>6086</v>
      </c>
      <c r="L1122" s="666">
        <f t="shared" si="247"/>
        <v>6077</v>
      </c>
      <c r="M1122" s="666">
        <f t="shared" si="247"/>
        <v>6086</v>
      </c>
      <c r="N1122" s="666">
        <f t="shared" si="247"/>
        <v>6159</v>
      </c>
      <c r="O1122" s="667">
        <f t="shared" si="247"/>
        <v>6171.0000000000009</v>
      </c>
      <c r="P1122" s="664">
        <f>SUM(O1122-O1121)</f>
        <v>-50.916666666664241</v>
      </c>
      <c r="Q1122" s="665">
        <f t="shared" si="244"/>
        <v>-8.1834375795236062E-3</v>
      </c>
      <c r="R1122" s="665">
        <f>SUM(Q1116:Q1122)</f>
        <v>0.14069537827368955</v>
      </c>
    </row>
    <row r="1123" spans="1:18" s="522" customFormat="1" x14ac:dyDescent="0.2">
      <c r="P1123" s="658"/>
      <c r="Q1123" s="659"/>
      <c r="R1123" s="659"/>
    </row>
    <row r="1124" spans="1:18" x14ac:dyDescent="0.2">
      <c r="A1124" s="534" t="s">
        <v>558</v>
      </c>
      <c r="P1124" s="173"/>
      <c r="Q1124" s="177"/>
      <c r="R1124" s="177"/>
    </row>
    <row r="1126" spans="1:18" x14ac:dyDescent="0.2">
      <c r="A1126" s="599"/>
      <c r="B1126" s="599"/>
      <c r="C1126" s="599"/>
      <c r="D1126" s="599"/>
      <c r="E1126" s="599"/>
      <c r="F1126" s="599"/>
      <c r="G1126" s="599"/>
      <c r="H1126" s="599"/>
      <c r="I1126" s="599"/>
      <c r="J1126" s="599"/>
      <c r="K1126" s="599"/>
      <c r="L1126" s="599"/>
      <c r="M1126" s="599"/>
      <c r="N1126" s="599"/>
      <c r="O1126" s="599"/>
      <c r="P1126" s="599"/>
      <c r="Q1126" s="599"/>
      <c r="R1126" s="599"/>
    </row>
    <row r="1127" spans="1:18" ht="38.25" x14ac:dyDescent="0.2">
      <c r="A1127" s="175" t="s">
        <v>417</v>
      </c>
      <c r="B1127" s="600" t="s">
        <v>418</v>
      </c>
      <c r="C1127" s="601" t="s">
        <v>419</v>
      </c>
      <c r="D1127" s="601" t="s">
        <v>420</v>
      </c>
      <c r="E1127" s="601" t="s">
        <v>421</v>
      </c>
      <c r="F1127" s="601" t="s">
        <v>422</v>
      </c>
      <c r="G1127" s="601" t="s">
        <v>423</v>
      </c>
      <c r="H1127" s="601" t="s">
        <v>424</v>
      </c>
      <c r="I1127" s="601" t="s">
        <v>425</v>
      </c>
      <c r="J1127" s="601" t="s">
        <v>426</v>
      </c>
      <c r="K1127" s="601" t="s">
        <v>427</v>
      </c>
      <c r="L1127" s="601" t="s">
        <v>428</v>
      </c>
      <c r="M1127" s="601" t="s">
        <v>429</v>
      </c>
      <c r="N1127" s="601" t="s">
        <v>430</v>
      </c>
      <c r="O1127" s="174" t="s">
        <v>431</v>
      </c>
      <c r="P1127" s="602" t="s">
        <v>432</v>
      </c>
      <c r="Q1127" s="602" t="s">
        <v>433</v>
      </c>
    </row>
    <row r="1128" spans="1:18" x14ac:dyDescent="0.2">
      <c r="B1128" t="s">
        <v>434</v>
      </c>
      <c r="C1128">
        <v>1998</v>
      </c>
      <c r="D1128">
        <v>2016</v>
      </c>
      <c r="E1128">
        <v>1984</v>
      </c>
      <c r="F1128">
        <v>2010</v>
      </c>
      <c r="G1128">
        <v>2067</v>
      </c>
      <c r="H1128">
        <v>2078</v>
      </c>
      <c r="I1128">
        <v>2078</v>
      </c>
      <c r="J1128">
        <v>2085</v>
      </c>
      <c r="K1128">
        <v>2134</v>
      </c>
      <c r="L1128">
        <v>2136</v>
      </c>
      <c r="M1128">
        <v>2135</v>
      </c>
      <c r="N1128">
        <v>2143</v>
      </c>
      <c r="O1128">
        <f>SUM(C1128:N1128)/12</f>
        <v>2072</v>
      </c>
    </row>
    <row r="1129" spans="1:18" x14ac:dyDescent="0.2">
      <c r="B1129" t="s">
        <v>435</v>
      </c>
      <c r="C1129">
        <v>2155</v>
      </c>
      <c r="D1129">
        <v>2157</v>
      </c>
      <c r="E1129">
        <v>2172</v>
      </c>
      <c r="F1129">
        <v>2180</v>
      </c>
      <c r="G1129">
        <v>2183</v>
      </c>
      <c r="H1129">
        <v>2205</v>
      </c>
      <c r="I1129">
        <v>2192</v>
      </c>
      <c r="J1129">
        <v>2191</v>
      </c>
      <c r="K1129">
        <v>2183</v>
      </c>
      <c r="L1129">
        <v>2183</v>
      </c>
      <c r="M1129">
        <v>2191</v>
      </c>
      <c r="N1129">
        <v>2189</v>
      </c>
      <c r="O1129" s="173">
        <f t="shared" ref="O1129:O1136" si="248">SUM(C1129:N1129)/12</f>
        <v>2181.75</v>
      </c>
      <c r="P1129" s="173">
        <f t="shared" ref="P1129:P1137" si="249">SUM(O1129-O1128)</f>
        <v>109.75</v>
      </c>
      <c r="Q1129" s="177">
        <f>SUM(P1129/O1128)</f>
        <v>5.2968146718146716E-2</v>
      </c>
    </row>
    <row r="1130" spans="1:18" x14ac:dyDescent="0.2">
      <c r="B1130" t="s">
        <v>436</v>
      </c>
      <c r="C1130">
        <v>2201</v>
      </c>
      <c r="D1130">
        <v>2233</v>
      </c>
      <c r="E1130">
        <v>2235</v>
      </c>
      <c r="F1130">
        <v>2252</v>
      </c>
      <c r="G1130">
        <v>2259</v>
      </c>
      <c r="H1130">
        <v>2271</v>
      </c>
      <c r="I1130">
        <v>2271</v>
      </c>
      <c r="J1130">
        <v>2307</v>
      </c>
      <c r="K1130">
        <v>2319</v>
      </c>
      <c r="L1130">
        <v>2331</v>
      </c>
      <c r="M1130">
        <v>2343</v>
      </c>
      <c r="N1130">
        <v>2355</v>
      </c>
      <c r="O1130" s="173">
        <f t="shared" si="248"/>
        <v>2281.4166666666665</v>
      </c>
      <c r="P1130" s="173">
        <f t="shared" si="249"/>
        <v>99.666666666666515</v>
      </c>
      <c r="Q1130" s="177">
        <f t="shared" ref="Q1130:Q1135" si="250">SUM(P1130/O1129)</f>
        <v>4.5681983117527906E-2</v>
      </c>
    </row>
    <row r="1131" spans="1:18" x14ac:dyDescent="0.2">
      <c r="B1131" t="s">
        <v>260</v>
      </c>
      <c r="C1131">
        <v>2324</v>
      </c>
      <c r="D1131">
        <v>2433</v>
      </c>
      <c r="E1131">
        <v>2266</v>
      </c>
      <c r="F1131">
        <v>2266</v>
      </c>
      <c r="G1131">
        <v>2306</v>
      </c>
      <c r="H1131">
        <v>2306</v>
      </c>
      <c r="I1131">
        <v>2306</v>
      </c>
      <c r="J1131">
        <v>2334</v>
      </c>
      <c r="K1131">
        <v>2230</v>
      </c>
      <c r="L1131">
        <v>2230</v>
      </c>
      <c r="M1131">
        <v>2230</v>
      </c>
      <c r="N1131">
        <v>2230</v>
      </c>
      <c r="O1131" s="173">
        <f t="shared" si="248"/>
        <v>2288.4166666666665</v>
      </c>
      <c r="P1131" s="173">
        <f t="shared" si="249"/>
        <v>7</v>
      </c>
      <c r="Q1131" s="177">
        <f t="shared" si="250"/>
        <v>3.0682689849143444E-3</v>
      </c>
    </row>
    <row r="1132" spans="1:18" x14ac:dyDescent="0.2">
      <c r="B1132" t="s">
        <v>259</v>
      </c>
      <c r="C1132">
        <v>2408</v>
      </c>
      <c r="D1132">
        <v>2335</v>
      </c>
      <c r="E1132">
        <v>2353</v>
      </c>
      <c r="F1132">
        <v>2353</v>
      </c>
      <c r="G1132">
        <v>2311</v>
      </c>
      <c r="H1132">
        <v>2367</v>
      </c>
      <c r="I1132">
        <v>2367</v>
      </c>
      <c r="J1132">
        <v>2352</v>
      </c>
      <c r="K1132">
        <v>2336</v>
      </c>
      <c r="L1132">
        <v>2336</v>
      </c>
      <c r="M1132">
        <v>2292</v>
      </c>
      <c r="N1132">
        <v>2318</v>
      </c>
      <c r="O1132" s="173">
        <f t="shared" si="248"/>
        <v>2344</v>
      </c>
      <c r="P1132" s="173">
        <f t="shared" si="249"/>
        <v>55.583333333333485</v>
      </c>
      <c r="Q1132" s="177">
        <f t="shared" si="250"/>
        <v>2.4288991660900983E-2</v>
      </c>
    </row>
    <row r="1133" spans="1:18" x14ac:dyDescent="0.2">
      <c r="B1133" t="s">
        <v>280</v>
      </c>
      <c r="C1133">
        <v>2312</v>
      </c>
      <c r="D1133">
        <v>2305</v>
      </c>
      <c r="E1133">
        <v>2318</v>
      </c>
      <c r="F1133">
        <v>2318</v>
      </c>
      <c r="G1133">
        <v>2350</v>
      </c>
      <c r="H1133">
        <v>2314</v>
      </c>
      <c r="I1133">
        <v>2314</v>
      </c>
      <c r="J1133">
        <v>2426</v>
      </c>
      <c r="K1133">
        <v>2400</v>
      </c>
      <c r="L1133">
        <v>2454</v>
      </c>
      <c r="M1133">
        <v>2536</v>
      </c>
      <c r="N1133">
        <v>2334</v>
      </c>
      <c r="O1133" s="173">
        <f t="shared" si="248"/>
        <v>2365.0833333333335</v>
      </c>
      <c r="P1133" s="173">
        <f t="shared" si="249"/>
        <v>21.083333333333485</v>
      </c>
      <c r="Q1133" s="177">
        <f t="shared" si="250"/>
        <v>8.9945961319682095E-3</v>
      </c>
    </row>
    <row r="1134" spans="1:18" x14ac:dyDescent="0.2">
      <c r="B1134" t="s">
        <v>290</v>
      </c>
      <c r="C1134">
        <v>2357</v>
      </c>
      <c r="D1134">
        <v>2384</v>
      </c>
      <c r="E1134">
        <v>2387</v>
      </c>
      <c r="F1134">
        <v>2410</v>
      </c>
      <c r="G1134">
        <v>2414</v>
      </c>
      <c r="H1134">
        <v>2444</v>
      </c>
      <c r="I1134">
        <v>2444</v>
      </c>
      <c r="J1134">
        <v>2433</v>
      </c>
      <c r="K1134">
        <v>2417</v>
      </c>
      <c r="L1134">
        <v>2424</v>
      </c>
      <c r="M1134">
        <v>2443</v>
      </c>
      <c r="N1134">
        <v>2445</v>
      </c>
      <c r="O1134" s="173">
        <f t="shared" si="248"/>
        <v>2416.8333333333335</v>
      </c>
      <c r="P1134" s="173">
        <f t="shared" si="249"/>
        <v>51.75</v>
      </c>
      <c r="Q1134" s="177">
        <f t="shared" si="250"/>
        <v>2.1880835770409779E-2</v>
      </c>
    </row>
    <row r="1135" spans="1:18" x14ac:dyDescent="0.2">
      <c r="B1135" t="s">
        <v>293</v>
      </c>
      <c r="C1135">
        <v>2453</v>
      </c>
      <c r="D1135">
        <v>2437</v>
      </c>
      <c r="E1135">
        <v>2420</v>
      </c>
      <c r="F1135">
        <v>2487</v>
      </c>
      <c r="G1135">
        <v>2437</v>
      </c>
      <c r="H1135">
        <v>2479</v>
      </c>
      <c r="I1135">
        <v>2466</v>
      </c>
      <c r="J1135">
        <v>2488</v>
      </c>
      <c r="K1135">
        <v>2477</v>
      </c>
      <c r="L1135">
        <v>2562</v>
      </c>
      <c r="M1135">
        <v>2557</v>
      </c>
      <c r="N1135">
        <v>2455</v>
      </c>
      <c r="O1135" s="173">
        <f t="shared" si="248"/>
        <v>2476.5</v>
      </c>
      <c r="P1135" s="173">
        <f t="shared" si="249"/>
        <v>59.666666666666515</v>
      </c>
      <c r="Q1135" s="177">
        <f t="shared" si="250"/>
        <v>2.4687952554996142E-2</v>
      </c>
    </row>
    <row r="1136" spans="1:18" x14ac:dyDescent="0.2">
      <c r="B1136" t="s">
        <v>294</v>
      </c>
      <c r="C1136">
        <v>2495</v>
      </c>
      <c r="D1136">
        <v>2542</v>
      </c>
      <c r="E1136">
        <v>2644</v>
      </c>
      <c r="F1136">
        <v>2580</v>
      </c>
      <c r="G1136">
        <v>2273</v>
      </c>
      <c r="H1136">
        <v>2302</v>
      </c>
      <c r="I1136">
        <v>2395</v>
      </c>
      <c r="J1136">
        <v>2404</v>
      </c>
      <c r="K1136">
        <v>2394</v>
      </c>
      <c r="L1136">
        <v>2426</v>
      </c>
      <c r="M1136">
        <v>2689</v>
      </c>
      <c r="N1136">
        <v>2739</v>
      </c>
      <c r="O1136" s="173">
        <f t="shared" si="248"/>
        <v>2490.25</v>
      </c>
      <c r="P1136" s="173">
        <f t="shared" si="249"/>
        <v>13.75</v>
      </c>
      <c r="Q1136" s="177">
        <f t="shared" ref="Q1136:Q1141" si="251">SUM(P1136/O1135)</f>
        <v>5.5521905915606705E-3</v>
      </c>
    </row>
    <row r="1137" spans="1:17" x14ac:dyDescent="0.2">
      <c r="B1137" t="s">
        <v>295</v>
      </c>
      <c r="C1137">
        <v>2704</v>
      </c>
      <c r="D1137">
        <v>2698</v>
      </c>
      <c r="E1137">
        <v>2694</v>
      </c>
      <c r="F1137">
        <v>2677</v>
      </c>
      <c r="G1137">
        <v>2732</v>
      </c>
      <c r="H1137">
        <v>2755</v>
      </c>
      <c r="I1137">
        <v>2778</v>
      </c>
      <c r="J1137">
        <v>2778</v>
      </c>
      <c r="K1137">
        <v>2775</v>
      </c>
      <c r="L1137">
        <v>2782</v>
      </c>
      <c r="M1137">
        <v>2819</v>
      </c>
      <c r="N1137">
        <v>2864</v>
      </c>
      <c r="O1137" s="173">
        <f>SUM(C1137:N1137)/12</f>
        <v>2754.6666666666665</v>
      </c>
      <c r="P1137" s="173">
        <f t="shared" si="249"/>
        <v>264.41666666666652</v>
      </c>
      <c r="Q1137" s="177">
        <f t="shared" si="251"/>
        <v>0.10618077167620379</v>
      </c>
    </row>
    <row r="1138" spans="1:17" x14ac:dyDescent="0.2">
      <c r="B1138" t="s">
        <v>335</v>
      </c>
      <c r="C1138">
        <v>2871</v>
      </c>
      <c r="D1138">
        <v>2904</v>
      </c>
      <c r="E1138">
        <v>2884</v>
      </c>
      <c r="F1138">
        <v>2895</v>
      </c>
      <c r="G1138">
        <v>2826</v>
      </c>
      <c r="H1138">
        <v>2865</v>
      </c>
      <c r="I1138">
        <v>2853</v>
      </c>
      <c r="J1138">
        <v>2903</v>
      </c>
      <c r="K1138">
        <v>2885</v>
      </c>
      <c r="L1138">
        <v>2910</v>
      </c>
      <c r="M1138">
        <v>2930</v>
      </c>
      <c r="N1138">
        <v>2884</v>
      </c>
      <c r="O1138" s="173">
        <f>SUM(C1138:N1138)/12</f>
        <v>2884.1666666666665</v>
      </c>
      <c r="P1138" s="173">
        <f>SUM(O1138-O1137)</f>
        <v>129.5</v>
      </c>
      <c r="Q1138" s="177">
        <f t="shared" si="251"/>
        <v>4.7011132623426911E-2</v>
      </c>
    </row>
    <row r="1139" spans="1:17" x14ac:dyDescent="0.2">
      <c r="B1139" t="s">
        <v>358</v>
      </c>
      <c r="C1139">
        <v>2896</v>
      </c>
      <c r="D1139">
        <v>2980</v>
      </c>
      <c r="E1139">
        <v>2969</v>
      </c>
      <c r="F1139">
        <v>2961</v>
      </c>
      <c r="G1139">
        <v>3022</v>
      </c>
      <c r="H1139">
        <v>3037</v>
      </c>
      <c r="I1139">
        <v>3049</v>
      </c>
      <c r="J1139">
        <v>3076</v>
      </c>
      <c r="K1139">
        <v>3088</v>
      </c>
      <c r="L1139">
        <v>3074</v>
      </c>
      <c r="M1139">
        <v>3058</v>
      </c>
      <c r="N1139">
        <v>2954</v>
      </c>
      <c r="O1139" s="173">
        <f>SUM(C1139:N1139)/12</f>
        <v>3013.6666666666665</v>
      </c>
      <c r="P1139" s="173">
        <f>SUM(O1139-O1138)</f>
        <v>129.5</v>
      </c>
      <c r="Q1139" s="177">
        <f t="shared" si="251"/>
        <v>4.4900317827217567E-2</v>
      </c>
    </row>
    <row r="1140" spans="1:17" x14ac:dyDescent="0.2">
      <c r="B1140" t="s">
        <v>437</v>
      </c>
      <c r="C1140">
        <v>3027</v>
      </c>
      <c r="D1140">
        <v>3039</v>
      </c>
      <c r="E1140">
        <v>3034</v>
      </c>
      <c r="F1140">
        <v>3040</v>
      </c>
      <c r="G1140">
        <v>3022</v>
      </c>
      <c r="H1140">
        <v>3057</v>
      </c>
      <c r="I1140">
        <v>3074</v>
      </c>
      <c r="J1140">
        <v>3088</v>
      </c>
      <c r="K1140">
        <v>3056</v>
      </c>
      <c r="L1140">
        <v>3094</v>
      </c>
      <c r="M1140">
        <v>3138</v>
      </c>
      <c r="N1140">
        <v>3130</v>
      </c>
      <c r="O1140" s="173">
        <f>SUM(C1140:N1140)/12</f>
        <v>3066.5833333333335</v>
      </c>
      <c r="P1140" s="173">
        <f>SUM(O1140-O1139)</f>
        <v>52.91666666666697</v>
      </c>
      <c r="Q1140" s="177">
        <f t="shared" si="251"/>
        <v>1.7558898351952318E-2</v>
      </c>
    </row>
    <row r="1141" spans="1:17" x14ac:dyDescent="0.2">
      <c r="B1141" t="s">
        <v>471</v>
      </c>
      <c r="C1141">
        <v>3123</v>
      </c>
      <c r="D1141">
        <v>3065</v>
      </c>
      <c r="E1141">
        <v>3115</v>
      </c>
      <c r="F1141">
        <v>3134</v>
      </c>
      <c r="G1141">
        <v>3160</v>
      </c>
      <c r="H1141">
        <v>3165</v>
      </c>
      <c r="I1141">
        <v>3166</v>
      </c>
      <c r="J1141">
        <v>3187</v>
      </c>
      <c r="K1141">
        <v>3069</v>
      </c>
      <c r="L1141">
        <v>3020</v>
      </c>
      <c r="M1141">
        <v>3040</v>
      </c>
      <c r="N1141">
        <v>3070</v>
      </c>
      <c r="O1141" s="173">
        <f>SUM(C1141:N1141)/12</f>
        <v>3109.5</v>
      </c>
      <c r="P1141" s="173">
        <f>SUM(O1141-O1140)</f>
        <v>42.916666666666515</v>
      </c>
      <c r="Q1141" s="177">
        <f t="shared" si="251"/>
        <v>1.3994945514823722E-2</v>
      </c>
    </row>
    <row r="1142" spans="1:17" x14ac:dyDescent="0.2">
      <c r="B1142" t="s">
        <v>537</v>
      </c>
      <c r="C1142">
        <v>3068</v>
      </c>
      <c r="D1142">
        <v>3065</v>
      </c>
      <c r="O1142" s="173"/>
      <c r="P1142" s="173"/>
      <c r="Q1142" s="177"/>
    </row>
    <row r="1143" spans="1:17" ht="25.5" x14ac:dyDescent="0.2">
      <c r="A1143" s="175" t="s">
        <v>438</v>
      </c>
      <c r="B1143" s="600" t="s">
        <v>418</v>
      </c>
      <c r="C1143" s="601" t="s">
        <v>419</v>
      </c>
      <c r="D1143" s="601" t="s">
        <v>420</v>
      </c>
      <c r="E1143" s="601" t="s">
        <v>421</v>
      </c>
      <c r="F1143" s="601" t="s">
        <v>422</v>
      </c>
      <c r="G1143" s="601" t="s">
        <v>423</v>
      </c>
      <c r="H1143" s="601" t="s">
        <v>424</v>
      </c>
      <c r="I1143" s="601" t="s">
        <v>425</v>
      </c>
      <c r="J1143" s="601" t="s">
        <v>426</v>
      </c>
      <c r="K1143" s="601" t="s">
        <v>427</v>
      </c>
      <c r="L1143" s="601" t="s">
        <v>428</v>
      </c>
      <c r="M1143" s="601" t="s">
        <v>429</v>
      </c>
      <c r="N1143" s="601" t="s">
        <v>430</v>
      </c>
    </row>
    <row r="1144" spans="1:17" x14ac:dyDescent="0.2">
      <c r="B1144" t="s">
        <v>434</v>
      </c>
      <c r="C1144">
        <v>83</v>
      </c>
      <c r="D1144">
        <v>80</v>
      </c>
      <c r="E1144">
        <v>74</v>
      </c>
      <c r="F1144">
        <v>78</v>
      </c>
      <c r="G1144">
        <v>79</v>
      </c>
      <c r="H1144">
        <v>81</v>
      </c>
      <c r="I1144">
        <v>82</v>
      </c>
      <c r="J1144">
        <v>83</v>
      </c>
      <c r="K1144">
        <v>82</v>
      </c>
      <c r="L1144">
        <v>83</v>
      </c>
      <c r="M1144">
        <v>85</v>
      </c>
      <c r="N1144">
        <v>87</v>
      </c>
      <c r="O1144" s="173">
        <f t="shared" ref="O1144:O1152" si="252">SUM(C1144:N1144)/12</f>
        <v>81.416666666666671</v>
      </c>
      <c r="P1144" s="173"/>
    </row>
    <row r="1145" spans="1:17" x14ac:dyDescent="0.2">
      <c r="B1145" t="s">
        <v>435</v>
      </c>
      <c r="C1145">
        <v>92</v>
      </c>
      <c r="D1145">
        <v>93</v>
      </c>
      <c r="E1145">
        <v>94</v>
      </c>
      <c r="F1145">
        <v>97</v>
      </c>
      <c r="G1145">
        <v>98</v>
      </c>
      <c r="H1145">
        <v>95</v>
      </c>
      <c r="I1145">
        <v>89</v>
      </c>
      <c r="J1145">
        <v>93</v>
      </c>
      <c r="K1145">
        <v>90</v>
      </c>
      <c r="L1145">
        <v>97</v>
      </c>
      <c r="M1145">
        <v>99</v>
      </c>
      <c r="N1145">
        <v>92</v>
      </c>
      <c r="O1145" s="173">
        <f t="shared" si="252"/>
        <v>94.083333333333329</v>
      </c>
      <c r="P1145" s="173">
        <f t="shared" ref="P1145:P1152" si="253">SUM(O1145-O1144)</f>
        <v>12.666666666666657</v>
      </c>
      <c r="Q1145" s="177">
        <f t="shared" ref="Q1145:Q1151" si="254">SUM(P1145/O1144)</f>
        <v>0.15557830092118718</v>
      </c>
    </row>
    <row r="1146" spans="1:17" x14ac:dyDescent="0.2">
      <c r="B1146" t="s">
        <v>436</v>
      </c>
      <c r="C1146">
        <v>90</v>
      </c>
      <c r="D1146">
        <v>91</v>
      </c>
      <c r="E1146">
        <v>92</v>
      </c>
      <c r="F1146">
        <v>100</v>
      </c>
      <c r="G1146">
        <v>99</v>
      </c>
      <c r="H1146">
        <v>111</v>
      </c>
      <c r="I1146">
        <v>102</v>
      </c>
      <c r="J1146">
        <v>94</v>
      </c>
      <c r="K1146">
        <v>96</v>
      </c>
      <c r="L1146">
        <v>98</v>
      </c>
      <c r="M1146">
        <v>93</v>
      </c>
      <c r="N1146">
        <v>89</v>
      </c>
      <c r="O1146" s="173">
        <f t="shared" si="252"/>
        <v>96.25</v>
      </c>
      <c r="P1146" s="173">
        <f t="shared" si="253"/>
        <v>2.1666666666666714</v>
      </c>
      <c r="Q1146" s="177">
        <f t="shared" si="254"/>
        <v>2.3029229406554524E-2</v>
      </c>
    </row>
    <row r="1147" spans="1:17" x14ac:dyDescent="0.2">
      <c r="B1147" t="s">
        <v>260</v>
      </c>
      <c r="C1147">
        <v>72</v>
      </c>
      <c r="D1147">
        <v>74</v>
      </c>
      <c r="E1147">
        <v>73</v>
      </c>
      <c r="F1147">
        <v>73</v>
      </c>
      <c r="G1147">
        <v>73</v>
      </c>
      <c r="H1147">
        <v>73</v>
      </c>
      <c r="I1147">
        <v>73</v>
      </c>
      <c r="J1147">
        <v>65</v>
      </c>
      <c r="K1147">
        <v>65</v>
      </c>
      <c r="L1147">
        <v>65</v>
      </c>
      <c r="M1147">
        <v>65</v>
      </c>
      <c r="N1147">
        <v>60</v>
      </c>
      <c r="O1147" s="173">
        <f t="shared" si="252"/>
        <v>69.25</v>
      </c>
      <c r="P1147" s="173">
        <f t="shared" si="253"/>
        <v>-27</v>
      </c>
      <c r="Q1147" s="177">
        <f t="shared" si="254"/>
        <v>-0.2805194805194805</v>
      </c>
    </row>
    <row r="1148" spans="1:17" x14ac:dyDescent="0.2">
      <c r="B1148" t="s">
        <v>259</v>
      </c>
      <c r="C1148">
        <v>59</v>
      </c>
      <c r="D1148">
        <v>58</v>
      </c>
      <c r="E1148">
        <v>59</v>
      </c>
      <c r="F1148">
        <v>60</v>
      </c>
      <c r="G1148">
        <v>56</v>
      </c>
      <c r="H1148">
        <v>54</v>
      </c>
      <c r="I1148">
        <v>54</v>
      </c>
      <c r="J1148">
        <v>51</v>
      </c>
      <c r="K1148">
        <v>53</v>
      </c>
      <c r="L1148">
        <v>59</v>
      </c>
      <c r="M1148">
        <v>64</v>
      </c>
      <c r="N1148">
        <v>62</v>
      </c>
      <c r="O1148" s="173">
        <f t="shared" si="252"/>
        <v>57.416666666666664</v>
      </c>
      <c r="P1148" s="173">
        <f t="shared" si="253"/>
        <v>-11.833333333333336</v>
      </c>
      <c r="Q1148" s="177">
        <f t="shared" si="254"/>
        <v>-0.17087845968712398</v>
      </c>
    </row>
    <row r="1149" spans="1:17" x14ac:dyDescent="0.2">
      <c r="B1149" t="s">
        <v>280</v>
      </c>
      <c r="C1149">
        <v>66</v>
      </c>
      <c r="D1149">
        <v>68</v>
      </c>
      <c r="E1149">
        <v>66</v>
      </c>
      <c r="F1149">
        <v>65</v>
      </c>
      <c r="G1149">
        <v>63</v>
      </c>
      <c r="H1149">
        <v>68</v>
      </c>
      <c r="I1149">
        <v>63</v>
      </c>
      <c r="J1149">
        <v>57</v>
      </c>
      <c r="K1149">
        <v>45</v>
      </c>
      <c r="L1149">
        <v>45</v>
      </c>
      <c r="M1149">
        <v>47</v>
      </c>
      <c r="N1149">
        <v>49</v>
      </c>
      <c r="O1149" s="173">
        <f t="shared" si="252"/>
        <v>58.5</v>
      </c>
      <c r="P1149" s="173">
        <f t="shared" si="253"/>
        <v>1.0833333333333357</v>
      </c>
      <c r="Q1149" s="177">
        <f t="shared" si="254"/>
        <v>1.8867924528301928E-2</v>
      </c>
    </row>
    <row r="1150" spans="1:17" x14ac:dyDescent="0.2">
      <c r="B1150" t="s">
        <v>290</v>
      </c>
      <c r="C1150">
        <v>47</v>
      </c>
      <c r="D1150">
        <v>45</v>
      </c>
      <c r="E1150">
        <v>45</v>
      </c>
      <c r="F1150">
        <v>47</v>
      </c>
      <c r="G1150">
        <v>47</v>
      </c>
      <c r="H1150">
        <v>42</v>
      </c>
      <c r="I1150">
        <v>40</v>
      </c>
      <c r="J1150">
        <v>42</v>
      </c>
      <c r="K1150">
        <v>47</v>
      </c>
      <c r="L1150">
        <v>46</v>
      </c>
      <c r="M1150">
        <v>41</v>
      </c>
      <c r="N1150">
        <v>39</v>
      </c>
      <c r="O1150" s="173">
        <f t="shared" si="252"/>
        <v>44</v>
      </c>
      <c r="P1150" s="173">
        <f t="shared" si="253"/>
        <v>-14.5</v>
      </c>
      <c r="Q1150" s="177">
        <f t="shared" si="254"/>
        <v>-0.24786324786324787</v>
      </c>
    </row>
    <row r="1151" spans="1:17" x14ac:dyDescent="0.2">
      <c r="B1151" t="s">
        <v>293</v>
      </c>
      <c r="C1151">
        <v>40</v>
      </c>
      <c r="D1151">
        <v>40</v>
      </c>
      <c r="E1151">
        <v>40</v>
      </c>
      <c r="F1151">
        <v>43</v>
      </c>
      <c r="G1151">
        <v>37</v>
      </c>
      <c r="H1151">
        <v>38</v>
      </c>
      <c r="I1151">
        <v>37</v>
      </c>
      <c r="J1151">
        <v>39</v>
      </c>
      <c r="K1151">
        <v>41</v>
      </c>
      <c r="L1151">
        <v>51</v>
      </c>
      <c r="M1151">
        <v>50</v>
      </c>
      <c r="N1151">
        <v>37</v>
      </c>
      <c r="O1151" s="173">
        <f t="shared" si="252"/>
        <v>41.083333333333336</v>
      </c>
      <c r="P1151" s="173">
        <f t="shared" si="253"/>
        <v>-2.9166666666666643</v>
      </c>
      <c r="Q1151" s="177">
        <f t="shared" si="254"/>
        <v>-6.6287878787878729E-2</v>
      </c>
    </row>
    <row r="1152" spans="1:17" x14ac:dyDescent="0.2">
      <c r="B1152" t="s">
        <v>294</v>
      </c>
      <c r="C1152">
        <v>39</v>
      </c>
      <c r="D1152">
        <v>39</v>
      </c>
      <c r="E1152">
        <v>44</v>
      </c>
      <c r="F1152">
        <v>39</v>
      </c>
      <c r="G1152">
        <v>42</v>
      </c>
      <c r="H1152">
        <v>41</v>
      </c>
      <c r="I1152">
        <v>40</v>
      </c>
      <c r="J1152">
        <v>37</v>
      </c>
      <c r="K1152">
        <v>36</v>
      </c>
      <c r="L1152">
        <v>36</v>
      </c>
      <c r="M1152">
        <v>40</v>
      </c>
      <c r="N1152">
        <v>41</v>
      </c>
      <c r="O1152" s="173">
        <f t="shared" si="252"/>
        <v>39.5</v>
      </c>
      <c r="P1152" s="173">
        <f t="shared" si="253"/>
        <v>-1.5833333333333357</v>
      </c>
      <c r="Q1152" s="177">
        <f t="shared" ref="Q1152:Q1157" si="255">SUM(P1152/O1151)</f>
        <v>-3.8539553752535552E-2</v>
      </c>
    </row>
    <row r="1153" spans="1:17" x14ac:dyDescent="0.2">
      <c r="B1153" t="s">
        <v>295</v>
      </c>
      <c r="C1153">
        <v>32</v>
      </c>
      <c r="D1153">
        <v>34</v>
      </c>
      <c r="E1153">
        <v>31</v>
      </c>
      <c r="F1153">
        <v>32</v>
      </c>
      <c r="G1153">
        <v>33</v>
      </c>
      <c r="H1153">
        <v>31</v>
      </c>
      <c r="I1153">
        <v>31</v>
      </c>
      <c r="J1153">
        <v>31</v>
      </c>
      <c r="K1153">
        <v>34</v>
      </c>
      <c r="L1153">
        <v>36</v>
      </c>
      <c r="M1153">
        <v>40</v>
      </c>
      <c r="N1153">
        <v>39</v>
      </c>
      <c r="O1153" s="173">
        <f>SUM(C1153:N1153)/12</f>
        <v>33.666666666666664</v>
      </c>
      <c r="P1153" s="173">
        <f>SUM(O1153-O1152)</f>
        <v>-5.8333333333333357</v>
      </c>
      <c r="Q1153" s="177">
        <f t="shared" si="255"/>
        <v>-0.14767932489451482</v>
      </c>
    </row>
    <row r="1154" spans="1:17" x14ac:dyDescent="0.2">
      <c r="B1154" t="s">
        <v>335</v>
      </c>
      <c r="C1154">
        <v>43</v>
      </c>
      <c r="D1154">
        <v>43</v>
      </c>
      <c r="E1154">
        <v>41</v>
      </c>
      <c r="F1154">
        <v>0</v>
      </c>
      <c r="G1154">
        <v>0</v>
      </c>
      <c r="H1154">
        <v>0</v>
      </c>
      <c r="I1154">
        <v>35</v>
      </c>
      <c r="J1154">
        <v>35</v>
      </c>
      <c r="K1154">
        <v>38</v>
      </c>
      <c r="L1154">
        <v>36</v>
      </c>
      <c r="M1154">
        <v>35</v>
      </c>
      <c r="N1154">
        <v>32</v>
      </c>
      <c r="O1154" s="173">
        <f>SUM(C1154:N1154)/9</f>
        <v>37.555555555555557</v>
      </c>
      <c r="P1154" s="173">
        <f>SUM(O1154-O1153)</f>
        <v>3.8888888888888928</v>
      </c>
      <c r="Q1154" s="177">
        <f t="shared" si="255"/>
        <v>0.11551155115511563</v>
      </c>
    </row>
    <row r="1155" spans="1:17" x14ac:dyDescent="0.2">
      <c r="B1155" t="s">
        <v>358</v>
      </c>
      <c r="C1155">
        <v>32</v>
      </c>
      <c r="D1155">
        <v>33</v>
      </c>
      <c r="E1155">
        <v>46</v>
      </c>
      <c r="F1155">
        <v>60</v>
      </c>
      <c r="G1155">
        <v>63</v>
      </c>
      <c r="H1155">
        <v>62</v>
      </c>
      <c r="I1155">
        <v>63</v>
      </c>
      <c r="J1155">
        <v>64</v>
      </c>
      <c r="K1155">
        <v>61</v>
      </c>
      <c r="L1155">
        <v>60</v>
      </c>
      <c r="M1155">
        <v>67</v>
      </c>
      <c r="N1155">
        <v>70</v>
      </c>
      <c r="O1155" s="173">
        <f>SUM(C1155:N1155)/12</f>
        <v>56.75</v>
      </c>
      <c r="P1155" s="173">
        <f>SUM(O1155-O1154)</f>
        <v>19.194444444444443</v>
      </c>
      <c r="Q1155" s="177">
        <f t="shared" si="255"/>
        <v>0.51109467455621294</v>
      </c>
    </row>
    <row r="1156" spans="1:17" x14ac:dyDescent="0.2">
      <c r="B1156" t="s">
        <v>437</v>
      </c>
      <c r="C1156">
        <v>68</v>
      </c>
      <c r="D1156">
        <v>65</v>
      </c>
      <c r="E1156">
        <v>62</v>
      </c>
      <c r="F1156">
        <v>61</v>
      </c>
      <c r="G1156">
        <v>65</v>
      </c>
      <c r="H1156">
        <v>66</v>
      </c>
      <c r="I1156">
        <v>68</v>
      </c>
      <c r="J1156">
        <v>66</v>
      </c>
      <c r="K1156">
        <v>70</v>
      </c>
      <c r="L1156">
        <v>68</v>
      </c>
      <c r="M1156">
        <v>65</v>
      </c>
      <c r="N1156">
        <v>68</v>
      </c>
      <c r="O1156" s="173">
        <f>SUM(C1156:N1156)/12</f>
        <v>66</v>
      </c>
      <c r="P1156" s="173">
        <f>SUM(O1156-O1155)</f>
        <v>9.25</v>
      </c>
      <c r="Q1156" s="177">
        <f t="shared" si="255"/>
        <v>0.16299559471365638</v>
      </c>
    </row>
    <row r="1157" spans="1:17" x14ac:dyDescent="0.2">
      <c r="B1157" t="s">
        <v>471</v>
      </c>
      <c r="C1157">
        <v>70</v>
      </c>
      <c r="D1157">
        <v>71</v>
      </c>
      <c r="E1157">
        <v>74</v>
      </c>
      <c r="F1157">
        <v>74</v>
      </c>
      <c r="G1157">
        <v>74</v>
      </c>
      <c r="H1157">
        <v>79</v>
      </c>
      <c r="I1157">
        <v>77</v>
      </c>
      <c r="J1157">
        <v>80</v>
      </c>
      <c r="K1157">
        <v>70</v>
      </c>
      <c r="L1157">
        <v>66</v>
      </c>
      <c r="M1157">
        <v>65</v>
      </c>
      <c r="N1157">
        <v>57</v>
      </c>
      <c r="O1157" s="173">
        <f>SUM(C1157:N1157)/12</f>
        <v>71.416666666666671</v>
      </c>
      <c r="P1157" s="173">
        <f>SUM(O1157-O1156)</f>
        <v>5.4166666666666714</v>
      </c>
      <c r="Q1157" s="177">
        <f t="shared" si="255"/>
        <v>8.2070707070707141E-2</v>
      </c>
    </row>
    <row r="1158" spans="1:17" x14ac:dyDescent="0.2">
      <c r="B1158" t="s">
        <v>537</v>
      </c>
      <c r="C1158">
        <v>55</v>
      </c>
      <c r="D1158">
        <v>70</v>
      </c>
      <c r="O1158" s="173"/>
      <c r="P1158" s="173"/>
      <c r="Q1158" s="177"/>
    </row>
    <row r="1159" spans="1:17" ht="25.5" x14ac:dyDescent="0.2">
      <c r="A1159" s="175" t="s">
        <v>439</v>
      </c>
      <c r="B1159" s="600" t="s">
        <v>418</v>
      </c>
      <c r="C1159" s="601" t="s">
        <v>419</v>
      </c>
      <c r="D1159" s="601" t="s">
        <v>420</v>
      </c>
      <c r="E1159" s="601" t="s">
        <v>421</v>
      </c>
      <c r="F1159" s="601" t="s">
        <v>422</v>
      </c>
      <c r="G1159" s="601" t="s">
        <v>423</v>
      </c>
      <c r="H1159" s="601" t="s">
        <v>424</v>
      </c>
      <c r="I1159" s="601" t="s">
        <v>425</v>
      </c>
      <c r="J1159" s="601" t="s">
        <v>426</v>
      </c>
      <c r="K1159" s="601" t="s">
        <v>427</v>
      </c>
      <c r="L1159" s="601" t="s">
        <v>428</v>
      </c>
      <c r="M1159" s="601" t="s">
        <v>429</v>
      </c>
      <c r="N1159" s="601" t="s">
        <v>430</v>
      </c>
    </row>
    <row r="1160" spans="1:17" x14ac:dyDescent="0.2">
      <c r="B1160" t="s">
        <v>434</v>
      </c>
      <c r="C1160">
        <v>305</v>
      </c>
      <c r="D1160">
        <v>299</v>
      </c>
      <c r="E1160">
        <v>289</v>
      </c>
      <c r="F1160">
        <v>276</v>
      </c>
      <c r="G1160">
        <v>277</v>
      </c>
      <c r="H1160">
        <v>295</v>
      </c>
      <c r="I1160">
        <v>283</v>
      </c>
      <c r="J1160">
        <v>273</v>
      </c>
      <c r="K1160">
        <v>259</v>
      </c>
      <c r="L1160">
        <v>249</v>
      </c>
      <c r="M1160">
        <v>241</v>
      </c>
      <c r="N1160">
        <v>237</v>
      </c>
      <c r="O1160" s="173">
        <f t="shared" ref="O1160:O1168" si="256">SUM(C1160:N1160)/12</f>
        <v>273.58333333333331</v>
      </c>
      <c r="P1160" s="173"/>
    </row>
    <row r="1161" spans="1:17" x14ac:dyDescent="0.2">
      <c r="B1161" t="s">
        <v>435</v>
      </c>
      <c r="C1161">
        <v>237</v>
      </c>
      <c r="D1161">
        <v>230</v>
      </c>
      <c r="E1161">
        <v>230</v>
      </c>
      <c r="F1161">
        <v>230</v>
      </c>
      <c r="G1161">
        <v>231</v>
      </c>
      <c r="H1161">
        <v>215</v>
      </c>
      <c r="I1161">
        <v>218</v>
      </c>
      <c r="J1161">
        <v>212</v>
      </c>
      <c r="K1161">
        <v>214</v>
      </c>
      <c r="L1161">
        <v>217</v>
      </c>
      <c r="M1161">
        <v>220</v>
      </c>
      <c r="N1161">
        <v>218</v>
      </c>
      <c r="O1161" s="173">
        <f t="shared" si="256"/>
        <v>222.66666666666666</v>
      </c>
      <c r="P1161" s="173">
        <f t="shared" ref="P1161:P1168" si="257">SUM(O1161-O1160)</f>
        <v>-50.916666666666657</v>
      </c>
      <c r="Q1161" s="177">
        <f t="shared" ref="Q1161:Q1167" si="258">SUM(P1161/O1160)</f>
        <v>-0.18611026500152297</v>
      </c>
    </row>
    <row r="1162" spans="1:17" x14ac:dyDescent="0.2">
      <c r="B1162" t="s">
        <v>436</v>
      </c>
      <c r="C1162">
        <v>231</v>
      </c>
      <c r="D1162">
        <v>230</v>
      </c>
      <c r="E1162">
        <v>234</v>
      </c>
      <c r="F1162">
        <v>229</v>
      </c>
      <c r="G1162">
        <v>230</v>
      </c>
      <c r="H1162">
        <v>240</v>
      </c>
      <c r="I1162">
        <v>245</v>
      </c>
      <c r="J1162">
        <v>250</v>
      </c>
      <c r="K1162">
        <v>255</v>
      </c>
      <c r="L1162">
        <v>260</v>
      </c>
      <c r="M1162">
        <v>265</v>
      </c>
      <c r="N1162">
        <v>270</v>
      </c>
      <c r="O1162" s="173">
        <f t="shared" si="256"/>
        <v>244.91666666666666</v>
      </c>
      <c r="P1162" s="173">
        <f t="shared" si="257"/>
        <v>22.25</v>
      </c>
      <c r="Q1162" s="177">
        <f t="shared" si="258"/>
        <v>9.9925149700598806E-2</v>
      </c>
    </row>
    <row r="1163" spans="1:17" x14ac:dyDescent="0.2">
      <c r="B1163" t="s">
        <v>260</v>
      </c>
      <c r="C1163">
        <v>280</v>
      </c>
      <c r="D1163">
        <v>237</v>
      </c>
      <c r="E1163">
        <v>253</v>
      </c>
      <c r="F1163">
        <v>253</v>
      </c>
      <c r="G1163">
        <v>253</v>
      </c>
      <c r="H1163">
        <v>253</v>
      </c>
      <c r="I1163">
        <v>253</v>
      </c>
      <c r="J1163">
        <v>253</v>
      </c>
      <c r="K1163">
        <v>253</v>
      </c>
      <c r="L1163">
        <v>260</v>
      </c>
      <c r="M1163">
        <v>265</v>
      </c>
      <c r="N1163">
        <v>270</v>
      </c>
      <c r="O1163" s="173">
        <f t="shared" si="256"/>
        <v>256.91666666666669</v>
      </c>
      <c r="P1163" s="173">
        <f t="shared" si="257"/>
        <v>12.000000000000028</v>
      </c>
      <c r="Q1163" s="177">
        <f t="shared" si="258"/>
        <v>4.899625723035058E-2</v>
      </c>
    </row>
    <row r="1164" spans="1:17" x14ac:dyDescent="0.2">
      <c r="B1164" t="s">
        <v>259</v>
      </c>
      <c r="C1164">
        <v>288</v>
      </c>
      <c r="D1164">
        <v>261</v>
      </c>
      <c r="E1164">
        <v>258</v>
      </c>
      <c r="F1164">
        <v>267</v>
      </c>
      <c r="G1164">
        <v>259</v>
      </c>
      <c r="H1164">
        <v>267</v>
      </c>
      <c r="I1164">
        <v>272</v>
      </c>
      <c r="J1164">
        <v>273</v>
      </c>
      <c r="K1164">
        <v>300</v>
      </c>
      <c r="L1164">
        <v>296</v>
      </c>
      <c r="M1164">
        <v>319</v>
      </c>
      <c r="N1164">
        <v>317</v>
      </c>
      <c r="O1164" s="173">
        <f t="shared" si="256"/>
        <v>281.41666666666669</v>
      </c>
      <c r="P1164" s="173">
        <f t="shared" si="257"/>
        <v>24.5</v>
      </c>
      <c r="Q1164" s="177">
        <f t="shared" si="258"/>
        <v>9.5361660720077845E-2</v>
      </c>
    </row>
    <row r="1165" spans="1:17" x14ac:dyDescent="0.2">
      <c r="B1165" t="s">
        <v>280</v>
      </c>
      <c r="C1165">
        <v>297</v>
      </c>
      <c r="D1165">
        <v>306</v>
      </c>
      <c r="E1165">
        <v>312</v>
      </c>
      <c r="F1165">
        <v>311</v>
      </c>
      <c r="G1165">
        <v>312</v>
      </c>
      <c r="H1165">
        <v>252</v>
      </c>
      <c r="I1165">
        <v>312</v>
      </c>
      <c r="J1165">
        <v>314</v>
      </c>
      <c r="K1165">
        <v>316</v>
      </c>
      <c r="L1165">
        <v>235</v>
      </c>
      <c r="M1165">
        <v>248</v>
      </c>
      <c r="N1165">
        <v>323</v>
      </c>
      <c r="O1165" s="173">
        <f t="shared" si="256"/>
        <v>294.83333333333331</v>
      </c>
      <c r="P1165" s="173">
        <f t="shared" si="257"/>
        <v>13.416666666666629</v>
      </c>
      <c r="Q1165" s="177">
        <f t="shared" si="258"/>
        <v>4.7675451584246235E-2</v>
      </c>
    </row>
    <row r="1166" spans="1:17" x14ac:dyDescent="0.2">
      <c r="B1166" t="s">
        <v>290</v>
      </c>
      <c r="C1166">
        <v>322</v>
      </c>
      <c r="D1166">
        <v>318</v>
      </c>
      <c r="E1166">
        <v>302</v>
      </c>
      <c r="F1166">
        <v>299</v>
      </c>
      <c r="G1166">
        <v>301</v>
      </c>
      <c r="H1166">
        <v>296</v>
      </c>
      <c r="I1166">
        <v>286</v>
      </c>
      <c r="J1166">
        <v>290</v>
      </c>
      <c r="K1166">
        <v>283</v>
      </c>
      <c r="L1166">
        <v>284</v>
      </c>
      <c r="M1166">
        <v>289</v>
      </c>
      <c r="N1166">
        <v>279</v>
      </c>
      <c r="O1166" s="173">
        <f t="shared" si="256"/>
        <v>295.75</v>
      </c>
      <c r="P1166" s="173">
        <f t="shared" si="257"/>
        <v>0.91666666666668561</v>
      </c>
      <c r="Q1166" s="177">
        <f t="shared" si="258"/>
        <v>3.109101187111427E-3</v>
      </c>
    </row>
    <row r="1167" spans="1:17" x14ac:dyDescent="0.2">
      <c r="B1167" t="s">
        <v>293</v>
      </c>
      <c r="C1167">
        <v>278</v>
      </c>
      <c r="D1167">
        <v>270</v>
      </c>
      <c r="E1167">
        <v>262</v>
      </c>
      <c r="F1167">
        <v>253</v>
      </c>
      <c r="G1167">
        <v>261</v>
      </c>
      <c r="H1167">
        <v>259</v>
      </c>
      <c r="I1167">
        <v>254</v>
      </c>
      <c r="J1167">
        <v>255</v>
      </c>
      <c r="K1167">
        <v>249</v>
      </c>
      <c r="L1167">
        <v>267</v>
      </c>
      <c r="M1167">
        <v>263</v>
      </c>
      <c r="N1167">
        <v>250</v>
      </c>
      <c r="O1167" s="173">
        <f t="shared" si="256"/>
        <v>260.08333333333331</v>
      </c>
      <c r="P1167" s="173">
        <f t="shared" si="257"/>
        <v>-35.666666666666686</v>
      </c>
      <c r="Q1167" s="177">
        <f t="shared" si="258"/>
        <v>-0.1205973513665822</v>
      </c>
    </row>
    <row r="1168" spans="1:17" x14ac:dyDescent="0.2">
      <c r="B1168" t="s">
        <v>294</v>
      </c>
      <c r="C1168">
        <v>247</v>
      </c>
      <c r="D1168">
        <v>250</v>
      </c>
      <c r="E1168">
        <v>240</v>
      </c>
      <c r="F1168">
        <v>238</v>
      </c>
      <c r="G1168">
        <v>230</v>
      </c>
      <c r="H1168">
        <v>228</v>
      </c>
      <c r="I1168">
        <v>230</v>
      </c>
      <c r="J1168">
        <v>228</v>
      </c>
      <c r="K1168">
        <v>226</v>
      </c>
      <c r="L1168">
        <v>224</v>
      </c>
      <c r="M1168">
        <v>228</v>
      </c>
      <c r="N1168">
        <v>233</v>
      </c>
      <c r="O1168" s="173">
        <f t="shared" si="256"/>
        <v>233.5</v>
      </c>
      <c r="P1168" s="173">
        <f t="shared" si="257"/>
        <v>-26.583333333333314</v>
      </c>
      <c r="Q1168" s="177">
        <f t="shared" ref="Q1168:Q1173" si="259">SUM(P1168/O1167)</f>
        <v>-0.10221082986222359</v>
      </c>
    </row>
    <row r="1169" spans="1:18" x14ac:dyDescent="0.2">
      <c r="B1169" t="s">
        <v>295</v>
      </c>
      <c r="C1169">
        <v>212</v>
      </c>
      <c r="D1169">
        <v>216</v>
      </c>
      <c r="E1169">
        <v>221</v>
      </c>
      <c r="F1169">
        <v>228</v>
      </c>
      <c r="G1169">
        <v>226</v>
      </c>
      <c r="H1169">
        <v>230</v>
      </c>
      <c r="I1169">
        <v>222</v>
      </c>
      <c r="J1169">
        <v>225</v>
      </c>
      <c r="K1169">
        <v>236</v>
      </c>
      <c r="L1169">
        <v>242</v>
      </c>
      <c r="M1169">
        <v>246</v>
      </c>
      <c r="N1169">
        <v>252</v>
      </c>
      <c r="O1169" s="173">
        <f>SUM(C1169:N1169)/12</f>
        <v>229.66666666666666</v>
      </c>
      <c r="P1169" s="173">
        <f>SUM(O1169-O1168)</f>
        <v>-3.8333333333333428</v>
      </c>
      <c r="Q1169" s="177">
        <f t="shared" si="259"/>
        <v>-1.6416845110635302E-2</v>
      </c>
    </row>
    <row r="1170" spans="1:18" x14ac:dyDescent="0.2">
      <c r="B1170" t="s">
        <v>335</v>
      </c>
      <c r="C1170">
        <v>247</v>
      </c>
      <c r="D1170">
        <v>248</v>
      </c>
      <c r="E1170">
        <v>247</v>
      </c>
      <c r="F1170">
        <v>247</v>
      </c>
      <c r="G1170">
        <v>254</v>
      </c>
      <c r="H1170">
        <v>258</v>
      </c>
      <c r="I1170">
        <v>257</v>
      </c>
      <c r="J1170">
        <v>255</v>
      </c>
      <c r="K1170">
        <v>252</v>
      </c>
      <c r="L1170">
        <v>251</v>
      </c>
      <c r="M1170">
        <v>249</v>
      </c>
      <c r="N1170">
        <v>259</v>
      </c>
      <c r="O1170" s="173">
        <f>SUM(C1170:N1170)/12</f>
        <v>252</v>
      </c>
      <c r="P1170" s="173">
        <f>SUM(O1170-O1169)</f>
        <v>22.333333333333343</v>
      </c>
      <c r="Q1170" s="177">
        <f t="shared" si="259"/>
        <v>9.7242380261248235E-2</v>
      </c>
    </row>
    <row r="1171" spans="1:18" x14ac:dyDescent="0.2">
      <c r="B1171" t="s">
        <v>358</v>
      </c>
      <c r="C1171">
        <v>264</v>
      </c>
      <c r="D1171">
        <v>260</v>
      </c>
      <c r="E1171">
        <v>262</v>
      </c>
      <c r="F1171">
        <v>259</v>
      </c>
      <c r="G1171">
        <v>247</v>
      </c>
      <c r="H1171">
        <v>238</v>
      </c>
      <c r="I1171">
        <v>224</v>
      </c>
      <c r="J1171">
        <v>232</v>
      </c>
      <c r="K1171">
        <v>239</v>
      </c>
      <c r="L1171">
        <v>243</v>
      </c>
      <c r="M1171">
        <v>246</v>
      </c>
      <c r="N1171">
        <v>247</v>
      </c>
      <c r="O1171" s="173">
        <f>SUM(C1171:N1171)/12</f>
        <v>246.75</v>
      </c>
      <c r="P1171" s="173">
        <f>SUM(O1171-O1170)</f>
        <v>-5.25</v>
      </c>
      <c r="Q1171" s="177">
        <f t="shared" si="259"/>
        <v>-2.0833333333333332E-2</v>
      </c>
      <c r="R1171" t="s">
        <v>440</v>
      </c>
    </row>
    <row r="1172" spans="1:18" x14ac:dyDescent="0.2">
      <c r="B1172" t="s">
        <v>437</v>
      </c>
      <c r="C1172">
        <v>257</v>
      </c>
      <c r="D1172">
        <v>248</v>
      </c>
      <c r="E1172">
        <v>250</v>
      </c>
      <c r="F1172">
        <v>264</v>
      </c>
      <c r="G1172">
        <v>265</v>
      </c>
      <c r="H1172">
        <v>270</v>
      </c>
      <c r="I1172">
        <v>279</v>
      </c>
      <c r="J1172">
        <v>279</v>
      </c>
      <c r="K1172">
        <v>266</v>
      </c>
      <c r="L1172">
        <v>260</v>
      </c>
      <c r="M1172">
        <v>260</v>
      </c>
      <c r="N1172">
        <v>272</v>
      </c>
      <c r="O1172" s="173">
        <f>SUM(C1172:N1172)/12</f>
        <v>264.16666666666669</v>
      </c>
      <c r="P1172" s="173">
        <f>SUM(O1172-O1171)</f>
        <v>17.416666666666686</v>
      </c>
      <c r="Q1172" s="177">
        <f t="shared" si="259"/>
        <v>7.0584262073623852E-2</v>
      </c>
    </row>
    <row r="1173" spans="1:18" x14ac:dyDescent="0.2">
      <c r="B1173" t="s">
        <v>471</v>
      </c>
      <c r="C1173">
        <v>276</v>
      </c>
      <c r="D1173">
        <v>277</v>
      </c>
      <c r="E1173">
        <v>283</v>
      </c>
      <c r="F1173">
        <v>298</v>
      </c>
      <c r="G1173">
        <v>294</v>
      </c>
      <c r="H1173">
        <v>295</v>
      </c>
      <c r="I1173">
        <v>289</v>
      </c>
      <c r="J1173">
        <v>284</v>
      </c>
      <c r="K1173">
        <v>288</v>
      </c>
      <c r="L1173">
        <v>290</v>
      </c>
      <c r="M1173">
        <v>303</v>
      </c>
      <c r="N1173">
        <v>300</v>
      </c>
      <c r="O1173" s="173">
        <f>SUM(C1173:N1173)/12</f>
        <v>289.75</v>
      </c>
      <c r="P1173" s="173">
        <f>SUM(O1173-O1172)</f>
        <v>25.583333333333314</v>
      </c>
      <c r="Q1173" s="177">
        <f t="shared" si="259"/>
        <v>9.6845425867507814E-2</v>
      </c>
    </row>
    <row r="1174" spans="1:18" x14ac:dyDescent="0.2">
      <c r="B1174" t="s">
        <v>537</v>
      </c>
      <c r="C1174">
        <v>305</v>
      </c>
      <c r="D1174">
        <v>296</v>
      </c>
      <c r="O1174" s="173"/>
      <c r="P1174" s="173"/>
      <c r="Q1174" s="177"/>
    </row>
    <row r="1175" spans="1:18" x14ac:dyDescent="0.2">
      <c r="A1175" s="178"/>
      <c r="B1175" s="178"/>
      <c r="C1175" s="178"/>
      <c r="D1175" s="178"/>
      <c r="E1175" s="178"/>
      <c r="F1175" s="178"/>
      <c r="G1175" s="178"/>
      <c r="H1175" s="178"/>
      <c r="I1175" s="178"/>
      <c r="J1175" s="178"/>
      <c r="K1175" s="178"/>
      <c r="L1175" s="178"/>
      <c r="M1175" s="178"/>
      <c r="N1175" s="178"/>
      <c r="O1175" s="178"/>
      <c r="P1175" s="178"/>
      <c r="Q1175" s="178"/>
    </row>
    <row r="1176" spans="1:18" ht="25.5" x14ac:dyDescent="0.2">
      <c r="A1176" s="175" t="s">
        <v>441</v>
      </c>
      <c r="B1176" s="600" t="s">
        <v>418</v>
      </c>
      <c r="C1176" s="601" t="s">
        <v>419</v>
      </c>
      <c r="D1176" s="601" t="s">
        <v>420</v>
      </c>
      <c r="E1176" s="601" t="s">
        <v>421</v>
      </c>
      <c r="F1176" s="601" t="s">
        <v>422</v>
      </c>
      <c r="G1176" s="601" t="s">
        <v>423</v>
      </c>
      <c r="H1176" s="601" t="s">
        <v>424</v>
      </c>
      <c r="I1176" s="601" t="s">
        <v>425</v>
      </c>
      <c r="J1176" s="601" t="s">
        <v>426</v>
      </c>
      <c r="K1176" s="601" t="s">
        <v>427</v>
      </c>
      <c r="L1176" s="601" t="s">
        <v>428</v>
      </c>
      <c r="M1176" s="601" t="s">
        <v>429</v>
      </c>
      <c r="N1176" s="601" t="s">
        <v>430</v>
      </c>
    </row>
    <row r="1177" spans="1:18" x14ac:dyDescent="0.2">
      <c r="B1177" t="s">
        <v>434</v>
      </c>
      <c r="C1177">
        <v>65</v>
      </c>
      <c r="D1177">
        <v>62</v>
      </c>
      <c r="E1177">
        <v>57</v>
      </c>
      <c r="F1177">
        <v>56</v>
      </c>
      <c r="G1177">
        <v>52</v>
      </c>
      <c r="H1177">
        <v>51</v>
      </c>
      <c r="I1177">
        <v>49</v>
      </c>
      <c r="J1177">
        <v>55</v>
      </c>
      <c r="K1177">
        <v>59</v>
      </c>
      <c r="L1177">
        <v>55</v>
      </c>
      <c r="M1177">
        <v>54</v>
      </c>
      <c r="N1177">
        <v>66</v>
      </c>
      <c r="O1177" s="173">
        <f t="shared" ref="O1177:O1185" si="260">SUM(C1177:N1177)/12</f>
        <v>56.75</v>
      </c>
      <c r="P1177" s="173"/>
    </row>
    <row r="1178" spans="1:18" x14ac:dyDescent="0.2">
      <c r="B1178" t="s">
        <v>435</v>
      </c>
      <c r="C1178">
        <v>67</v>
      </c>
      <c r="D1178">
        <v>72</v>
      </c>
      <c r="E1178">
        <v>72</v>
      </c>
      <c r="F1178">
        <v>73</v>
      </c>
      <c r="G1178">
        <v>71</v>
      </c>
      <c r="H1178">
        <v>74</v>
      </c>
      <c r="I1178">
        <v>74</v>
      </c>
      <c r="J1178">
        <v>74</v>
      </c>
      <c r="K1178">
        <v>70</v>
      </c>
      <c r="L1178">
        <v>66</v>
      </c>
      <c r="M1178">
        <v>62</v>
      </c>
      <c r="N1178">
        <v>63</v>
      </c>
      <c r="O1178" s="173">
        <f t="shared" si="260"/>
        <v>69.833333333333329</v>
      </c>
      <c r="P1178" s="173">
        <f t="shared" ref="P1178:P1185" si="261">SUM(O1178-O1177)</f>
        <v>13.083333333333329</v>
      </c>
      <c r="Q1178" s="177">
        <f t="shared" ref="Q1178:Q1184" si="262">SUM(P1178/O1177)</f>
        <v>0.23054331864904543</v>
      </c>
    </row>
    <row r="1179" spans="1:18" x14ac:dyDescent="0.2">
      <c r="B1179" t="s">
        <v>436</v>
      </c>
      <c r="C1179">
        <v>68</v>
      </c>
      <c r="D1179">
        <v>75</v>
      </c>
      <c r="E1179">
        <v>74</v>
      </c>
      <c r="F1179">
        <v>79</v>
      </c>
      <c r="G1179">
        <v>75</v>
      </c>
      <c r="H1179">
        <v>74</v>
      </c>
      <c r="I1179">
        <v>64</v>
      </c>
      <c r="J1179">
        <v>75</v>
      </c>
      <c r="K1179">
        <v>76</v>
      </c>
      <c r="L1179">
        <v>78</v>
      </c>
      <c r="M1179">
        <v>79</v>
      </c>
      <c r="N1179">
        <v>81</v>
      </c>
      <c r="O1179" s="173">
        <f t="shared" si="260"/>
        <v>74.833333333333329</v>
      </c>
      <c r="P1179" s="173">
        <f t="shared" si="261"/>
        <v>5</v>
      </c>
      <c r="Q1179" s="177">
        <f t="shared" si="262"/>
        <v>7.1599045346062054E-2</v>
      </c>
    </row>
    <row r="1180" spans="1:18" x14ac:dyDescent="0.2">
      <c r="B1180" t="s">
        <v>260</v>
      </c>
      <c r="C1180">
        <v>76</v>
      </c>
      <c r="D1180">
        <v>79</v>
      </c>
      <c r="E1180">
        <v>76</v>
      </c>
      <c r="F1180">
        <v>74</v>
      </c>
      <c r="G1180">
        <v>72</v>
      </c>
      <c r="H1180">
        <v>70</v>
      </c>
      <c r="I1180">
        <v>68</v>
      </c>
      <c r="J1180">
        <v>59</v>
      </c>
      <c r="K1180">
        <v>67</v>
      </c>
      <c r="L1180">
        <v>66</v>
      </c>
      <c r="M1180">
        <v>67</v>
      </c>
      <c r="N1180">
        <v>64</v>
      </c>
      <c r="O1180" s="173">
        <f t="shared" si="260"/>
        <v>69.833333333333329</v>
      </c>
      <c r="P1180" s="173">
        <f t="shared" si="261"/>
        <v>-5</v>
      </c>
      <c r="Q1180" s="177">
        <f t="shared" si="262"/>
        <v>-6.6815144766147E-2</v>
      </c>
    </row>
    <row r="1181" spans="1:18" x14ac:dyDescent="0.2">
      <c r="B1181" t="s">
        <v>259</v>
      </c>
      <c r="C1181">
        <v>67</v>
      </c>
      <c r="D1181">
        <v>57</v>
      </c>
      <c r="E1181">
        <v>57</v>
      </c>
      <c r="F1181">
        <v>58</v>
      </c>
      <c r="G1181">
        <v>57</v>
      </c>
      <c r="H1181">
        <v>60</v>
      </c>
      <c r="I1181">
        <v>55</v>
      </c>
      <c r="J1181">
        <v>55</v>
      </c>
      <c r="K1181">
        <v>64</v>
      </c>
      <c r="L1181">
        <v>61</v>
      </c>
      <c r="M1181">
        <v>68</v>
      </c>
      <c r="N1181">
        <v>67</v>
      </c>
      <c r="O1181" s="173">
        <f t="shared" si="260"/>
        <v>60.5</v>
      </c>
      <c r="P1181" s="173">
        <f t="shared" si="261"/>
        <v>-9.3333333333333286</v>
      </c>
      <c r="Q1181" s="177">
        <f t="shared" si="262"/>
        <v>-0.13365155131264911</v>
      </c>
    </row>
    <row r="1182" spans="1:18" x14ac:dyDescent="0.2">
      <c r="B1182" t="s">
        <v>280</v>
      </c>
      <c r="C1182">
        <v>71</v>
      </c>
      <c r="D1182">
        <v>62</v>
      </c>
      <c r="E1182">
        <v>61</v>
      </c>
      <c r="F1182">
        <v>59</v>
      </c>
      <c r="G1182">
        <v>54</v>
      </c>
      <c r="H1182">
        <v>56</v>
      </c>
      <c r="I1182">
        <v>56</v>
      </c>
      <c r="J1182">
        <v>58</v>
      </c>
      <c r="K1182">
        <v>60</v>
      </c>
      <c r="L1182">
        <v>65</v>
      </c>
      <c r="M1182">
        <v>72</v>
      </c>
      <c r="N1182">
        <v>75</v>
      </c>
      <c r="O1182" s="173">
        <f t="shared" si="260"/>
        <v>62.416666666666664</v>
      </c>
      <c r="P1182" s="173">
        <f t="shared" si="261"/>
        <v>1.9166666666666643</v>
      </c>
      <c r="Q1182" s="177">
        <f t="shared" si="262"/>
        <v>3.1680440771349822E-2</v>
      </c>
    </row>
    <row r="1183" spans="1:18" x14ac:dyDescent="0.2">
      <c r="B1183" t="s">
        <v>290</v>
      </c>
      <c r="C1183">
        <v>76</v>
      </c>
      <c r="D1183">
        <v>73</v>
      </c>
      <c r="E1183">
        <v>67</v>
      </c>
      <c r="F1183">
        <v>66</v>
      </c>
      <c r="G1183">
        <v>66</v>
      </c>
      <c r="H1183">
        <v>68</v>
      </c>
      <c r="I1183">
        <v>69</v>
      </c>
      <c r="J1183">
        <v>72</v>
      </c>
      <c r="K1183">
        <v>69</v>
      </c>
      <c r="L1183">
        <v>75</v>
      </c>
      <c r="M1183">
        <v>73</v>
      </c>
      <c r="N1183">
        <v>74</v>
      </c>
      <c r="O1183" s="173">
        <f t="shared" si="260"/>
        <v>70.666666666666671</v>
      </c>
      <c r="P1183" s="173">
        <f t="shared" si="261"/>
        <v>8.2500000000000071</v>
      </c>
      <c r="Q1183" s="177">
        <f t="shared" si="262"/>
        <v>0.13217623497997341</v>
      </c>
    </row>
    <row r="1184" spans="1:18" x14ac:dyDescent="0.2">
      <c r="B1184" t="s">
        <v>293</v>
      </c>
      <c r="C1184">
        <v>72</v>
      </c>
      <c r="D1184">
        <v>72</v>
      </c>
      <c r="E1184">
        <v>71</v>
      </c>
      <c r="F1184">
        <v>73</v>
      </c>
      <c r="G1184">
        <v>77</v>
      </c>
      <c r="H1184">
        <v>76</v>
      </c>
      <c r="I1184">
        <v>76</v>
      </c>
      <c r="J1184">
        <v>78</v>
      </c>
      <c r="K1184">
        <v>74</v>
      </c>
      <c r="L1184">
        <v>88</v>
      </c>
      <c r="M1184">
        <v>92</v>
      </c>
      <c r="N1184">
        <v>76</v>
      </c>
      <c r="O1184" s="173">
        <f t="shared" si="260"/>
        <v>77.083333333333329</v>
      </c>
      <c r="P1184" s="173">
        <f t="shared" si="261"/>
        <v>6.4166666666666572</v>
      </c>
      <c r="Q1184" s="177">
        <f t="shared" si="262"/>
        <v>9.0801886792452685E-2</v>
      </c>
    </row>
    <row r="1185" spans="1:17" x14ac:dyDescent="0.2">
      <c r="B1185" t="s">
        <v>294</v>
      </c>
      <c r="C1185">
        <v>76</v>
      </c>
      <c r="D1185">
        <v>79</v>
      </c>
      <c r="E1185">
        <v>94</v>
      </c>
      <c r="F1185">
        <v>75</v>
      </c>
      <c r="G1185">
        <v>79</v>
      </c>
      <c r="H1185">
        <v>77</v>
      </c>
      <c r="I1185">
        <v>83</v>
      </c>
      <c r="J1185">
        <v>83</v>
      </c>
      <c r="K1185">
        <v>86</v>
      </c>
      <c r="L1185">
        <v>85</v>
      </c>
      <c r="M1185">
        <v>82</v>
      </c>
      <c r="N1185">
        <v>89</v>
      </c>
      <c r="O1185" s="173">
        <f t="shared" si="260"/>
        <v>82.333333333333329</v>
      </c>
      <c r="P1185" s="173">
        <f t="shared" si="261"/>
        <v>5.25</v>
      </c>
      <c r="Q1185" s="177">
        <f t="shared" ref="Q1185:Q1190" si="263">SUM(P1185/O1184)</f>
        <v>6.8108108108108106E-2</v>
      </c>
    </row>
    <row r="1186" spans="1:17" x14ac:dyDescent="0.2">
      <c r="B1186" t="s">
        <v>295</v>
      </c>
      <c r="C1186">
        <v>92</v>
      </c>
      <c r="D1186">
        <v>91</v>
      </c>
      <c r="E1186">
        <v>95</v>
      </c>
      <c r="F1186">
        <v>93</v>
      </c>
      <c r="G1186">
        <v>96</v>
      </c>
      <c r="H1186">
        <v>94</v>
      </c>
      <c r="I1186">
        <v>91</v>
      </c>
      <c r="J1186">
        <v>90</v>
      </c>
      <c r="K1186">
        <v>91</v>
      </c>
      <c r="L1186">
        <v>95</v>
      </c>
      <c r="M1186">
        <v>96</v>
      </c>
      <c r="N1186">
        <v>73</v>
      </c>
      <c r="O1186" s="173">
        <f>SUM(C1186:N1186)/12</f>
        <v>91.416666666666671</v>
      </c>
      <c r="P1186" s="173">
        <f>SUM(O1186-O1185)</f>
        <v>9.0833333333333428</v>
      </c>
      <c r="Q1186" s="177">
        <f t="shared" si="263"/>
        <v>0.11032388663967624</v>
      </c>
    </row>
    <row r="1187" spans="1:17" x14ac:dyDescent="0.2">
      <c r="B1187" t="s">
        <v>335</v>
      </c>
      <c r="C1187">
        <v>72</v>
      </c>
      <c r="D1187">
        <v>72</v>
      </c>
      <c r="E1187">
        <v>65</v>
      </c>
      <c r="F1187">
        <v>62</v>
      </c>
      <c r="G1187">
        <v>61</v>
      </c>
      <c r="H1187">
        <v>65</v>
      </c>
      <c r="I1187">
        <v>68</v>
      </c>
      <c r="J1187">
        <v>70</v>
      </c>
      <c r="K1187">
        <v>68</v>
      </c>
      <c r="L1187">
        <v>70</v>
      </c>
      <c r="M1187">
        <v>71</v>
      </c>
      <c r="N1187">
        <v>73</v>
      </c>
      <c r="O1187" s="173">
        <f>SUM(C1187:N1187)/12</f>
        <v>68.083333333333329</v>
      </c>
      <c r="P1187" s="173">
        <f>SUM(O1187-O1186)</f>
        <v>-23.333333333333343</v>
      </c>
      <c r="Q1187" s="177">
        <f t="shared" si="263"/>
        <v>-0.2552415679124887</v>
      </c>
    </row>
    <row r="1188" spans="1:17" x14ac:dyDescent="0.2">
      <c r="B1188" t="s">
        <v>358</v>
      </c>
      <c r="C1188">
        <v>72</v>
      </c>
      <c r="D1188">
        <v>70</v>
      </c>
      <c r="E1188">
        <v>73</v>
      </c>
      <c r="F1188">
        <v>77</v>
      </c>
      <c r="G1188">
        <v>74</v>
      </c>
      <c r="H1188">
        <v>74</v>
      </c>
      <c r="I1188">
        <v>76</v>
      </c>
      <c r="J1188">
        <v>75</v>
      </c>
      <c r="K1188">
        <v>77</v>
      </c>
      <c r="L1188">
        <v>82</v>
      </c>
      <c r="M1188">
        <v>85</v>
      </c>
      <c r="N1188">
        <v>88</v>
      </c>
      <c r="O1188" s="173">
        <f>SUM(C1188:N1188)/12</f>
        <v>76.916666666666671</v>
      </c>
      <c r="P1188" s="173">
        <f>SUM(O1188-O1187)</f>
        <v>8.8333333333333428</v>
      </c>
      <c r="Q1188" s="177">
        <f t="shared" si="263"/>
        <v>0.1297429620563037</v>
      </c>
    </row>
    <row r="1189" spans="1:17" x14ac:dyDescent="0.2">
      <c r="B1189" t="s">
        <v>437</v>
      </c>
      <c r="C1189">
        <v>88</v>
      </c>
      <c r="D1189">
        <v>84</v>
      </c>
      <c r="E1189">
        <v>81</v>
      </c>
      <c r="F1189">
        <v>81</v>
      </c>
      <c r="G1189">
        <v>79</v>
      </c>
      <c r="H1189">
        <v>79</v>
      </c>
      <c r="I1189">
        <v>77</v>
      </c>
      <c r="J1189">
        <v>82</v>
      </c>
      <c r="K1189">
        <v>80</v>
      </c>
      <c r="L1189">
        <v>73</v>
      </c>
      <c r="M1189">
        <v>76</v>
      </c>
      <c r="N1189">
        <v>76</v>
      </c>
      <c r="O1189" s="173">
        <f>SUM(C1189:N1189)/12</f>
        <v>79.666666666666671</v>
      </c>
      <c r="P1189" s="173">
        <f>SUM(O1189-O1188)</f>
        <v>2.75</v>
      </c>
      <c r="Q1189" s="177">
        <f t="shared" si="263"/>
        <v>3.5752979414951244E-2</v>
      </c>
    </row>
    <row r="1190" spans="1:17" x14ac:dyDescent="0.2">
      <c r="B1190" t="s">
        <v>471</v>
      </c>
      <c r="C1190">
        <v>75</v>
      </c>
      <c r="D1190">
        <v>77</v>
      </c>
      <c r="E1190">
        <v>75</v>
      </c>
      <c r="F1190">
        <v>75</v>
      </c>
      <c r="G1190">
        <v>79</v>
      </c>
      <c r="H1190">
        <v>74</v>
      </c>
      <c r="I1190">
        <v>75</v>
      </c>
      <c r="J1190">
        <v>77</v>
      </c>
      <c r="K1190">
        <v>74</v>
      </c>
      <c r="L1190">
        <v>70</v>
      </c>
      <c r="M1190">
        <v>70</v>
      </c>
      <c r="N1190">
        <v>72</v>
      </c>
      <c r="O1190" s="173">
        <f>SUM(C1190:N1190)/12</f>
        <v>74.416666666666671</v>
      </c>
      <c r="P1190" s="173">
        <f>SUM(O1190-O1189)</f>
        <v>-5.25</v>
      </c>
      <c r="Q1190" s="177">
        <f t="shared" si="263"/>
        <v>-6.5899581589958151E-2</v>
      </c>
    </row>
    <row r="1191" spans="1:17" x14ac:dyDescent="0.2">
      <c r="B1191" t="s">
        <v>537</v>
      </c>
      <c r="C1191">
        <v>74</v>
      </c>
      <c r="D1191">
        <v>71</v>
      </c>
      <c r="O1191" s="173"/>
      <c r="P1191" s="173"/>
      <c r="Q1191" s="177"/>
    </row>
    <row r="1192" spans="1:17" ht="25.5" x14ac:dyDescent="0.2">
      <c r="A1192" s="175" t="s">
        <v>442</v>
      </c>
      <c r="B1192" s="600" t="s">
        <v>418</v>
      </c>
      <c r="C1192" s="601" t="s">
        <v>419</v>
      </c>
      <c r="D1192" s="601" t="s">
        <v>420</v>
      </c>
      <c r="E1192" s="601" t="s">
        <v>421</v>
      </c>
      <c r="F1192" s="601" t="s">
        <v>422</v>
      </c>
      <c r="G1192" s="601" t="s">
        <v>423</v>
      </c>
      <c r="H1192" s="601" t="s">
        <v>424</v>
      </c>
      <c r="I1192" s="601" t="s">
        <v>425</v>
      </c>
      <c r="J1192" s="601" t="s">
        <v>426</v>
      </c>
      <c r="K1192" s="601" t="s">
        <v>427</v>
      </c>
      <c r="L1192" s="601" t="s">
        <v>428</v>
      </c>
      <c r="M1192" s="601" t="s">
        <v>429</v>
      </c>
      <c r="N1192" s="601" t="s">
        <v>430</v>
      </c>
    </row>
    <row r="1193" spans="1:17" x14ac:dyDescent="0.2">
      <c r="B1193" t="s">
        <v>434</v>
      </c>
      <c r="C1193">
        <v>683</v>
      </c>
      <c r="D1193">
        <v>675</v>
      </c>
      <c r="E1193">
        <v>696</v>
      </c>
      <c r="F1193">
        <v>659</v>
      </c>
      <c r="G1193">
        <v>661</v>
      </c>
      <c r="H1193">
        <v>650</v>
      </c>
      <c r="I1193">
        <v>666</v>
      </c>
      <c r="J1193">
        <v>688</v>
      </c>
      <c r="K1193">
        <v>667</v>
      </c>
      <c r="L1193">
        <v>670</v>
      </c>
      <c r="M1193">
        <v>639</v>
      </c>
      <c r="N1193">
        <v>653</v>
      </c>
      <c r="O1193" s="173">
        <f t="shared" ref="O1193:O1201" si="264">SUM(C1193:N1193)/12</f>
        <v>667.25</v>
      </c>
      <c r="P1193" s="173"/>
    </row>
    <row r="1194" spans="1:17" x14ac:dyDescent="0.2">
      <c r="B1194" t="s">
        <v>435</v>
      </c>
      <c r="C1194">
        <v>624</v>
      </c>
      <c r="D1194">
        <v>643</v>
      </c>
      <c r="E1194">
        <v>636</v>
      </c>
      <c r="F1194">
        <v>670</v>
      </c>
      <c r="G1194">
        <v>642</v>
      </c>
      <c r="H1194">
        <v>655</v>
      </c>
      <c r="I1194">
        <v>650</v>
      </c>
      <c r="J1194">
        <v>660</v>
      </c>
      <c r="K1194">
        <v>644</v>
      </c>
      <c r="L1194">
        <v>672</v>
      </c>
      <c r="M1194">
        <v>658</v>
      </c>
      <c r="N1194">
        <v>659</v>
      </c>
      <c r="O1194" s="173">
        <f t="shared" si="264"/>
        <v>651.08333333333337</v>
      </c>
      <c r="P1194" s="173">
        <f t="shared" ref="P1194:P1201" si="265">SUM(O1194-O1193)</f>
        <v>-16.166666666666629</v>
      </c>
      <c r="Q1194" s="177">
        <f t="shared" ref="Q1194:Q1200" si="266">SUM(P1194/O1193)</f>
        <v>-2.422879980017479E-2</v>
      </c>
    </row>
    <row r="1195" spans="1:17" x14ac:dyDescent="0.2">
      <c r="B1195" t="s">
        <v>436</v>
      </c>
      <c r="C1195">
        <v>661</v>
      </c>
      <c r="D1195">
        <v>673</v>
      </c>
      <c r="E1195">
        <v>672</v>
      </c>
      <c r="F1195">
        <v>632</v>
      </c>
      <c r="G1195">
        <v>611</v>
      </c>
      <c r="H1195">
        <v>620</v>
      </c>
      <c r="I1195">
        <v>633</v>
      </c>
      <c r="J1195">
        <v>653</v>
      </c>
      <c r="K1195">
        <v>659</v>
      </c>
      <c r="L1195">
        <v>665</v>
      </c>
      <c r="M1195">
        <v>671</v>
      </c>
      <c r="N1195">
        <v>677</v>
      </c>
      <c r="O1195" s="173">
        <f t="shared" si="264"/>
        <v>652.25</v>
      </c>
      <c r="P1195" s="173">
        <f t="shared" si="265"/>
        <v>1.1666666666666288</v>
      </c>
      <c r="Q1195" s="177">
        <f t="shared" si="266"/>
        <v>1.7918853193395041E-3</v>
      </c>
    </row>
    <row r="1196" spans="1:17" x14ac:dyDescent="0.2">
      <c r="B1196" t="s">
        <v>260</v>
      </c>
      <c r="C1196">
        <v>561</v>
      </c>
      <c r="D1196">
        <v>574</v>
      </c>
      <c r="E1196">
        <v>593</v>
      </c>
      <c r="F1196">
        <v>589</v>
      </c>
      <c r="G1196">
        <v>589</v>
      </c>
      <c r="H1196">
        <v>589</v>
      </c>
      <c r="I1196">
        <v>589</v>
      </c>
      <c r="J1196">
        <v>589</v>
      </c>
      <c r="K1196">
        <v>589</v>
      </c>
      <c r="L1196">
        <v>589</v>
      </c>
      <c r="M1196">
        <v>589</v>
      </c>
      <c r="N1196">
        <v>623</v>
      </c>
      <c r="O1196" s="173">
        <f t="shared" si="264"/>
        <v>588.58333333333337</v>
      </c>
      <c r="P1196" s="173">
        <f t="shared" si="265"/>
        <v>-63.666666666666629</v>
      </c>
      <c r="Q1196" s="177">
        <f t="shared" si="266"/>
        <v>-9.7610834291554816E-2</v>
      </c>
    </row>
    <row r="1197" spans="1:17" x14ac:dyDescent="0.2">
      <c r="B1197" t="s">
        <v>259</v>
      </c>
      <c r="C1197">
        <v>585</v>
      </c>
      <c r="D1197">
        <v>542</v>
      </c>
      <c r="E1197">
        <v>535</v>
      </c>
      <c r="F1197">
        <v>545</v>
      </c>
      <c r="G1197">
        <v>547</v>
      </c>
      <c r="H1197">
        <v>584</v>
      </c>
      <c r="I1197">
        <v>608</v>
      </c>
      <c r="J1197">
        <v>604</v>
      </c>
      <c r="K1197">
        <v>592</v>
      </c>
      <c r="L1197">
        <v>599</v>
      </c>
      <c r="M1197">
        <v>628</v>
      </c>
      <c r="N1197">
        <v>595</v>
      </c>
      <c r="O1197" s="173">
        <f t="shared" si="264"/>
        <v>580.33333333333337</v>
      </c>
      <c r="P1197" s="173">
        <f t="shared" si="265"/>
        <v>-8.25</v>
      </c>
      <c r="Q1197" s="177">
        <f t="shared" si="266"/>
        <v>-1.4016706781820756E-2</v>
      </c>
    </row>
    <row r="1198" spans="1:17" x14ac:dyDescent="0.2">
      <c r="B1198" t="s">
        <v>280</v>
      </c>
      <c r="C1198">
        <v>601</v>
      </c>
      <c r="D1198">
        <v>626</v>
      </c>
      <c r="E1198">
        <v>662</v>
      </c>
      <c r="F1198">
        <v>646</v>
      </c>
      <c r="G1198">
        <v>635</v>
      </c>
      <c r="H1198">
        <v>634</v>
      </c>
      <c r="I1198">
        <v>628</v>
      </c>
      <c r="J1198">
        <v>656</v>
      </c>
      <c r="K1198">
        <v>666</v>
      </c>
      <c r="L1198">
        <v>657</v>
      </c>
      <c r="M1198">
        <v>576</v>
      </c>
      <c r="N1198">
        <v>650</v>
      </c>
      <c r="O1198" s="173">
        <f t="shared" si="264"/>
        <v>636.41666666666663</v>
      </c>
      <c r="P1198" s="173">
        <f t="shared" si="265"/>
        <v>56.083333333333258</v>
      </c>
      <c r="Q1198" s="177">
        <f t="shared" si="266"/>
        <v>9.6639862148190564E-2</v>
      </c>
    </row>
    <row r="1199" spans="1:17" x14ac:dyDescent="0.2">
      <c r="B1199" t="s">
        <v>290</v>
      </c>
      <c r="C1199">
        <v>648</v>
      </c>
      <c r="D1199">
        <v>660</v>
      </c>
      <c r="E1199">
        <v>652</v>
      </c>
      <c r="F1199">
        <v>651</v>
      </c>
      <c r="G1199">
        <v>646</v>
      </c>
      <c r="H1199">
        <v>659</v>
      </c>
      <c r="I1199">
        <v>646</v>
      </c>
      <c r="J1199">
        <v>702</v>
      </c>
      <c r="K1199">
        <v>699</v>
      </c>
      <c r="L1199">
        <v>703</v>
      </c>
      <c r="M1199">
        <v>711</v>
      </c>
      <c r="N1199">
        <v>718</v>
      </c>
      <c r="O1199" s="173">
        <f t="shared" si="264"/>
        <v>674.58333333333337</v>
      </c>
      <c r="P1199" s="173">
        <f t="shared" si="265"/>
        <v>38.166666666666742</v>
      </c>
      <c r="Q1199" s="177">
        <f t="shared" si="266"/>
        <v>5.99711928767842E-2</v>
      </c>
    </row>
    <row r="1200" spans="1:17" x14ac:dyDescent="0.2">
      <c r="B1200" t="s">
        <v>293</v>
      </c>
      <c r="C1200">
        <v>731</v>
      </c>
      <c r="D1200">
        <v>726</v>
      </c>
      <c r="E1200">
        <v>720</v>
      </c>
      <c r="F1200">
        <v>696</v>
      </c>
      <c r="G1200">
        <v>731</v>
      </c>
      <c r="H1200">
        <v>721</v>
      </c>
      <c r="I1200">
        <v>713</v>
      </c>
      <c r="J1200">
        <v>701</v>
      </c>
      <c r="K1200">
        <v>691</v>
      </c>
      <c r="L1200">
        <v>789</v>
      </c>
      <c r="M1200">
        <v>764</v>
      </c>
      <c r="N1200">
        <v>691</v>
      </c>
      <c r="O1200" s="173">
        <f t="shared" si="264"/>
        <v>722.83333333333337</v>
      </c>
      <c r="P1200" s="173">
        <f t="shared" si="265"/>
        <v>48.25</v>
      </c>
      <c r="Q1200" s="177">
        <f t="shared" si="266"/>
        <v>7.1525633106856085E-2</v>
      </c>
    </row>
    <row r="1201" spans="1:17" x14ac:dyDescent="0.2">
      <c r="B1201" t="s">
        <v>294</v>
      </c>
      <c r="C1201">
        <v>684</v>
      </c>
      <c r="D1201">
        <v>691</v>
      </c>
      <c r="E1201">
        <v>716</v>
      </c>
      <c r="F1201">
        <v>676</v>
      </c>
      <c r="G1201">
        <v>671</v>
      </c>
      <c r="H1201">
        <v>676</v>
      </c>
      <c r="I1201">
        <v>674</v>
      </c>
      <c r="J1201">
        <v>667</v>
      </c>
      <c r="K1201">
        <v>669</v>
      </c>
      <c r="L1201">
        <v>676</v>
      </c>
      <c r="M1201">
        <v>714</v>
      </c>
      <c r="N1201">
        <v>718</v>
      </c>
      <c r="O1201" s="173">
        <f t="shared" si="264"/>
        <v>686</v>
      </c>
      <c r="P1201" s="173">
        <f t="shared" si="265"/>
        <v>-36.833333333333371</v>
      </c>
      <c r="Q1201" s="177">
        <f t="shared" ref="Q1201:Q1206" si="267">SUM(P1201/O1200)</f>
        <v>-5.095688263776809E-2</v>
      </c>
    </row>
    <row r="1202" spans="1:17" x14ac:dyDescent="0.2">
      <c r="B1202" t="s">
        <v>295</v>
      </c>
      <c r="C1202">
        <v>681</v>
      </c>
      <c r="D1202">
        <v>689</v>
      </c>
      <c r="E1202">
        <v>680</v>
      </c>
      <c r="F1202">
        <v>661</v>
      </c>
      <c r="G1202">
        <v>661</v>
      </c>
      <c r="H1202">
        <v>678</v>
      </c>
      <c r="I1202">
        <v>672</v>
      </c>
      <c r="J1202">
        <v>687</v>
      </c>
      <c r="K1202">
        <v>677</v>
      </c>
      <c r="L1202">
        <v>674</v>
      </c>
      <c r="M1202">
        <v>674</v>
      </c>
      <c r="N1202">
        <v>691</v>
      </c>
      <c r="O1202" s="173">
        <f>SUM(C1202:N1202)/12</f>
        <v>677.08333333333337</v>
      </c>
      <c r="P1202" s="173">
        <f>SUM(O1202-O1201)</f>
        <v>-8.9166666666666288</v>
      </c>
      <c r="Q1202" s="177">
        <f t="shared" si="267"/>
        <v>-1.2998056365403248E-2</v>
      </c>
    </row>
    <row r="1203" spans="1:17" x14ac:dyDescent="0.2">
      <c r="B1203" t="s">
        <v>335</v>
      </c>
      <c r="C1203">
        <v>685</v>
      </c>
      <c r="D1203">
        <v>703</v>
      </c>
      <c r="E1203">
        <v>697</v>
      </c>
      <c r="F1203">
        <v>714</v>
      </c>
      <c r="G1203">
        <v>713</v>
      </c>
      <c r="H1203">
        <v>746</v>
      </c>
      <c r="I1203">
        <v>722</v>
      </c>
      <c r="J1203">
        <v>724</v>
      </c>
      <c r="K1203">
        <v>728</v>
      </c>
      <c r="L1203">
        <v>696</v>
      </c>
      <c r="M1203">
        <v>695</v>
      </c>
      <c r="N1203">
        <v>676</v>
      </c>
      <c r="O1203" s="173">
        <f>SUM(C1203:N1203)/12</f>
        <v>708.25</v>
      </c>
      <c r="P1203" s="173">
        <f>SUM(O1203-O1202)</f>
        <v>31.166666666666629</v>
      </c>
      <c r="Q1203" s="177">
        <f t="shared" si="267"/>
        <v>4.6030769230769174E-2</v>
      </c>
    </row>
    <row r="1204" spans="1:17" x14ac:dyDescent="0.2">
      <c r="B1204" t="s">
        <v>358</v>
      </c>
      <c r="C1204">
        <v>691</v>
      </c>
      <c r="D1204">
        <v>666</v>
      </c>
      <c r="E1204">
        <v>624</v>
      </c>
      <c r="F1204">
        <v>670</v>
      </c>
      <c r="G1204">
        <v>672</v>
      </c>
      <c r="H1204">
        <v>675</v>
      </c>
      <c r="I1204">
        <v>651</v>
      </c>
      <c r="J1204">
        <v>642</v>
      </c>
      <c r="K1204">
        <v>588</v>
      </c>
      <c r="L1204">
        <v>663</v>
      </c>
      <c r="M1204">
        <v>660</v>
      </c>
      <c r="N1204">
        <v>646</v>
      </c>
      <c r="O1204" s="173">
        <f>SUM(C1204:N1204)/12</f>
        <v>654</v>
      </c>
      <c r="P1204" s="173">
        <f>SUM(O1204-O1203)</f>
        <v>-54.25</v>
      </c>
      <c r="Q1204" s="177">
        <f t="shared" si="267"/>
        <v>-7.6597246734909988E-2</v>
      </c>
    </row>
    <row r="1205" spans="1:17" x14ac:dyDescent="0.2">
      <c r="B1205" t="s">
        <v>437</v>
      </c>
      <c r="C1205">
        <v>652</v>
      </c>
      <c r="D1205">
        <v>655</v>
      </c>
      <c r="E1205">
        <v>667</v>
      </c>
      <c r="F1205">
        <v>658</v>
      </c>
      <c r="G1205">
        <v>671</v>
      </c>
      <c r="H1205">
        <v>681</v>
      </c>
      <c r="I1205">
        <v>677</v>
      </c>
      <c r="J1205">
        <v>673</v>
      </c>
      <c r="K1205">
        <v>663</v>
      </c>
      <c r="L1205">
        <v>656</v>
      </c>
      <c r="M1205">
        <v>662</v>
      </c>
      <c r="N1205">
        <v>679</v>
      </c>
      <c r="O1205" s="173">
        <f>SUM(C1205:N1205)/12</f>
        <v>666.16666666666663</v>
      </c>
      <c r="P1205" s="173">
        <f>SUM(O1205-O1204)</f>
        <v>12.166666666666629</v>
      </c>
      <c r="Q1205" s="177">
        <f t="shared" si="267"/>
        <v>1.8603465851172216E-2</v>
      </c>
    </row>
    <row r="1206" spans="1:17" x14ac:dyDescent="0.2">
      <c r="B1206" t="s">
        <v>471</v>
      </c>
      <c r="C1206">
        <v>674</v>
      </c>
      <c r="D1206">
        <v>675</v>
      </c>
      <c r="E1206">
        <v>693</v>
      </c>
      <c r="F1206">
        <v>708</v>
      </c>
      <c r="G1206">
        <v>741</v>
      </c>
      <c r="H1206">
        <v>687</v>
      </c>
      <c r="I1206">
        <v>729</v>
      </c>
      <c r="J1206">
        <v>690</v>
      </c>
      <c r="K1206">
        <v>701</v>
      </c>
      <c r="L1206">
        <v>693</v>
      </c>
      <c r="M1206">
        <v>738</v>
      </c>
      <c r="N1206">
        <v>729</v>
      </c>
      <c r="O1206" s="173">
        <f>SUM(C1206:N1206)/12</f>
        <v>704.83333333333337</v>
      </c>
      <c r="P1206" s="173">
        <f>SUM(O1206-O1205)</f>
        <v>38.666666666666742</v>
      </c>
      <c r="Q1206" s="177">
        <f t="shared" si="267"/>
        <v>5.804353264948723E-2</v>
      </c>
    </row>
    <row r="1207" spans="1:17" x14ac:dyDescent="0.2">
      <c r="B1207" t="s">
        <v>537</v>
      </c>
      <c r="C1207">
        <v>722</v>
      </c>
      <c r="D1207">
        <v>713</v>
      </c>
      <c r="O1207" s="173"/>
      <c r="P1207" s="173"/>
      <c r="Q1207" s="177"/>
    </row>
    <row r="1208" spans="1:17" ht="25.5" x14ac:dyDescent="0.2">
      <c r="A1208" s="175" t="s">
        <v>443</v>
      </c>
      <c r="B1208" s="600" t="s">
        <v>418</v>
      </c>
      <c r="C1208" s="601" t="s">
        <v>419</v>
      </c>
      <c r="D1208" s="601" t="s">
        <v>420</v>
      </c>
      <c r="E1208" s="601" t="s">
        <v>421</v>
      </c>
      <c r="F1208" s="601" t="s">
        <v>422</v>
      </c>
      <c r="G1208" s="601" t="s">
        <v>423</v>
      </c>
      <c r="H1208" s="601" t="s">
        <v>424</v>
      </c>
      <c r="I1208" s="601" t="s">
        <v>425</v>
      </c>
      <c r="J1208" s="601" t="s">
        <v>426</v>
      </c>
      <c r="K1208" s="601" t="s">
        <v>427</v>
      </c>
      <c r="L1208" s="601" t="s">
        <v>428</v>
      </c>
      <c r="M1208" s="601" t="s">
        <v>429</v>
      </c>
      <c r="N1208" s="601" t="s">
        <v>430</v>
      </c>
    </row>
    <row r="1209" spans="1:17" x14ac:dyDescent="0.2">
      <c r="B1209" t="s">
        <v>434</v>
      </c>
      <c r="C1209">
        <v>227</v>
      </c>
      <c r="D1209">
        <v>238</v>
      </c>
      <c r="E1209">
        <v>241</v>
      </c>
      <c r="F1209">
        <v>237</v>
      </c>
      <c r="G1209">
        <v>237</v>
      </c>
      <c r="H1209">
        <v>245</v>
      </c>
      <c r="I1209">
        <v>239</v>
      </c>
      <c r="J1209">
        <v>232</v>
      </c>
      <c r="K1209">
        <v>228</v>
      </c>
      <c r="L1209">
        <v>226</v>
      </c>
      <c r="M1209">
        <v>226</v>
      </c>
      <c r="N1209">
        <v>238</v>
      </c>
      <c r="O1209" s="173">
        <f t="shared" ref="O1209:O1217" si="268">SUM(C1209:N1209)/12</f>
        <v>234.5</v>
      </c>
      <c r="P1209" s="173"/>
    </row>
    <row r="1210" spans="1:17" x14ac:dyDescent="0.2">
      <c r="B1210" t="s">
        <v>435</v>
      </c>
      <c r="C1210">
        <v>227</v>
      </c>
      <c r="D1210">
        <v>234</v>
      </c>
      <c r="E1210">
        <v>235</v>
      </c>
      <c r="F1210">
        <v>220</v>
      </c>
      <c r="G1210">
        <v>231</v>
      </c>
      <c r="H1210">
        <v>222</v>
      </c>
      <c r="I1210">
        <v>209</v>
      </c>
      <c r="J1210">
        <v>216</v>
      </c>
      <c r="K1210">
        <v>219</v>
      </c>
      <c r="L1210">
        <v>212</v>
      </c>
      <c r="M1210">
        <v>211</v>
      </c>
      <c r="N1210">
        <v>211</v>
      </c>
      <c r="O1210" s="173">
        <f t="shared" si="268"/>
        <v>220.58333333333334</v>
      </c>
      <c r="P1210" s="173">
        <f t="shared" ref="P1210:P1217" si="269">SUM(O1210-O1209)</f>
        <v>-13.916666666666657</v>
      </c>
      <c r="Q1210" s="177">
        <f t="shared" ref="Q1210:Q1216" si="270">SUM(P1210/O1209)</f>
        <v>-5.9346126510305575E-2</v>
      </c>
    </row>
    <row r="1211" spans="1:17" x14ac:dyDescent="0.2">
      <c r="B1211" t="s">
        <v>436</v>
      </c>
      <c r="C1211">
        <v>210</v>
      </c>
      <c r="D1211">
        <v>212</v>
      </c>
      <c r="E1211">
        <v>205</v>
      </c>
      <c r="F1211">
        <v>205</v>
      </c>
      <c r="G1211">
        <v>220</v>
      </c>
      <c r="H1211">
        <v>221</v>
      </c>
      <c r="I1211">
        <v>223</v>
      </c>
      <c r="J1211">
        <v>227</v>
      </c>
      <c r="K1211">
        <v>230</v>
      </c>
      <c r="L1211">
        <v>204</v>
      </c>
      <c r="M1211">
        <v>178</v>
      </c>
      <c r="N1211">
        <v>152</v>
      </c>
      <c r="O1211" s="173">
        <f t="shared" si="268"/>
        <v>207.25</v>
      </c>
      <c r="P1211" s="173">
        <f t="shared" si="269"/>
        <v>-13.333333333333343</v>
      </c>
      <c r="Q1211" s="177">
        <f t="shared" si="270"/>
        <v>-6.0445787684170797E-2</v>
      </c>
    </row>
    <row r="1212" spans="1:17" x14ac:dyDescent="0.2">
      <c r="B1212" t="s">
        <v>260</v>
      </c>
      <c r="C1212">
        <v>257</v>
      </c>
      <c r="D1212">
        <v>269</v>
      </c>
      <c r="E1212">
        <v>265</v>
      </c>
      <c r="F1212">
        <v>244</v>
      </c>
      <c r="G1212">
        <v>244</v>
      </c>
      <c r="H1212">
        <v>244</v>
      </c>
      <c r="I1212">
        <v>244</v>
      </c>
      <c r="J1212">
        <v>244</v>
      </c>
      <c r="K1212">
        <v>244</v>
      </c>
      <c r="L1212">
        <v>244</v>
      </c>
      <c r="M1212">
        <v>244</v>
      </c>
      <c r="N1212">
        <v>244</v>
      </c>
      <c r="O1212" s="173">
        <f t="shared" si="268"/>
        <v>248.91666666666666</v>
      </c>
      <c r="P1212" s="173">
        <f t="shared" si="269"/>
        <v>41.666666666666657</v>
      </c>
      <c r="Q1212" s="177">
        <f t="shared" si="270"/>
        <v>0.20104543626859667</v>
      </c>
    </row>
    <row r="1213" spans="1:17" x14ac:dyDescent="0.2">
      <c r="B1213" t="s">
        <v>259</v>
      </c>
      <c r="C1213">
        <v>239</v>
      </c>
      <c r="D1213">
        <v>224</v>
      </c>
      <c r="E1213">
        <v>226</v>
      </c>
      <c r="F1213">
        <v>219</v>
      </c>
      <c r="G1213">
        <v>227</v>
      </c>
      <c r="H1213">
        <v>220</v>
      </c>
      <c r="I1213">
        <v>214</v>
      </c>
      <c r="J1213">
        <v>214</v>
      </c>
      <c r="K1213">
        <v>205</v>
      </c>
      <c r="L1213">
        <v>216</v>
      </c>
      <c r="M1213">
        <v>210</v>
      </c>
      <c r="N1213">
        <v>213</v>
      </c>
      <c r="O1213" s="173">
        <f t="shared" si="268"/>
        <v>218.91666666666666</v>
      </c>
      <c r="P1213" s="173">
        <f t="shared" si="269"/>
        <v>-30</v>
      </c>
      <c r="Q1213" s="177">
        <f t="shared" si="270"/>
        <v>-0.12052226314027453</v>
      </c>
    </row>
    <row r="1214" spans="1:17" x14ac:dyDescent="0.2">
      <c r="B1214" t="s">
        <v>280</v>
      </c>
      <c r="C1214">
        <v>214</v>
      </c>
      <c r="D1214">
        <v>211</v>
      </c>
      <c r="E1214">
        <v>207</v>
      </c>
      <c r="F1214">
        <v>229</v>
      </c>
      <c r="G1214">
        <v>243</v>
      </c>
      <c r="H1214">
        <v>240</v>
      </c>
      <c r="I1214">
        <v>243</v>
      </c>
      <c r="J1214">
        <v>245</v>
      </c>
      <c r="K1214">
        <v>245</v>
      </c>
      <c r="L1214">
        <v>259</v>
      </c>
      <c r="M1214">
        <v>261</v>
      </c>
      <c r="N1214">
        <v>263</v>
      </c>
      <c r="O1214" s="173">
        <f t="shared" si="268"/>
        <v>238.33333333333334</v>
      </c>
      <c r="P1214" s="173">
        <f t="shared" si="269"/>
        <v>19.416666666666686</v>
      </c>
      <c r="Q1214" s="177">
        <f t="shared" si="270"/>
        <v>8.8694328130947936E-2</v>
      </c>
    </row>
    <row r="1215" spans="1:17" x14ac:dyDescent="0.2">
      <c r="B1215" t="s">
        <v>290</v>
      </c>
      <c r="C1215">
        <v>264</v>
      </c>
      <c r="D1215">
        <v>263</v>
      </c>
      <c r="E1215">
        <v>264</v>
      </c>
      <c r="F1215">
        <v>259</v>
      </c>
      <c r="G1215">
        <v>262</v>
      </c>
      <c r="H1215">
        <v>259</v>
      </c>
      <c r="I1215">
        <v>244</v>
      </c>
      <c r="J1215">
        <v>246</v>
      </c>
      <c r="K1215">
        <v>253</v>
      </c>
      <c r="L1215">
        <v>249</v>
      </c>
      <c r="M1215">
        <v>248</v>
      </c>
      <c r="N1215">
        <v>256</v>
      </c>
      <c r="O1215" s="173">
        <f t="shared" si="268"/>
        <v>255.58333333333334</v>
      </c>
      <c r="P1215" s="173">
        <f t="shared" si="269"/>
        <v>17.25</v>
      </c>
      <c r="Q1215" s="177">
        <f t="shared" si="270"/>
        <v>7.237762237762238E-2</v>
      </c>
    </row>
    <row r="1216" spans="1:17" x14ac:dyDescent="0.2">
      <c r="B1216" t="s">
        <v>293</v>
      </c>
      <c r="C1216">
        <v>259</v>
      </c>
      <c r="D1216">
        <v>269</v>
      </c>
      <c r="E1216">
        <v>262</v>
      </c>
      <c r="F1216">
        <v>281</v>
      </c>
      <c r="G1216">
        <v>292</v>
      </c>
      <c r="H1216">
        <v>287</v>
      </c>
      <c r="I1216">
        <v>285</v>
      </c>
      <c r="J1216">
        <v>271</v>
      </c>
      <c r="K1216">
        <v>263</v>
      </c>
      <c r="L1216">
        <v>304</v>
      </c>
      <c r="M1216">
        <v>301</v>
      </c>
      <c r="N1216">
        <v>256</v>
      </c>
      <c r="O1216" s="173">
        <f t="shared" si="268"/>
        <v>277.5</v>
      </c>
      <c r="P1216" s="173">
        <f t="shared" si="269"/>
        <v>21.916666666666657</v>
      </c>
      <c r="Q1216" s="177">
        <f t="shared" si="270"/>
        <v>8.5751548744701617E-2</v>
      </c>
    </row>
    <row r="1217" spans="1:17" x14ac:dyDescent="0.2">
      <c r="B1217" t="s">
        <v>294</v>
      </c>
      <c r="C1217">
        <v>263</v>
      </c>
      <c r="D1217">
        <v>269</v>
      </c>
      <c r="E1217">
        <v>260</v>
      </c>
      <c r="F1217">
        <v>254</v>
      </c>
      <c r="G1217">
        <v>247</v>
      </c>
      <c r="H1217">
        <v>251</v>
      </c>
      <c r="I1217">
        <v>244</v>
      </c>
      <c r="J1217">
        <v>235</v>
      </c>
      <c r="K1217">
        <v>233</v>
      </c>
      <c r="L1217">
        <v>251</v>
      </c>
      <c r="M1217">
        <v>278</v>
      </c>
      <c r="N1217">
        <v>279</v>
      </c>
      <c r="O1217" s="173">
        <f t="shared" si="268"/>
        <v>255.33333333333334</v>
      </c>
      <c r="P1217" s="173">
        <f t="shared" si="269"/>
        <v>-22.166666666666657</v>
      </c>
      <c r="Q1217" s="177">
        <f t="shared" ref="Q1217:Q1222" si="271">SUM(P1217/O1216)</f>
        <v>-7.987987987987985E-2</v>
      </c>
    </row>
    <row r="1218" spans="1:17" x14ac:dyDescent="0.2">
      <c r="B1218" t="s">
        <v>295</v>
      </c>
      <c r="C1218">
        <v>271</v>
      </c>
      <c r="D1218">
        <v>264</v>
      </c>
      <c r="E1218">
        <v>264</v>
      </c>
      <c r="F1218">
        <v>265</v>
      </c>
      <c r="G1218">
        <v>260</v>
      </c>
      <c r="H1218">
        <v>261</v>
      </c>
      <c r="I1218">
        <v>266</v>
      </c>
      <c r="J1218">
        <v>257</v>
      </c>
      <c r="K1218">
        <v>261</v>
      </c>
      <c r="L1218">
        <v>270</v>
      </c>
      <c r="M1218">
        <v>273</v>
      </c>
      <c r="N1218">
        <v>267</v>
      </c>
      <c r="O1218" s="173">
        <f>SUM(C1218:N1218)/12</f>
        <v>264.91666666666669</v>
      </c>
      <c r="P1218" s="173">
        <f>SUM(O1218-O1217)</f>
        <v>9.5833333333333428</v>
      </c>
      <c r="Q1218" s="177">
        <f t="shared" si="271"/>
        <v>3.7532637075718051E-2</v>
      </c>
    </row>
    <row r="1219" spans="1:17" x14ac:dyDescent="0.2">
      <c r="B1219" t="s">
        <v>335</v>
      </c>
      <c r="C1219">
        <v>267</v>
      </c>
      <c r="D1219">
        <v>266</v>
      </c>
      <c r="E1219">
        <v>268</v>
      </c>
      <c r="F1219">
        <v>273</v>
      </c>
      <c r="G1219">
        <v>266</v>
      </c>
      <c r="H1219">
        <v>255</v>
      </c>
      <c r="I1219">
        <v>256</v>
      </c>
      <c r="J1219">
        <v>248</v>
      </c>
      <c r="K1219">
        <v>253</v>
      </c>
      <c r="L1219">
        <v>255</v>
      </c>
      <c r="M1219">
        <v>251</v>
      </c>
      <c r="N1219">
        <v>255</v>
      </c>
      <c r="O1219" s="173">
        <f>SUM(C1219:N1219)/12</f>
        <v>259.41666666666669</v>
      </c>
      <c r="P1219" s="173">
        <f>SUM(O1219-O1218)</f>
        <v>-5.5</v>
      </c>
      <c r="Q1219" s="177">
        <f t="shared" si="271"/>
        <v>-2.0761245674740483E-2</v>
      </c>
    </row>
    <row r="1220" spans="1:17" x14ac:dyDescent="0.2">
      <c r="B1220" t="s">
        <v>358</v>
      </c>
      <c r="C1220">
        <v>260</v>
      </c>
      <c r="D1220">
        <v>250</v>
      </c>
      <c r="E1220">
        <v>251</v>
      </c>
      <c r="F1220">
        <v>257</v>
      </c>
      <c r="G1220">
        <v>258</v>
      </c>
      <c r="H1220">
        <v>252</v>
      </c>
      <c r="I1220">
        <v>247</v>
      </c>
      <c r="J1220">
        <v>244</v>
      </c>
      <c r="K1220">
        <v>299</v>
      </c>
      <c r="L1220">
        <v>242</v>
      </c>
      <c r="M1220">
        <v>246</v>
      </c>
      <c r="N1220">
        <v>247</v>
      </c>
      <c r="O1220" s="173">
        <f>SUM(C1220:N1220)/12</f>
        <v>254.41666666666666</v>
      </c>
      <c r="P1220" s="173">
        <f>SUM(O1220-O1219)</f>
        <v>-5.0000000000000284</v>
      </c>
      <c r="Q1220" s="177">
        <f t="shared" si="271"/>
        <v>-1.9274012206874507E-2</v>
      </c>
    </row>
    <row r="1221" spans="1:17" x14ac:dyDescent="0.2">
      <c r="B1221" t="s">
        <v>437</v>
      </c>
      <c r="C1221">
        <v>247</v>
      </c>
      <c r="D1221">
        <v>250</v>
      </c>
      <c r="E1221">
        <v>259</v>
      </c>
      <c r="F1221">
        <v>259</v>
      </c>
      <c r="G1221">
        <v>260</v>
      </c>
      <c r="H1221">
        <v>269</v>
      </c>
      <c r="I1221">
        <v>253</v>
      </c>
      <c r="J1221">
        <v>246</v>
      </c>
      <c r="K1221">
        <v>259</v>
      </c>
      <c r="L1221">
        <v>253</v>
      </c>
      <c r="M1221">
        <v>236</v>
      </c>
      <c r="N1221">
        <v>227</v>
      </c>
      <c r="O1221" s="173">
        <f>SUM(C1221:N1221)/12</f>
        <v>251.5</v>
      </c>
      <c r="P1221" s="173">
        <f>SUM(O1221-O1220)</f>
        <v>-2.9166666666666572</v>
      </c>
      <c r="Q1221" s="177">
        <f t="shared" si="271"/>
        <v>-1.1464133639043526E-2</v>
      </c>
    </row>
    <row r="1222" spans="1:17" x14ac:dyDescent="0.2">
      <c r="B1222" t="s">
        <v>471</v>
      </c>
      <c r="C1222">
        <v>230</v>
      </c>
      <c r="D1222">
        <v>228</v>
      </c>
      <c r="E1222">
        <v>245</v>
      </c>
      <c r="F1222">
        <v>241</v>
      </c>
      <c r="G1222">
        <v>241</v>
      </c>
      <c r="H1222">
        <v>233</v>
      </c>
      <c r="I1222">
        <v>245</v>
      </c>
      <c r="J1222">
        <v>265</v>
      </c>
      <c r="K1222">
        <v>258</v>
      </c>
      <c r="L1222">
        <v>261</v>
      </c>
      <c r="M1222">
        <v>241</v>
      </c>
      <c r="N1222">
        <v>231</v>
      </c>
      <c r="O1222" s="173">
        <f>SUM(C1222:N1222)/12</f>
        <v>243.25</v>
      </c>
      <c r="P1222" s="173">
        <f>SUM(O1222-O1221)</f>
        <v>-8.25</v>
      </c>
      <c r="Q1222" s="177">
        <f t="shared" si="271"/>
        <v>-3.2803180914512925E-2</v>
      </c>
    </row>
    <row r="1223" spans="1:17" x14ac:dyDescent="0.2">
      <c r="B1223" t="s">
        <v>537</v>
      </c>
      <c r="C1223">
        <v>265</v>
      </c>
      <c r="D1223">
        <v>253</v>
      </c>
      <c r="O1223" s="173"/>
      <c r="P1223" s="173"/>
      <c r="Q1223" s="177"/>
    </row>
    <row r="1224" spans="1:17" x14ac:dyDescent="0.2">
      <c r="A1224" s="178"/>
      <c r="B1224" s="178"/>
      <c r="C1224" s="178"/>
      <c r="D1224" s="178"/>
      <c r="E1224" s="178"/>
      <c r="F1224" s="178"/>
      <c r="G1224" s="178"/>
      <c r="H1224" s="178"/>
      <c r="I1224" s="178"/>
      <c r="J1224" s="178"/>
      <c r="K1224" s="178"/>
      <c r="L1224" s="178"/>
      <c r="M1224" s="178"/>
      <c r="N1224" s="178"/>
      <c r="O1224" s="178"/>
      <c r="P1224" s="178"/>
      <c r="Q1224" s="178"/>
    </row>
    <row r="1225" spans="1:17" ht="25.5" x14ac:dyDescent="0.2">
      <c r="A1225" s="175" t="s">
        <v>444</v>
      </c>
      <c r="B1225" s="600" t="s">
        <v>418</v>
      </c>
      <c r="C1225" s="601" t="s">
        <v>419</v>
      </c>
      <c r="D1225" s="601" t="s">
        <v>420</v>
      </c>
      <c r="E1225" s="601" t="s">
        <v>421</v>
      </c>
      <c r="F1225" s="601" t="s">
        <v>422</v>
      </c>
      <c r="G1225" s="601" t="s">
        <v>423</v>
      </c>
      <c r="H1225" s="601" t="s">
        <v>424</v>
      </c>
      <c r="I1225" s="601" t="s">
        <v>425</v>
      </c>
      <c r="J1225" s="601" t="s">
        <v>426</v>
      </c>
      <c r="K1225" s="601" t="s">
        <v>427</v>
      </c>
      <c r="L1225" s="601" t="s">
        <v>428</v>
      </c>
      <c r="M1225" s="601" t="s">
        <v>429</v>
      </c>
      <c r="N1225" s="601" t="s">
        <v>430</v>
      </c>
    </row>
    <row r="1226" spans="1:17" x14ac:dyDescent="0.2">
      <c r="B1226" t="s">
        <v>434</v>
      </c>
      <c r="C1226">
        <v>204</v>
      </c>
      <c r="D1226">
        <v>210</v>
      </c>
      <c r="E1226">
        <v>215</v>
      </c>
      <c r="F1226">
        <v>213</v>
      </c>
      <c r="G1226">
        <v>212</v>
      </c>
      <c r="H1226">
        <v>207</v>
      </c>
      <c r="I1226">
        <v>200</v>
      </c>
      <c r="J1226">
        <v>199</v>
      </c>
      <c r="K1226">
        <v>192</v>
      </c>
      <c r="L1226">
        <v>192</v>
      </c>
      <c r="M1226">
        <v>181</v>
      </c>
      <c r="N1226">
        <v>189</v>
      </c>
      <c r="O1226" s="173">
        <f t="shared" ref="O1226:O1234" si="272">SUM(C1226:N1226)/12</f>
        <v>201.16666666666666</v>
      </c>
      <c r="P1226" s="173"/>
    </row>
    <row r="1227" spans="1:17" x14ac:dyDescent="0.2">
      <c r="B1227" t="s">
        <v>435</v>
      </c>
      <c r="C1227">
        <v>191</v>
      </c>
      <c r="D1227">
        <v>194</v>
      </c>
      <c r="E1227">
        <v>194</v>
      </c>
      <c r="F1227">
        <v>191</v>
      </c>
      <c r="G1227">
        <v>191</v>
      </c>
      <c r="H1227">
        <v>198</v>
      </c>
      <c r="I1227">
        <v>185</v>
      </c>
      <c r="J1227">
        <v>192</v>
      </c>
      <c r="K1227">
        <v>188</v>
      </c>
      <c r="L1227">
        <v>198</v>
      </c>
      <c r="M1227">
        <v>203</v>
      </c>
      <c r="N1227">
        <v>203</v>
      </c>
      <c r="O1227" s="173">
        <f t="shared" si="272"/>
        <v>194</v>
      </c>
      <c r="P1227" s="173">
        <f t="shared" ref="P1227:P1234" si="273">SUM(O1227-O1226)</f>
        <v>-7.1666666666666572</v>
      </c>
      <c r="Q1227" s="177">
        <f t="shared" ref="Q1227:Q1233" si="274">SUM(P1227/O1226)</f>
        <v>-3.5625517812758863E-2</v>
      </c>
    </row>
    <row r="1228" spans="1:17" x14ac:dyDescent="0.2">
      <c r="B1228" t="s">
        <v>436</v>
      </c>
      <c r="C1228">
        <v>201</v>
      </c>
      <c r="D1228">
        <v>196</v>
      </c>
      <c r="E1228">
        <v>198</v>
      </c>
      <c r="F1228">
        <v>188</v>
      </c>
      <c r="G1228">
        <v>188</v>
      </c>
      <c r="H1228">
        <v>192</v>
      </c>
      <c r="I1228">
        <v>189</v>
      </c>
      <c r="J1228">
        <v>200</v>
      </c>
      <c r="K1228">
        <v>219</v>
      </c>
      <c r="L1228">
        <v>228</v>
      </c>
      <c r="M1228">
        <v>234</v>
      </c>
      <c r="N1228">
        <v>237</v>
      </c>
      <c r="O1228" s="173">
        <f t="shared" si="272"/>
        <v>205.83333333333334</v>
      </c>
      <c r="P1228" s="173">
        <f t="shared" si="273"/>
        <v>11.833333333333343</v>
      </c>
      <c r="Q1228" s="177">
        <f t="shared" si="274"/>
        <v>6.0996563573883208E-2</v>
      </c>
    </row>
    <row r="1229" spans="1:17" x14ac:dyDescent="0.2">
      <c r="B1229" t="s">
        <v>260</v>
      </c>
      <c r="C1229">
        <v>246</v>
      </c>
      <c r="D1229">
        <v>242</v>
      </c>
      <c r="E1229">
        <v>245</v>
      </c>
      <c r="F1229">
        <v>245</v>
      </c>
      <c r="G1229">
        <v>245</v>
      </c>
      <c r="H1229">
        <v>245</v>
      </c>
      <c r="I1229">
        <v>245</v>
      </c>
      <c r="J1229">
        <v>245</v>
      </c>
      <c r="K1229">
        <v>245</v>
      </c>
      <c r="L1229">
        <v>245</v>
      </c>
      <c r="M1229">
        <v>245</v>
      </c>
      <c r="N1229">
        <v>245</v>
      </c>
      <c r="O1229" s="173">
        <f t="shared" si="272"/>
        <v>244.83333333333334</v>
      </c>
      <c r="P1229" s="173">
        <f t="shared" si="273"/>
        <v>39</v>
      </c>
      <c r="Q1229" s="177">
        <f t="shared" si="274"/>
        <v>0.18947368421052629</v>
      </c>
    </row>
    <row r="1230" spans="1:17" x14ac:dyDescent="0.2">
      <c r="B1230" t="s">
        <v>259</v>
      </c>
      <c r="C1230">
        <v>219</v>
      </c>
      <c r="D1230">
        <v>239</v>
      </c>
      <c r="E1230">
        <v>239</v>
      </c>
      <c r="F1230">
        <v>242</v>
      </c>
      <c r="G1230">
        <v>237</v>
      </c>
      <c r="H1230">
        <v>248</v>
      </c>
      <c r="I1230">
        <v>255</v>
      </c>
      <c r="J1230">
        <v>262</v>
      </c>
      <c r="K1230">
        <v>263</v>
      </c>
      <c r="L1230">
        <v>274</v>
      </c>
      <c r="M1230">
        <v>266</v>
      </c>
      <c r="N1230">
        <v>278</v>
      </c>
      <c r="O1230" s="173">
        <f t="shared" si="272"/>
        <v>251.83333333333334</v>
      </c>
      <c r="P1230" s="173">
        <f t="shared" si="273"/>
        <v>7</v>
      </c>
      <c r="Q1230" s="177">
        <f t="shared" si="274"/>
        <v>2.8590878148400271E-2</v>
      </c>
    </row>
    <row r="1231" spans="1:17" x14ac:dyDescent="0.2">
      <c r="B1231" t="s">
        <v>280</v>
      </c>
      <c r="C1231">
        <v>278</v>
      </c>
      <c r="D1231">
        <v>279</v>
      </c>
      <c r="E1231">
        <v>277</v>
      </c>
      <c r="F1231">
        <v>279</v>
      </c>
      <c r="G1231">
        <v>282</v>
      </c>
      <c r="H1231">
        <v>282</v>
      </c>
      <c r="I1231">
        <v>287</v>
      </c>
      <c r="J1231">
        <v>293</v>
      </c>
      <c r="K1231">
        <v>299</v>
      </c>
      <c r="L1231">
        <v>299</v>
      </c>
      <c r="M1231">
        <v>316</v>
      </c>
      <c r="N1231">
        <v>325</v>
      </c>
      <c r="O1231" s="173">
        <f t="shared" si="272"/>
        <v>291.33333333333331</v>
      </c>
      <c r="P1231" s="173">
        <f t="shared" si="273"/>
        <v>39.499999999999972</v>
      </c>
      <c r="Q1231" s="177">
        <f t="shared" si="274"/>
        <v>0.15684976836532086</v>
      </c>
    </row>
    <row r="1232" spans="1:17" x14ac:dyDescent="0.2">
      <c r="B1232" t="s">
        <v>290</v>
      </c>
      <c r="C1232">
        <v>335</v>
      </c>
      <c r="D1232">
        <v>349</v>
      </c>
      <c r="E1232">
        <v>352</v>
      </c>
      <c r="F1232">
        <v>352</v>
      </c>
      <c r="G1232">
        <v>348</v>
      </c>
      <c r="H1232">
        <v>363</v>
      </c>
      <c r="I1232">
        <v>362</v>
      </c>
      <c r="J1232">
        <v>370</v>
      </c>
      <c r="K1232">
        <v>376</v>
      </c>
      <c r="L1232">
        <v>393</v>
      </c>
      <c r="M1232">
        <v>401</v>
      </c>
      <c r="N1232">
        <v>400</v>
      </c>
      <c r="O1232" s="173">
        <f t="shared" si="272"/>
        <v>366.75</v>
      </c>
      <c r="P1232" s="173">
        <f t="shared" si="273"/>
        <v>75.416666666666686</v>
      </c>
      <c r="Q1232" s="177">
        <f t="shared" si="274"/>
        <v>0.25886727688787192</v>
      </c>
    </row>
    <row r="1233" spans="1:17" x14ac:dyDescent="0.2">
      <c r="B1233" t="s">
        <v>293</v>
      </c>
      <c r="C1233">
        <v>397</v>
      </c>
      <c r="D1233">
        <v>402</v>
      </c>
      <c r="E1233">
        <v>398</v>
      </c>
      <c r="F1233">
        <v>408</v>
      </c>
      <c r="G1233">
        <v>409</v>
      </c>
      <c r="H1233">
        <v>416</v>
      </c>
      <c r="I1233">
        <v>415</v>
      </c>
      <c r="J1233">
        <v>414</v>
      </c>
      <c r="K1233">
        <v>405</v>
      </c>
      <c r="L1233">
        <v>486</v>
      </c>
      <c r="M1233">
        <v>472</v>
      </c>
      <c r="N1233">
        <v>409</v>
      </c>
      <c r="O1233" s="173">
        <f t="shared" si="272"/>
        <v>419.25</v>
      </c>
      <c r="P1233" s="173">
        <f t="shared" si="273"/>
        <v>52.5</v>
      </c>
      <c r="Q1233" s="177">
        <f t="shared" si="274"/>
        <v>0.14314928425357873</v>
      </c>
    </row>
    <row r="1234" spans="1:17" x14ac:dyDescent="0.2">
      <c r="B1234" t="s">
        <v>294</v>
      </c>
      <c r="C1234">
        <v>426</v>
      </c>
      <c r="D1234">
        <v>431</v>
      </c>
      <c r="E1234">
        <v>506</v>
      </c>
      <c r="F1234">
        <v>455</v>
      </c>
      <c r="G1234">
        <v>489</v>
      </c>
      <c r="H1234">
        <v>513</v>
      </c>
      <c r="I1234">
        <v>514</v>
      </c>
      <c r="J1234">
        <v>518</v>
      </c>
      <c r="K1234">
        <v>505</v>
      </c>
      <c r="L1234">
        <v>502</v>
      </c>
      <c r="M1234">
        <v>516</v>
      </c>
      <c r="N1234">
        <v>530</v>
      </c>
      <c r="O1234" s="173">
        <f t="shared" si="272"/>
        <v>492.08333333333331</v>
      </c>
      <c r="P1234" s="173">
        <f t="shared" si="273"/>
        <v>72.833333333333314</v>
      </c>
      <c r="Q1234" s="177">
        <f t="shared" ref="Q1234:Q1239" si="275">SUM(P1234/O1233)</f>
        <v>0.17372291790896438</v>
      </c>
    </row>
    <row r="1235" spans="1:17" x14ac:dyDescent="0.2">
      <c r="B1235" t="s">
        <v>295</v>
      </c>
      <c r="C1235">
        <v>482</v>
      </c>
      <c r="D1235">
        <v>466</v>
      </c>
      <c r="E1235">
        <v>463</v>
      </c>
      <c r="F1235">
        <v>466</v>
      </c>
      <c r="G1235">
        <v>455</v>
      </c>
      <c r="H1235">
        <v>458</v>
      </c>
      <c r="I1235">
        <v>448</v>
      </c>
      <c r="J1235">
        <v>451</v>
      </c>
      <c r="K1235">
        <v>454</v>
      </c>
      <c r="L1235">
        <v>449</v>
      </c>
      <c r="M1235">
        <v>443</v>
      </c>
      <c r="N1235">
        <v>447</v>
      </c>
      <c r="O1235" s="173">
        <f>SUM(C1235:N1235)/12</f>
        <v>456.83333333333331</v>
      </c>
      <c r="P1235" s="173">
        <f>SUM(O1235-O1234)</f>
        <v>-35.25</v>
      </c>
      <c r="Q1235" s="177">
        <f t="shared" si="275"/>
        <v>-7.1634208298052504E-2</v>
      </c>
    </row>
    <row r="1236" spans="1:17" x14ac:dyDescent="0.2">
      <c r="B1236" t="s">
        <v>335</v>
      </c>
      <c r="C1236">
        <v>441</v>
      </c>
      <c r="D1236">
        <v>439</v>
      </c>
      <c r="E1236">
        <v>439</v>
      </c>
      <c r="F1236">
        <v>426</v>
      </c>
      <c r="G1236">
        <v>432</v>
      </c>
      <c r="H1236">
        <v>465</v>
      </c>
      <c r="I1236">
        <v>452</v>
      </c>
      <c r="J1236">
        <v>441</v>
      </c>
      <c r="K1236">
        <v>443</v>
      </c>
      <c r="L1236">
        <v>462</v>
      </c>
      <c r="M1236">
        <v>480</v>
      </c>
      <c r="N1236">
        <v>467</v>
      </c>
      <c r="O1236" s="173">
        <f>SUM(C1236:N1236)/12</f>
        <v>448.91666666666669</v>
      </c>
      <c r="P1236" s="173">
        <f>SUM(O1236-O1235)</f>
        <v>-7.9166666666666288</v>
      </c>
      <c r="Q1236" s="177">
        <f t="shared" si="275"/>
        <v>-1.7329441809558473E-2</v>
      </c>
    </row>
    <row r="1237" spans="1:17" x14ac:dyDescent="0.2">
      <c r="B1237" t="s">
        <v>358</v>
      </c>
      <c r="C1237">
        <v>465</v>
      </c>
      <c r="D1237">
        <v>456</v>
      </c>
      <c r="E1237">
        <v>455</v>
      </c>
      <c r="F1237">
        <v>464</v>
      </c>
      <c r="G1237">
        <v>461</v>
      </c>
      <c r="H1237">
        <v>470</v>
      </c>
      <c r="I1237">
        <v>443</v>
      </c>
      <c r="J1237">
        <v>469</v>
      </c>
      <c r="K1237">
        <v>478</v>
      </c>
      <c r="L1237">
        <v>471</v>
      </c>
      <c r="M1237">
        <v>457</v>
      </c>
      <c r="N1237">
        <v>468</v>
      </c>
      <c r="O1237" s="173">
        <f>SUM(C1237:N1237)/12</f>
        <v>463.08333333333331</v>
      </c>
      <c r="P1237" s="173">
        <f>SUM(O1237-O1236)</f>
        <v>14.166666666666629</v>
      </c>
      <c r="Q1237" s="177">
        <f t="shared" si="275"/>
        <v>3.1557453127900419E-2</v>
      </c>
    </row>
    <row r="1238" spans="1:17" x14ac:dyDescent="0.2">
      <c r="B1238" t="s">
        <v>437</v>
      </c>
      <c r="C1238">
        <v>486</v>
      </c>
      <c r="D1238">
        <v>496</v>
      </c>
      <c r="E1238">
        <v>489</v>
      </c>
      <c r="F1238">
        <v>495</v>
      </c>
      <c r="G1238">
        <v>495</v>
      </c>
      <c r="H1238">
        <v>495</v>
      </c>
      <c r="I1238">
        <v>495</v>
      </c>
      <c r="J1238">
        <v>500</v>
      </c>
      <c r="K1238">
        <v>502</v>
      </c>
      <c r="L1238">
        <v>508</v>
      </c>
      <c r="M1238">
        <v>497</v>
      </c>
      <c r="N1238">
        <v>504</v>
      </c>
      <c r="O1238" s="173">
        <f>SUM(C1238:N1238)/12</f>
        <v>496.83333333333331</v>
      </c>
      <c r="P1238" s="173">
        <f>SUM(O1238-O1237)</f>
        <v>33.75</v>
      </c>
      <c r="Q1238" s="177">
        <f t="shared" si="275"/>
        <v>7.2881050926759047E-2</v>
      </c>
    </row>
    <row r="1239" spans="1:17" x14ac:dyDescent="0.2">
      <c r="B1239" t="s">
        <v>471</v>
      </c>
      <c r="C1239">
        <v>496</v>
      </c>
      <c r="D1239">
        <v>494</v>
      </c>
      <c r="E1239">
        <v>478</v>
      </c>
      <c r="F1239">
        <v>497</v>
      </c>
      <c r="G1239">
        <v>499</v>
      </c>
      <c r="H1239">
        <v>494</v>
      </c>
      <c r="I1239">
        <v>489</v>
      </c>
      <c r="J1239">
        <v>495</v>
      </c>
      <c r="K1239">
        <v>490</v>
      </c>
      <c r="L1239">
        <v>488</v>
      </c>
      <c r="M1239">
        <v>497</v>
      </c>
      <c r="N1239">
        <v>488</v>
      </c>
      <c r="O1239" s="173">
        <f>SUM(C1239:N1239)/12</f>
        <v>492.08333333333331</v>
      </c>
      <c r="P1239" s="173">
        <f>SUM(O1239-O1238)</f>
        <v>-4.75</v>
      </c>
      <c r="Q1239" s="177">
        <f t="shared" si="275"/>
        <v>-9.5605501509560559E-3</v>
      </c>
    </row>
    <row r="1240" spans="1:17" x14ac:dyDescent="0.2">
      <c r="B1240" t="s">
        <v>537</v>
      </c>
      <c r="C1240">
        <v>487</v>
      </c>
      <c r="D1240">
        <v>474</v>
      </c>
      <c r="O1240" s="173"/>
      <c r="P1240" s="173"/>
      <c r="Q1240" s="177"/>
    </row>
    <row r="1241" spans="1:17" ht="25.5" x14ac:dyDescent="0.2">
      <c r="A1241" s="175" t="s">
        <v>445</v>
      </c>
      <c r="B1241" s="600" t="s">
        <v>418</v>
      </c>
      <c r="C1241" s="601" t="s">
        <v>419</v>
      </c>
      <c r="D1241" s="601" t="s">
        <v>420</v>
      </c>
      <c r="E1241" s="601" t="s">
        <v>421</v>
      </c>
      <c r="F1241" s="601" t="s">
        <v>422</v>
      </c>
      <c r="G1241" s="601" t="s">
        <v>423</v>
      </c>
      <c r="H1241" s="601" t="s">
        <v>424</v>
      </c>
      <c r="I1241" s="601" t="s">
        <v>425</v>
      </c>
      <c r="J1241" s="601" t="s">
        <v>426</v>
      </c>
      <c r="K1241" s="601" t="s">
        <v>427</v>
      </c>
      <c r="L1241" s="601" t="s">
        <v>428</v>
      </c>
      <c r="M1241" s="601" t="s">
        <v>429</v>
      </c>
      <c r="N1241" s="601" t="s">
        <v>430</v>
      </c>
    </row>
    <row r="1242" spans="1:17" x14ac:dyDescent="0.2">
      <c r="B1242" t="s">
        <v>434</v>
      </c>
      <c r="C1242">
        <v>173</v>
      </c>
      <c r="D1242">
        <v>167</v>
      </c>
      <c r="E1242">
        <v>163</v>
      </c>
      <c r="F1242">
        <v>169</v>
      </c>
      <c r="G1242">
        <v>161</v>
      </c>
      <c r="H1242">
        <v>164</v>
      </c>
      <c r="I1242">
        <v>156</v>
      </c>
      <c r="J1242">
        <v>157</v>
      </c>
      <c r="K1242">
        <v>148</v>
      </c>
      <c r="L1242">
        <v>156</v>
      </c>
      <c r="M1242">
        <v>171</v>
      </c>
      <c r="N1242">
        <v>177</v>
      </c>
      <c r="O1242" s="173">
        <f t="shared" ref="O1242:O1250" si="276">SUM(C1242:N1242)/12</f>
        <v>163.5</v>
      </c>
      <c r="P1242" s="173"/>
    </row>
    <row r="1243" spans="1:17" x14ac:dyDescent="0.2">
      <c r="B1243" t="s">
        <v>435</v>
      </c>
      <c r="C1243">
        <v>169</v>
      </c>
      <c r="D1243">
        <v>160</v>
      </c>
      <c r="E1243">
        <v>150</v>
      </c>
      <c r="F1243">
        <v>143</v>
      </c>
      <c r="G1243">
        <v>143</v>
      </c>
      <c r="H1243">
        <v>140</v>
      </c>
      <c r="I1243">
        <v>144</v>
      </c>
      <c r="J1243">
        <v>152</v>
      </c>
      <c r="K1243">
        <v>152</v>
      </c>
      <c r="L1243">
        <v>143</v>
      </c>
      <c r="M1243">
        <v>151</v>
      </c>
      <c r="N1243">
        <v>152</v>
      </c>
      <c r="O1243" s="173">
        <f t="shared" si="276"/>
        <v>149.91666666666666</v>
      </c>
      <c r="P1243" s="173">
        <f t="shared" ref="P1243:P1250" si="277">SUM(O1243-O1242)</f>
        <v>-13.583333333333343</v>
      </c>
      <c r="Q1243" s="177">
        <f t="shared" ref="Q1243:Q1249" si="278">SUM(P1243/O1242)</f>
        <v>-8.3078491335372123E-2</v>
      </c>
    </row>
    <row r="1244" spans="1:17" x14ac:dyDescent="0.2">
      <c r="B1244" t="s">
        <v>436</v>
      </c>
      <c r="C1244">
        <v>144</v>
      </c>
      <c r="D1244">
        <v>141</v>
      </c>
      <c r="E1244">
        <v>140</v>
      </c>
      <c r="F1244">
        <v>142</v>
      </c>
      <c r="G1244">
        <v>138</v>
      </c>
      <c r="H1244">
        <v>143</v>
      </c>
      <c r="I1244">
        <v>143</v>
      </c>
      <c r="J1244">
        <v>152</v>
      </c>
      <c r="K1244">
        <v>157</v>
      </c>
      <c r="L1244">
        <v>162</v>
      </c>
      <c r="M1244">
        <v>167</v>
      </c>
      <c r="N1244">
        <v>172</v>
      </c>
      <c r="O1244" s="173">
        <f t="shared" si="276"/>
        <v>150.08333333333334</v>
      </c>
      <c r="P1244" s="173">
        <f t="shared" si="277"/>
        <v>0.16666666666668561</v>
      </c>
      <c r="Q1244" s="177">
        <f t="shared" si="278"/>
        <v>1.1117287381880085E-3</v>
      </c>
    </row>
    <row r="1245" spans="1:17" x14ac:dyDescent="0.2">
      <c r="B1245" t="s">
        <v>260</v>
      </c>
      <c r="C1245">
        <v>175</v>
      </c>
      <c r="D1245">
        <v>144</v>
      </c>
      <c r="E1245">
        <v>144</v>
      </c>
      <c r="F1245">
        <v>144</v>
      </c>
      <c r="G1245">
        <v>153</v>
      </c>
      <c r="H1245">
        <v>153</v>
      </c>
      <c r="I1245">
        <v>153</v>
      </c>
      <c r="J1245">
        <v>153</v>
      </c>
      <c r="K1245">
        <v>153</v>
      </c>
      <c r="L1245">
        <v>162</v>
      </c>
      <c r="M1245">
        <v>167</v>
      </c>
      <c r="N1245">
        <v>172</v>
      </c>
      <c r="O1245" s="173">
        <f t="shared" si="276"/>
        <v>156.08333333333334</v>
      </c>
      <c r="P1245" s="173">
        <f t="shared" si="277"/>
        <v>6</v>
      </c>
      <c r="Q1245" s="177">
        <f t="shared" si="278"/>
        <v>3.9977790116601887E-2</v>
      </c>
    </row>
    <row r="1246" spans="1:17" x14ac:dyDescent="0.2">
      <c r="B1246" t="s">
        <v>259</v>
      </c>
      <c r="C1246">
        <v>189</v>
      </c>
      <c r="D1246">
        <v>147</v>
      </c>
      <c r="E1246">
        <v>150</v>
      </c>
      <c r="F1246">
        <v>149</v>
      </c>
      <c r="G1246">
        <v>143</v>
      </c>
      <c r="H1246">
        <v>144</v>
      </c>
      <c r="I1246">
        <v>145</v>
      </c>
      <c r="J1246">
        <v>150</v>
      </c>
      <c r="K1246">
        <v>156</v>
      </c>
      <c r="L1246">
        <v>156</v>
      </c>
      <c r="M1246">
        <v>137</v>
      </c>
      <c r="N1246">
        <v>137</v>
      </c>
      <c r="O1246" s="173">
        <f t="shared" si="276"/>
        <v>150.25</v>
      </c>
      <c r="P1246" s="173">
        <f t="shared" si="277"/>
        <v>-5.8333333333333428</v>
      </c>
      <c r="Q1246" s="177">
        <f t="shared" si="278"/>
        <v>-3.7373198077949872E-2</v>
      </c>
    </row>
    <row r="1247" spans="1:17" x14ac:dyDescent="0.2">
      <c r="B1247" t="s">
        <v>280</v>
      </c>
      <c r="C1247">
        <v>121</v>
      </c>
      <c r="D1247">
        <v>120</v>
      </c>
      <c r="E1247">
        <v>127</v>
      </c>
      <c r="F1247">
        <v>130</v>
      </c>
      <c r="G1247">
        <v>134</v>
      </c>
      <c r="H1247">
        <v>143</v>
      </c>
      <c r="I1247">
        <v>142</v>
      </c>
      <c r="J1247">
        <v>138</v>
      </c>
      <c r="K1247">
        <v>139</v>
      </c>
      <c r="L1247">
        <v>146</v>
      </c>
      <c r="M1247">
        <v>148</v>
      </c>
      <c r="N1247">
        <v>147</v>
      </c>
      <c r="O1247" s="173">
        <f t="shared" si="276"/>
        <v>136.25</v>
      </c>
      <c r="P1247" s="173">
        <f t="shared" si="277"/>
        <v>-14</v>
      </c>
      <c r="Q1247" s="177">
        <f t="shared" si="278"/>
        <v>-9.3178036605657238E-2</v>
      </c>
    </row>
    <row r="1248" spans="1:17" x14ac:dyDescent="0.2">
      <c r="B1248" t="s">
        <v>290</v>
      </c>
      <c r="C1248">
        <v>146</v>
      </c>
      <c r="D1248">
        <v>146</v>
      </c>
      <c r="E1248">
        <v>146</v>
      </c>
      <c r="F1248">
        <v>152</v>
      </c>
      <c r="G1248">
        <v>150</v>
      </c>
      <c r="H1248">
        <v>141</v>
      </c>
      <c r="I1248">
        <v>136</v>
      </c>
      <c r="J1248">
        <v>139</v>
      </c>
      <c r="K1248">
        <v>141</v>
      </c>
      <c r="L1248">
        <v>149</v>
      </c>
      <c r="M1248">
        <v>155</v>
      </c>
      <c r="N1248">
        <v>142</v>
      </c>
      <c r="O1248" s="173">
        <f t="shared" si="276"/>
        <v>145.25</v>
      </c>
      <c r="P1248" s="173">
        <f t="shared" si="277"/>
        <v>9</v>
      </c>
      <c r="Q1248" s="177">
        <f t="shared" si="278"/>
        <v>6.6055045871559637E-2</v>
      </c>
    </row>
    <row r="1249" spans="1:17" x14ac:dyDescent="0.2">
      <c r="B1249" t="s">
        <v>293</v>
      </c>
      <c r="C1249">
        <v>148</v>
      </c>
      <c r="D1249">
        <v>149</v>
      </c>
      <c r="E1249">
        <v>149</v>
      </c>
      <c r="F1249">
        <v>151</v>
      </c>
      <c r="G1249">
        <v>139</v>
      </c>
      <c r="H1249">
        <v>141</v>
      </c>
      <c r="I1249">
        <v>136</v>
      </c>
      <c r="J1249">
        <v>148</v>
      </c>
      <c r="K1249">
        <v>146</v>
      </c>
      <c r="L1249">
        <v>210</v>
      </c>
      <c r="M1249">
        <v>211</v>
      </c>
      <c r="N1249">
        <v>152</v>
      </c>
      <c r="O1249" s="173">
        <f t="shared" si="276"/>
        <v>156.66666666666666</v>
      </c>
      <c r="P1249" s="173">
        <f t="shared" si="277"/>
        <v>11.416666666666657</v>
      </c>
      <c r="Q1249" s="177">
        <f t="shared" si="278"/>
        <v>7.8600114744692987E-2</v>
      </c>
    </row>
    <row r="1250" spans="1:17" x14ac:dyDescent="0.2">
      <c r="B1250" t="s">
        <v>294</v>
      </c>
      <c r="C1250">
        <v>146</v>
      </c>
      <c r="D1250">
        <v>150</v>
      </c>
      <c r="E1250">
        <v>146</v>
      </c>
      <c r="F1250">
        <v>146</v>
      </c>
      <c r="G1250">
        <v>114</v>
      </c>
      <c r="H1250">
        <v>99</v>
      </c>
      <c r="I1250">
        <v>169</v>
      </c>
      <c r="J1250">
        <v>145</v>
      </c>
      <c r="K1250">
        <v>145</v>
      </c>
      <c r="L1250">
        <v>145</v>
      </c>
      <c r="M1250">
        <v>139</v>
      </c>
      <c r="N1250">
        <v>138</v>
      </c>
      <c r="O1250" s="173">
        <f t="shared" si="276"/>
        <v>140.16666666666666</v>
      </c>
      <c r="P1250" s="173">
        <f t="shared" si="277"/>
        <v>-16.5</v>
      </c>
      <c r="Q1250" s="177">
        <f t="shared" ref="Q1250:Q1255" si="279">SUM(P1250/O1249)</f>
        <v>-0.10531914893617023</v>
      </c>
    </row>
    <row r="1251" spans="1:17" x14ac:dyDescent="0.2">
      <c r="B1251" t="s">
        <v>295</v>
      </c>
      <c r="C1251">
        <v>133</v>
      </c>
      <c r="D1251">
        <v>135</v>
      </c>
      <c r="E1251">
        <v>136</v>
      </c>
      <c r="F1251">
        <v>143</v>
      </c>
      <c r="G1251">
        <v>140</v>
      </c>
      <c r="H1251">
        <v>144</v>
      </c>
      <c r="I1251">
        <v>145</v>
      </c>
      <c r="J1251">
        <v>144</v>
      </c>
      <c r="K1251">
        <v>166</v>
      </c>
      <c r="L1251">
        <v>162</v>
      </c>
      <c r="M1251">
        <v>166</v>
      </c>
      <c r="N1251">
        <v>161</v>
      </c>
      <c r="O1251" s="173">
        <f>SUM(C1251:N1251)/12</f>
        <v>147.91666666666666</v>
      </c>
      <c r="P1251" s="173">
        <f>SUM(O1251-O1250)</f>
        <v>7.75</v>
      </c>
      <c r="Q1251" s="177">
        <f t="shared" si="279"/>
        <v>5.5291319857312726E-2</v>
      </c>
    </row>
    <row r="1252" spans="1:17" x14ac:dyDescent="0.2">
      <c r="B1252" t="s">
        <v>335</v>
      </c>
      <c r="C1252">
        <v>159</v>
      </c>
      <c r="D1252">
        <v>157</v>
      </c>
      <c r="E1252">
        <v>154</v>
      </c>
      <c r="F1252">
        <v>156</v>
      </c>
      <c r="G1252">
        <v>155</v>
      </c>
      <c r="H1252">
        <v>151</v>
      </c>
      <c r="I1252">
        <v>152</v>
      </c>
      <c r="J1252">
        <v>148</v>
      </c>
      <c r="K1252">
        <v>152</v>
      </c>
      <c r="L1252">
        <v>155</v>
      </c>
      <c r="M1252">
        <v>161</v>
      </c>
      <c r="N1252">
        <v>156</v>
      </c>
      <c r="O1252" s="173">
        <f>SUM(C1252:N1252)/12</f>
        <v>154.66666666666666</v>
      </c>
      <c r="P1252" s="173">
        <f>SUM(O1252-O1251)</f>
        <v>6.75</v>
      </c>
      <c r="Q1252" s="177">
        <f t="shared" si="279"/>
        <v>4.5633802816901409E-2</v>
      </c>
    </row>
    <row r="1253" spans="1:17" x14ac:dyDescent="0.2">
      <c r="B1253" t="s">
        <v>358</v>
      </c>
      <c r="C1253">
        <v>150</v>
      </c>
      <c r="D1253">
        <v>158</v>
      </c>
      <c r="E1253">
        <v>160</v>
      </c>
      <c r="F1253">
        <v>142</v>
      </c>
      <c r="G1253">
        <v>141</v>
      </c>
      <c r="H1253">
        <v>138</v>
      </c>
      <c r="I1253">
        <v>139</v>
      </c>
      <c r="J1253">
        <v>136</v>
      </c>
      <c r="K1253">
        <v>134</v>
      </c>
      <c r="L1253">
        <v>142</v>
      </c>
      <c r="M1253">
        <v>143</v>
      </c>
      <c r="N1253">
        <v>135</v>
      </c>
      <c r="O1253" s="173">
        <f>SUM(C1253:N1253)/12</f>
        <v>143.16666666666666</v>
      </c>
      <c r="P1253" s="173">
        <f>SUM(O1253-O1252)</f>
        <v>-11.5</v>
      </c>
      <c r="Q1253" s="177">
        <f t="shared" si="279"/>
        <v>-7.4353448275862072E-2</v>
      </c>
    </row>
    <row r="1254" spans="1:17" x14ac:dyDescent="0.2">
      <c r="B1254" t="s">
        <v>437</v>
      </c>
      <c r="C1254">
        <v>137</v>
      </c>
      <c r="D1254">
        <v>145</v>
      </c>
      <c r="E1254">
        <v>146</v>
      </c>
      <c r="F1254">
        <v>150</v>
      </c>
      <c r="G1254">
        <v>146</v>
      </c>
      <c r="H1254">
        <v>138</v>
      </c>
      <c r="I1254">
        <v>137</v>
      </c>
      <c r="J1254">
        <v>135</v>
      </c>
      <c r="K1254">
        <v>138</v>
      </c>
      <c r="L1254">
        <v>141</v>
      </c>
      <c r="M1254">
        <v>147</v>
      </c>
      <c r="N1254">
        <v>140</v>
      </c>
      <c r="O1254" s="173">
        <f>SUM(C1254:N1254)/12</f>
        <v>141.66666666666666</v>
      </c>
      <c r="P1254" s="173">
        <f>SUM(O1254-O1253)</f>
        <v>-1.5</v>
      </c>
      <c r="Q1254" s="177">
        <f t="shared" si="279"/>
        <v>-1.0477299185098952E-2</v>
      </c>
    </row>
    <row r="1255" spans="1:17" x14ac:dyDescent="0.2">
      <c r="B1255" t="s">
        <v>471</v>
      </c>
      <c r="C1255">
        <v>140</v>
      </c>
      <c r="D1255">
        <v>137</v>
      </c>
      <c r="E1255">
        <v>119</v>
      </c>
      <c r="F1255">
        <v>113</v>
      </c>
      <c r="G1255">
        <v>111</v>
      </c>
      <c r="H1255">
        <v>112</v>
      </c>
      <c r="I1255">
        <v>117</v>
      </c>
      <c r="J1255">
        <v>109</v>
      </c>
      <c r="K1255">
        <v>106</v>
      </c>
      <c r="L1255">
        <v>117</v>
      </c>
      <c r="M1255">
        <v>122</v>
      </c>
      <c r="N1255">
        <v>124</v>
      </c>
      <c r="O1255" s="173">
        <f>SUM(C1255:N1255)/12</f>
        <v>118.91666666666667</v>
      </c>
      <c r="P1255" s="173">
        <f>SUM(O1255-O1254)</f>
        <v>-22.749999999999986</v>
      </c>
      <c r="Q1255" s="177">
        <f t="shared" si="279"/>
        <v>-0.16058823529411756</v>
      </c>
    </row>
    <row r="1256" spans="1:17" x14ac:dyDescent="0.2">
      <c r="B1256" t="s">
        <v>537</v>
      </c>
      <c r="C1256">
        <v>138</v>
      </c>
      <c r="D1256">
        <v>145</v>
      </c>
      <c r="O1256" s="173"/>
      <c r="P1256" s="173"/>
      <c r="Q1256" s="177"/>
    </row>
    <row r="1257" spans="1:17" ht="25.5" x14ac:dyDescent="0.2">
      <c r="A1257" s="175" t="s">
        <v>446</v>
      </c>
      <c r="B1257" s="600" t="s">
        <v>418</v>
      </c>
      <c r="C1257" s="601" t="s">
        <v>419</v>
      </c>
      <c r="D1257" s="601" t="s">
        <v>420</v>
      </c>
      <c r="E1257" s="601" t="s">
        <v>421</v>
      </c>
      <c r="F1257" s="601" t="s">
        <v>422</v>
      </c>
      <c r="G1257" s="601" t="s">
        <v>423</v>
      </c>
      <c r="H1257" s="601" t="s">
        <v>424</v>
      </c>
      <c r="I1257" s="601" t="s">
        <v>425</v>
      </c>
      <c r="J1257" s="601" t="s">
        <v>426</v>
      </c>
      <c r="K1257" s="601" t="s">
        <v>427</v>
      </c>
      <c r="L1257" s="601" t="s">
        <v>428</v>
      </c>
      <c r="M1257" s="601" t="s">
        <v>429</v>
      </c>
      <c r="N1257" s="601" t="s">
        <v>430</v>
      </c>
    </row>
    <row r="1258" spans="1:17" x14ac:dyDescent="0.2">
      <c r="B1258" t="s">
        <v>434</v>
      </c>
      <c r="C1258">
        <v>88</v>
      </c>
      <c r="D1258">
        <v>88</v>
      </c>
      <c r="E1258">
        <v>91</v>
      </c>
      <c r="F1258">
        <v>89</v>
      </c>
      <c r="G1258">
        <v>92</v>
      </c>
      <c r="H1258">
        <v>87</v>
      </c>
      <c r="I1258">
        <v>92</v>
      </c>
      <c r="J1258">
        <v>98</v>
      </c>
      <c r="K1258">
        <v>100</v>
      </c>
      <c r="L1258">
        <v>101</v>
      </c>
      <c r="M1258">
        <v>101</v>
      </c>
      <c r="N1258">
        <v>103</v>
      </c>
      <c r="O1258" s="173">
        <f t="shared" ref="O1258:O1266" si="280">SUM(C1258:N1258)/12</f>
        <v>94.166666666666671</v>
      </c>
      <c r="P1258" s="173"/>
    </row>
    <row r="1259" spans="1:17" x14ac:dyDescent="0.2">
      <c r="B1259" t="s">
        <v>435</v>
      </c>
      <c r="C1259">
        <v>99</v>
      </c>
      <c r="D1259">
        <v>99</v>
      </c>
      <c r="E1259">
        <v>93</v>
      </c>
      <c r="F1259">
        <v>96</v>
      </c>
      <c r="G1259">
        <v>87</v>
      </c>
      <c r="H1259">
        <v>98</v>
      </c>
      <c r="I1259">
        <v>92</v>
      </c>
      <c r="J1259">
        <v>97</v>
      </c>
      <c r="K1259">
        <v>96</v>
      </c>
      <c r="L1259">
        <v>96</v>
      </c>
      <c r="M1259">
        <v>99</v>
      </c>
      <c r="N1259">
        <v>104</v>
      </c>
      <c r="O1259" s="173">
        <f t="shared" si="280"/>
        <v>96.333333333333329</v>
      </c>
      <c r="P1259" s="173">
        <f t="shared" ref="P1259:P1266" si="281">SUM(O1259-O1258)</f>
        <v>2.1666666666666572</v>
      </c>
      <c r="Q1259" s="177">
        <f t="shared" ref="Q1259:Q1265" si="282">SUM(P1259/O1258)</f>
        <v>2.3008849557522023E-2</v>
      </c>
    </row>
    <row r="1260" spans="1:17" x14ac:dyDescent="0.2">
      <c r="B1260" t="s">
        <v>436</v>
      </c>
      <c r="C1260">
        <v>103</v>
      </c>
      <c r="D1260">
        <v>108</v>
      </c>
      <c r="E1260">
        <v>99</v>
      </c>
      <c r="F1260">
        <v>108</v>
      </c>
      <c r="G1260">
        <v>104</v>
      </c>
      <c r="H1260">
        <v>89</v>
      </c>
      <c r="I1260">
        <v>81</v>
      </c>
      <c r="J1260">
        <v>73</v>
      </c>
      <c r="K1260">
        <v>71</v>
      </c>
      <c r="L1260">
        <v>75</v>
      </c>
      <c r="M1260">
        <v>110</v>
      </c>
      <c r="N1260">
        <v>120</v>
      </c>
      <c r="O1260" s="173">
        <f t="shared" si="280"/>
        <v>95.083333333333329</v>
      </c>
      <c r="P1260" s="173">
        <f t="shared" si="281"/>
        <v>-1.25</v>
      </c>
      <c r="Q1260" s="177">
        <f t="shared" si="282"/>
        <v>-1.2975778546712804E-2</v>
      </c>
    </row>
    <row r="1261" spans="1:17" x14ac:dyDescent="0.2">
      <c r="B1261" t="s">
        <v>260</v>
      </c>
      <c r="C1261">
        <v>75</v>
      </c>
      <c r="D1261">
        <v>134</v>
      </c>
      <c r="E1261">
        <v>85</v>
      </c>
      <c r="F1261">
        <v>85</v>
      </c>
      <c r="G1261">
        <v>86</v>
      </c>
      <c r="H1261">
        <v>89</v>
      </c>
      <c r="I1261">
        <v>85</v>
      </c>
      <c r="J1261">
        <v>85</v>
      </c>
      <c r="K1261">
        <v>85</v>
      </c>
      <c r="L1261">
        <v>85</v>
      </c>
      <c r="M1261">
        <v>85</v>
      </c>
      <c r="N1261">
        <v>85</v>
      </c>
      <c r="O1261" s="173">
        <f t="shared" si="280"/>
        <v>88.666666666666671</v>
      </c>
      <c r="P1261" s="173">
        <f t="shared" si="281"/>
        <v>-6.4166666666666572</v>
      </c>
      <c r="Q1261" s="177">
        <f t="shared" si="282"/>
        <v>-6.7484662576687018E-2</v>
      </c>
    </row>
    <row r="1262" spans="1:17" x14ac:dyDescent="0.2">
      <c r="B1262" t="s">
        <v>259</v>
      </c>
      <c r="C1262">
        <v>107</v>
      </c>
      <c r="D1262">
        <v>90</v>
      </c>
      <c r="E1262">
        <v>90</v>
      </c>
      <c r="F1262">
        <v>91</v>
      </c>
      <c r="G1262">
        <v>89</v>
      </c>
      <c r="H1262">
        <v>89</v>
      </c>
      <c r="I1262">
        <v>87</v>
      </c>
      <c r="J1262">
        <v>83</v>
      </c>
      <c r="K1262">
        <v>79</v>
      </c>
      <c r="L1262">
        <v>83</v>
      </c>
      <c r="M1262">
        <v>84</v>
      </c>
      <c r="N1262">
        <v>86</v>
      </c>
      <c r="O1262" s="173">
        <f t="shared" si="280"/>
        <v>88.166666666666671</v>
      </c>
      <c r="P1262" s="173">
        <f t="shared" si="281"/>
        <v>-0.5</v>
      </c>
      <c r="Q1262" s="177">
        <f t="shared" si="282"/>
        <v>-5.6390977443609019E-3</v>
      </c>
    </row>
    <row r="1263" spans="1:17" x14ac:dyDescent="0.2">
      <c r="B1263" t="s">
        <v>280</v>
      </c>
      <c r="C1263">
        <v>94</v>
      </c>
      <c r="D1263">
        <v>94</v>
      </c>
      <c r="E1263">
        <v>95</v>
      </c>
      <c r="F1263">
        <v>92</v>
      </c>
      <c r="G1263">
        <v>92</v>
      </c>
      <c r="H1263">
        <v>91</v>
      </c>
      <c r="I1263">
        <v>93</v>
      </c>
      <c r="J1263">
        <v>90</v>
      </c>
      <c r="K1263">
        <v>87</v>
      </c>
      <c r="L1263">
        <v>86</v>
      </c>
      <c r="M1263">
        <v>86</v>
      </c>
      <c r="N1263">
        <v>85</v>
      </c>
      <c r="O1263" s="173">
        <f t="shared" si="280"/>
        <v>90.416666666666671</v>
      </c>
      <c r="P1263" s="173">
        <f t="shared" si="281"/>
        <v>2.25</v>
      </c>
      <c r="Q1263" s="177">
        <f t="shared" si="282"/>
        <v>2.5519848771266538E-2</v>
      </c>
    </row>
    <row r="1264" spans="1:17" x14ac:dyDescent="0.2">
      <c r="B1264" t="s">
        <v>290</v>
      </c>
      <c r="C1264">
        <v>88</v>
      </c>
      <c r="D1264">
        <v>90</v>
      </c>
      <c r="E1264">
        <v>90</v>
      </c>
      <c r="F1264">
        <v>93</v>
      </c>
      <c r="G1264">
        <v>90</v>
      </c>
      <c r="H1264">
        <v>89</v>
      </c>
      <c r="I1264">
        <v>112</v>
      </c>
      <c r="J1264">
        <v>108</v>
      </c>
      <c r="K1264">
        <v>112</v>
      </c>
      <c r="L1264">
        <v>113</v>
      </c>
      <c r="M1264">
        <v>109</v>
      </c>
      <c r="N1264">
        <v>108</v>
      </c>
      <c r="O1264" s="173">
        <f t="shared" si="280"/>
        <v>100.16666666666667</v>
      </c>
      <c r="P1264" s="173">
        <f t="shared" si="281"/>
        <v>9.75</v>
      </c>
      <c r="Q1264" s="177">
        <f t="shared" si="282"/>
        <v>0.10783410138248847</v>
      </c>
    </row>
    <row r="1265" spans="1:17" x14ac:dyDescent="0.2">
      <c r="B1265" t="s">
        <v>293</v>
      </c>
      <c r="C1265">
        <v>107</v>
      </c>
      <c r="D1265">
        <v>106</v>
      </c>
      <c r="E1265">
        <v>105</v>
      </c>
      <c r="F1265">
        <v>96</v>
      </c>
      <c r="G1265">
        <v>99</v>
      </c>
      <c r="H1265">
        <v>101</v>
      </c>
      <c r="I1265">
        <v>103</v>
      </c>
      <c r="J1265">
        <v>103</v>
      </c>
      <c r="K1265">
        <v>100</v>
      </c>
      <c r="L1265">
        <v>113</v>
      </c>
      <c r="M1265">
        <v>118</v>
      </c>
      <c r="N1265">
        <v>104</v>
      </c>
      <c r="O1265" s="173">
        <f t="shared" si="280"/>
        <v>104.58333333333333</v>
      </c>
      <c r="P1265" s="173">
        <f t="shared" si="281"/>
        <v>4.4166666666666572</v>
      </c>
      <c r="Q1265" s="177">
        <f t="shared" si="282"/>
        <v>4.4093178036605563E-2</v>
      </c>
    </row>
    <row r="1266" spans="1:17" x14ac:dyDescent="0.2">
      <c r="B1266" t="s">
        <v>294</v>
      </c>
      <c r="C1266">
        <v>106</v>
      </c>
      <c r="D1266">
        <v>102</v>
      </c>
      <c r="E1266">
        <v>105</v>
      </c>
      <c r="F1266">
        <v>103</v>
      </c>
      <c r="G1266">
        <v>103</v>
      </c>
      <c r="H1266">
        <v>103</v>
      </c>
      <c r="I1266">
        <v>99</v>
      </c>
      <c r="J1266">
        <v>98</v>
      </c>
      <c r="K1266">
        <v>100</v>
      </c>
      <c r="L1266">
        <v>101</v>
      </c>
      <c r="M1266">
        <v>100</v>
      </c>
      <c r="N1266">
        <v>103</v>
      </c>
      <c r="O1266" s="173">
        <f t="shared" si="280"/>
        <v>101.91666666666667</v>
      </c>
      <c r="P1266" s="173">
        <f t="shared" si="281"/>
        <v>-2.6666666666666572</v>
      </c>
      <c r="Q1266" s="177">
        <f t="shared" ref="Q1266:Q1271" si="283">SUM(P1266/O1265)</f>
        <v>-2.5498007968127401E-2</v>
      </c>
    </row>
    <row r="1267" spans="1:17" x14ac:dyDescent="0.2">
      <c r="B1267" t="s">
        <v>295</v>
      </c>
      <c r="C1267">
        <v>96</v>
      </c>
      <c r="D1267">
        <v>95</v>
      </c>
      <c r="E1267">
        <v>92</v>
      </c>
      <c r="F1267">
        <v>93</v>
      </c>
      <c r="G1267">
        <v>90</v>
      </c>
      <c r="H1267">
        <v>90</v>
      </c>
      <c r="I1267">
        <v>90</v>
      </c>
      <c r="J1267">
        <v>90</v>
      </c>
      <c r="K1267">
        <v>91</v>
      </c>
      <c r="L1267">
        <v>90</v>
      </c>
      <c r="M1267">
        <v>75</v>
      </c>
      <c r="N1267">
        <v>74</v>
      </c>
      <c r="O1267" s="173">
        <f>SUM(C1267:N1267)/12</f>
        <v>88.833333333333329</v>
      </c>
      <c r="P1267" s="173">
        <f>SUM(O1267-O1266)</f>
        <v>-13.083333333333343</v>
      </c>
      <c r="Q1267" s="177">
        <f t="shared" si="283"/>
        <v>-0.12837285363859371</v>
      </c>
    </row>
    <row r="1268" spans="1:17" x14ac:dyDescent="0.2">
      <c r="B1268" t="s">
        <v>335</v>
      </c>
      <c r="C1268">
        <v>73</v>
      </c>
      <c r="D1268">
        <v>73</v>
      </c>
      <c r="E1268">
        <v>68</v>
      </c>
      <c r="F1268">
        <v>69</v>
      </c>
      <c r="G1268">
        <v>70</v>
      </c>
      <c r="H1268">
        <v>77</v>
      </c>
      <c r="I1268">
        <v>71</v>
      </c>
      <c r="J1268">
        <v>74</v>
      </c>
      <c r="K1268">
        <v>74</v>
      </c>
      <c r="L1268">
        <v>72</v>
      </c>
      <c r="N1268">
        <v>93</v>
      </c>
      <c r="O1268" s="173">
        <f>SUM(C1268:N1268)/11</f>
        <v>74</v>
      </c>
      <c r="P1268" s="173">
        <f>SUM(O1268-O1267)</f>
        <v>-14.833333333333329</v>
      </c>
      <c r="Q1268" s="177">
        <f t="shared" si="283"/>
        <v>-0.16697936210131328</v>
      </c>
    </row>
    <row r="1269" spans="1:17" x14ac:dyDescent="0.2">
      <c r="B1269" t="s">
        <v>358</v>
      </c>
      <c r="C1269">
        <v>95</v>
      </c>
      <c r="D1269">
        <v>93</v>
      </c>
      <c r="E1269">
        <v>89</v>
      </c>
      <c r="F1269">
        <v>84</v>
      </c>
      <c r="G1269">
        <v>84</v>
      </c>
      <c r="H1269">
        <v>86</v>
      </c>
      <c r="I1269">
        <v>87</v>
      </c>
      <c r="J1269">
        <v>84</v>
      </c>
      <c r="K1269">
        <v>86</v>
      </c>
      <c r="L1269">
        <v>89</v>
      </c>
      <c r="M1269">
        <v>91</v>
      </c>
      <c r="N1269">
        <v>96</v>
      </c>
      <c r="O1269" s="173">
        <f>SUM(C1269:N1269)/12</f>
        <v>88.666666666666671</v>
      </c>
      <c r="P1269" s="173">
        <f>SUM(O1269-O1268)</f>
        <v>14.666666666666671</v>
      </c>
      <c r="Q1269" s="177">
        <f t="shared" si="283"/>
        <v>0.19819819819819826</v>
      </c>
    </row>
    <row r="1270" spans="1:17" x14ac:dyDescent="0.2">
      <c r="B1270" t="s">
        <v>437</v>
      </c>
      <c r="C1270">
        <v>100</v>
      </c>
      <c r="D1270">
        <v>99</v>
      </c>
      <c r="E1270">
        <v>98</v>
      </c>
      <c r="F1270">
        <v>99</v>
      </c>
      <c r="G1270">
        <v>98</v>
      </c>
      <c r="H1270">
        <v>99</v>
      </c>
      <c r="I1270">
        <v>101</v>
      </c>
      <c r="J1270">
        <v>102</v>
      </c>
      <c r="K1270">
        <v>101</v>
      </c>
      <c r="L1270">
        <v>102</v>
      </c>
      <c r="M1270">
        <v>103</v>
      </c>
      <c r="N1270">
        <v>107</v>
      </c>
      <c r="O1270" s="173">
        <f>SUM(C1270:N1270)/12</f>
        <v>100.75</v>
      </c>
      <c r="P1270" s="173">
        <f>SUM(O1270-O1269)</f>
        <v>12.083333333333329</v>
      </c>
      <c r="Q1270" s="177">
        <f t="shared" si="283"/>
        <v>0.13627819548872175</v>
      </c>
    </row>
    <row r="1271" spans="1:17" x14ac:dyDescent="0.2">
      <c r="B1271" t="s">
        <v>471</v>
      </c>
      <c r="C1271">
        <v>108</v>
      </c>
      <c r="D1271">
        <v>108</v>
      </c>
      <c r="E1271">
        <v>109</v>
      </c>
      <c r="F1271">
        <v>106</v>
      </c>
      <c r="G1271">
        <v>102</v>
      </c>
      <c r="H1271">
        <v>100</v>
      </c>
      <c r="I1271">
        <v>97</v>
      </c>
      <c r="J1271">
        <v>94</v>
      </c>
      <c r="K1271">
        <v>98</v>
      </c>
      <c r="L1271">
        <v>100</v>
      </c>
      <c r="M1271">
        <v>105</v>
      </c>
      <c r="N1271">
        <v>101</v>
      </c>
      <c r="O1271" s="173">
        <f>SUM(C1271:N1271)/12</f>
        <v>102.33333333333333</v>
      </c>
      <c r="P1271" s="173">
        <f>SUM(O1271-O1270)</f>
        <v>1.5833333333333286</v>
      </c>
      <c r="Q1271" s="177">
        <f t="shared" si="283"/>
        <v>1.5715467328370508E-2</v>
      </c>
    </row>
    <row r="1272" spans="1:17" x14ac:dyDescent="0.2">
      <c r="B1272" t="s">
        <v>537</v>
      </c>
      <c r="C1272">
        <v>100</v>
      </c>
      <c r="D1272">
        <v>100</v>
      </c>
      <c r="O1272" s="173"/>
      <c r="P1272" s="173"/>
      <c r="Q1272" s="177"/>
    </row>
    <row r="1273" spans="1:17" x14ac:dyDescent="0.2">
      <c r="A1273" s="178"/>
      <c r="B1273" s="178"/>
      <c r="C1273" s="178"/>
      <c r="D1273" s="178"/>
      <c r="E1273" s="178"/>
      <c r="F1273" s="178"/>
      <c r="G1273" s="178"/>
      <c r="H1273" s="178"/>
      <c r="I1273" s="178"/>
      <c r="J1273" s="178"/>
      <c r="K1273" s="178"/>
      <c r="L1273" s="178"/>
      <c r="M1273" s="178"/>
      <c r="N1273" s="178"/>
      <c r="O1273" s="178"/>
      <c r="P1273" s="178"/>
      <c r="Q1273" s="178"/>
    </row>
    <row r="1274" spans="1:17" ht="25.5" x14ac:dyDescent="0.2">
      <c r="A1274" s="175" t="s">
        <v>447</v>
      </c>
      <c r="B1274" s="600" t="s">
        <v>418</v>
      </c>
      <c r="C1274" s="601" t="s">
        <v>419</v>
      </c>
      <c r="D1274" s="601" t="s">
        <v>420</v>
      </c>
      <c r="E1274" s="601" t="s">
        <v>421</v>
      </c>
      <c r="F1274" s="601" t="s">
        <v>422</v>
      </c>
      <c r="G1274" s="601" t="s">
        <v>423</v>
      </c>
      <c r="H1274" s="601" t="s">
        <v>424</v>
      </c>
      <c r="I1274" s="601" t="s">
        <v>425</v>
      </c>
      <c r="J1274" s="601" t="s">
        <v>426</v>
      </c>
      <c r="K1274" s="601" t="s">
        <v>427</v>
      </c>
      <c r="L1274" s="601" t="s">
        <v>428</v>
      </c>
      <c r="M1274" s="601" t="s">
        <v>429</v>
      </c>
      <c r="N1274" s="601" t="s">
        <v>430</v>
      </c>
    </row>
    <row r="1275" spans="1:17" x14ac:dyDescent="0.2">
      <c r="B1275" t="s">
        <v>434</v>
      </c>
      <c r="C1275">
        <v>69</v>
      </c>
      <c r="D1275">
        <v>69</v>
      </c>
      <c r="E1275">
        <v>69</v>
      </c>
      <c r="F1275">
        <v>69</v>
      </c>
      <c r="G1275">
        <v>56</v>
      </c>
      <c r="H1275">
        <v>58</v>
      </c>
      <c r="I1275">
        <v>57</v>
      </c>
      <c r="J1275">
        <v>58</v>
      </c>
      <c r="K1275">
        <v>56</v>
      </c>
      <c r="L1275">
        <v>62</v>
      </c>
      <c r="M1275">
        <v>57</v>
      </c>
      <c r="N1275">
        <v>58</v>
      </c>
      <c r="O1275" s="173">
        <f t="shared" ref="O1275:O1283" si="284">SUM(C1275:N1275)/12</f>
        <v>61.5</v>
      </c>
      <c r="P1275" s="173"/>
    </row>
    <row r="1276" spans="1:17" x14ac:dyDescent="0.2">
      <c r="B1276" t="s">
        <v>435</v>
      </c>
      <c r="C1276">
        <v>52</v>
      </c>
      <c r="D1276">
        <v>56</v>
      </c>
      <c r="E1276">
        <v>51</v>
      </c>
      <c r="F1276">
        <v>57</v>
      </c>
      <c r="G1276">
        <v>60</v>
      </c>
      <c r="H1276">
        <v>58</v>
      </c>
      <c r="I1276">
        <v>62</v>
      </c>
      <c r="J1276">
        <v>63</v>
      </c>
      <c r="K1276">
        <v>59</v>
      </c>
      <c r="L1276">
        <v>59</v>
      </c>
      <c r="M1276">
        <v>62</v>
      </c>
      <c r="N1276">
        <v>60</v>
      </c>
      <c r="O1276" s="173">
        <f t="shared" si="284"/>
        <v>58.25</v>
      </c>
      <c r="P1276" s="173">
        <f t="shared" ref="P1276:P1283" si="285">SUM(O1276-O1275)</f>
        <v>-3.25</v>
      </c>
      <c r="Q1276" s="177">
        <f t="shared" ref="Q1276:Q1282" si="286">SUM(P1276/O1275)</f>
        <v>-5.2845528455284556E-2</v>
      </c>
    </row>
    <row r="1277" spans="1:17" x14ac:dyDescent="0.2">
      <c r="B1277" t="s">
        <v>436</v>
      </c>
      <c r="C1277">
        <v>60</v>
      </c>
      <c r="D1277">
        <v>55</v>
      </c>
      <c r="E1277">
        <v>57</v>
      </c>
      <c r="F1277">
        <v>55</v>
      </c>
      <c r="G1277">
        <v>55</v>
      </c>
      <c r="H1277">
        <v>52</v>
      </c>
      <c r="I1277">
        <v>60</v>
      </c>
      <c r="J1277">
        <v>72</v>
      </c>
      <c r="K1277">
        <v>77</v>
      </c>
      <c r="L1277">
        <v>82</v>
      </c>
      <c r="M1277">
        <v>87</v>
      </c>
      <c r="N1277">
        <v>92</v>
      </c>
      <c r="O1277" s="173">
        <f t="shared" si="284"/>
        <v>67</v>
      </c>
      <c r="P1277" s="173">
        <f t="shared" si="285"/>
        <v>8.75</v>
      </c>
      <c r="Q1277" s="177">
        <f t="shared" si="286"/>
        <v>0.15021459227467812</v>
      </c>
    </row>
    <row r="1278" spans="1:17" x14ac:dyDescent="0.2">
      <c r="B1278" t="s">
        <v>260</v>
      </c>
      <c r="C1278">
        <v>87</v>
      </c>
      <c r="D1278">
        <v>86</v>
      </c>
      <c r="E1278">
        <v>88</v>
      </c>
      <c r="F1278">
        <v>86</v>
      </c>
      <c r="G1278">
        <v>86</v>
      </c>
      <c r="H1278">
        <v>86</v>
      </c>
      <c r="I1278">
        <v>86</v>
      </c>
      <c r="J1278">
        <v>86</v>
      </c>
      <c r="K1278">
        <v>86</v>
      </c>
      <c r="L1278">
        <v>86</v>
      </c>
      <c r="M1278">
        <v>86</v>
      </c>
      <c r="N1278">
        <v>86</v>
      </c>
      <c r="O1278" s="173">
        <f t="shared" si="284"/>
        <v>86.25</v>
      </c>
      <c r="P1278" s="173">
        <f t="shared" si="285"/>
        <v>19.25</v>
      </c>
      <c r="Q1278" s="177">
        <f t="shared" si="286"/>
        <v>0.28731343283582089</v>
      </c>
    </row>
    <row r="1279" spans="1:17" x14ac:dyDescent="0.2">
      <c r="B1279" t="s">
        <v>259</v>
      </c>
      <c r="C1279">
        <v>93</v>
      </c>
      <c r="D1279">
        <v>80</v>
      </c>
      <c r="E1279">
        <v>78</v>
      </c>
      <c r="F1279">
        <v>78</v>
      </c>
      <c r="G1279">
        <v>84</v>
      </c>
      <c r="H1279">
        <v>90</v>
      </c>
      <c r="I1279">
        <v>88</v>
      </c>
      <c r="J1279">
        <v>92</v>
      </c>
      <c r="K1279">
        <v>94</v>
      </c>
      <c r="L1279">
        <v>84</v>
      </c>
      <c r="M1279">
        <v>84</v>
      </c>
      <c r="N1279">
        <v>85</v>
      </c>
      <c r="O1279" s="173">
        <f t="shared" si="284"/>
        <v>85.833333333333329</v>
      </c>
      <c r="P1279" s="173">
        <f t="shared" si="285"/>
        <v>-0.4166666666666714</v>
      </c>
      <c r="Q1279" s="177">
        <f t="shared" si="286"/>
        <v>-4.8309178743961905E-3</v>
      </c>
    </row>
    <row r="1280" spans="1:17" x14ac:dyDescent="0.2">
      <c r="B1280" t="s">
        <v>280</v>
      </c>
      <c r="C1280">
        <v>80</v>
      </c>
      <c r="D1280">
        <v>84</v>
      </c>
      <c r="E1280">
        <v>85</v>
      </c>
      <c r="F1280">
        <v>88</v>
      </c>
      <c r="G1280">
        <v>90</v>
      </c>
      <c r="H1280">
        <v>95</v>
      </c>
      <c r="I1280">
        <v>101</v>
      </c>
      <c r="J1280">
        <v>94</v>
      </c>
      <c r="K1280">
        <v>90</v>
      </c>
      <c r="L1280">
        <v>93</v>
      </c>
      <c r="M1280">
        <v>101</v>
      </c>
      <c r="N1280">
        <v>107</v>
      </c>
      <c r="O1280" s="173">
        <f t="shared" si="284"/>
        <v>92.333333333333329</v>
      </c>
      <c r="P1280" s="173">
        <f t="shared" si="285"/>
        <v>6.5</v>
      </c>
      <c r="Q1280" s="177">
        <f t="shared" si="286"/>
        <v>7.5728155339805828E-2</v>
      </c>
    </row>
    <row r="1281" spans="1:17" x14ac:dyDescent="0.2">
      <c r="B1281" t="s">
        <v>290</v>
      </c>
      <c r="C1281">
        <v>112</v>
      </c>
      <c r="D1281">
        <v>110</v>
      </c>
      <c r="E1281">
        <v>108</v>
      </c>
      <c r="F1281">
        <v>113</v>
      </c>
      <c r="G1281">
        <v>112</v>
      </c>
      <c r="H1281">
        <v>108</v>
      </c>
      <c r="I1281">
        <v>107</v>
      </c>
      <c r="J1281">
        <v>123</v>
      </c>
      <c r="K1281">
        <v>114</v>
      </c>
      <c r="L1281">
        <v>116</v>
      </c>
      <c r="M1281">
        <v>117</v>
      </c>
      <c r="N1281">
        <v>121</v>
      </c>
      <c r="O1281" s="173">
        <f t="shared" si="284"/>
        <v>113.41666666666667</v>
      </c>
      <c r="P1281" s="173">
        <f t="shared" si="285"/>
        <v>21.083333333333343</v>
      </c>
      <c r="Q1281" s="177">
        <f t="shared" si="286"/>
        <v>0.22833935018050552</v>
      </c>
    </row>
    <row r="1282" spans="1:17" x14ac:dyDescent="0.2">
      <c r="B1282" t="s">
        <v>293</v>
      </c>
      <c r="C1282">
        <v>121</v>
      </c>
      <c r="D1282">
        <v>122</v>
      </c>
      <c r="E1282">
        <v>122</v>
      </c>
      <c r="F1282">
        <v>126</v>
      </c>
      <c r="G1282">
        <v>124</v>
      </c>
      <c r="H1282">
        <v>122</v>
      </c>
      <c r="I1282">
        <v>124</v>
      </c>
      <c r="J1282">
        <v>122</v>
      </c>
      <c r="K1282">
        <v>121</v>
      </c>
      <c r="L1282">
        <v>115</v>
      </c>
      <c r="M1282">
        <v>114</v>
      </c>
      <c r="N1282">
        <v>121</v>
      </c>
      <c r="O1282" s="173">
        <f t="shared" si="284"/>
        <v>121.16666666666667</v>
      </c>
      <c r="P1282" s="173">
        <f t="shared" si="285"/>
        <v>7.75</v>
      </c>
      <c r="Q1282" s="177">
        <f t="shared" si="286"/>
        <v>6.8332108743570902E-2</v>
      </c>
    </row>
    <row r="1283" spans="1:17" x14ac:dyDescent="0.2">
      <c r="B1283" t="s">
        <v>294</v>
      </c>
      <c r="C1283">
        <v>99</v>
      </c>
      <c r="D1283">
        <v>100</v>
      </c>
      <c r="E1283">
        <v>107</v>
      </c>
      <c r="F1283">
        <v>104</v>
      </c>
      <c r="G1283">
        <v>103</v>
      </c>
      <c r="H1283">
        <v>100</v>
      </c>
      <c r="I1283">
        <v>101</v>
      </c>
      <c r="J1283">
        <v>98</v>
      </c>
      <c r="K1283">
        <v>92</v>
      </c>
      <c r="L1283">
        <v>85</v>
      </c>
      <c r="M1283">
        <v>92</v>
      </c>
      <c r="N1283">
        <v>88</v>
      </c>
      <c r="O1283" s="173">
        <f t="shared" si="284"/>
        <v>97.416666666666671</v>
      </c>
      <c r="P1283" s="173">
        <f t="shared" si="285"/>
        <v>-23.75</v>
      </c>
      <c r="Q1283" s="177">
        <f t="shared" ref="Q1283:Q1288" si="287">SUM(P1283/O1282)</f>
        <v>-0.19601100412654746</v>
      </c>
    </row>
    <row r="1284" spans="1:17" x14ac:dyDescent="0.2">
      <c r="B1284" t="s">
        <v>295</v>
      </c>
      <c r="C1284">
        <v>79</v>
      </c>
      <c r="D1284">
        <v>82</v>
      </c>
      <c r="E1284">
        <v>82</v>
      </c>
      <c r="F1284">
        <v>78</v>
      </c>
      <c r="G1284">
        <v>79</v>
      </c>
      <c r="H1284">
        <v>83</v>
      </c>
      <c r="I1284">
        <v>84</v>
      </c>
      <c r="J1284">
        <v>90</v>
      </c>
      <c r="K1284">
        <v>95</v>
      </c>
      <c r="L1284">
        <v>94</v>
      </c>
      <c r="M1284">
        <v>94</v>
      </c>
      <c r="N1284">
        <v>72</v>
      </c>
      <c r="O1284" s="173">
        <f>SUM(C1284:N1284)/12</f>
        <v>84.333333333333329</v>
      </c>
      <c r="P1284" s="173">
        <f>SUM(O1284-O1283)</f>
        <v>-13.083333333333343</v>
      </c>
      <c r="Q1284" s="177">
        <f t="shared" si="287"/>
        <v>-0.13430282292557752</v>
      </c>
    </row>
    <row r="1285" spans="1:17" x14ac:dyDescent="0.2">
      <c r="B1285" t="s">
        <v>335</v>
      </c>
      <c r="C1285">
        <v>84</v>
      </c>
      <c r="D1285">
        <v>87</v>
      </c>
      <c r="E1285">
        <v>92</v>
      </c>
      <c r="F1285">
        <v>97</v>
      </c>
      <c r="G1285">
        <v>101</v>
      </c>
      <c r="H1285">
        <v>100</v>
      </c>
      <c r="I1285">
        <v>85</v>
      </c>
      <c r="J1285">
        <v>86</v>
      </c>
      <c r="K1285">
        <v>90</v>
      </c>
      <c r="L1285">
        <v>89</v>
      </c>
      <c r="M1285">
        <v>83</v>
      </c>
      <c r="N1285">
        <v>82</v>
      </c>
      <c r="O1285" s="173">
        <f>SUM(C1285:N1285)/12</f>
        <v>89.666666666666671</v>
      </c>
      <c r="P1285" s="173">
        <f>SUM(O1285-O1284)</f>
        <v>5.3333333333333428</v>
      </c>
      <c r="Q1285" s="177">
        <f t="shared" si="287"/>
        <v>6.324110671936771E-2</v>
      </c>
    </row>
    <row r="1286" spans="1:17" x14ac:dyDescent="0.2">
      <c r="B1286" t="s">
        <v>358</v>
      </c>
      <c r="C1286">
        <v>87</v>
      </c>
      <c r="D1286">
        <v>86</v>
      </c>
      <c r="E1286">
        <v>87</v>
      </c>
      <c r="F1286">
        <v>77</v>
      </c>
      <c r="G1286">
        <v>76</v>
      </c>
      <c r="H1286">
        <v>73</v>
      </c>
      <c r="I1286">
        <v>69</v>
      </c>
      <c r="J1286">
        <v>75</v>
      </c>
      <c r="K1286">
        <v>74</v>
      </c>
      <c r="L1286">
        <v>74</v>
      </c>
      <c r="M1286">
        <v>72</v>
      </c>
      <c r="N1286">
        <v>73</v>
      </c>
      <c r="O1286" s="173">
        <f>SUM(C1286:N1286)/12</f>
        <v>76.916666666666671</v>
      </c>
      <c r="P1286" s="173">
        <f>SUM(O1286-O1285)</f>
        <v>-12.75</v>
      </c>
      <c r="Q1286" s="177">
        <f t="shared" si="287"/>
        <v>-0.14219330855018586</v>
      </c>
    </row>
    <row r="1287" spans="1:17" x14ac:dyDescent="0.2">
      <c r="B1287" t="s">
        <v>437</v>
      </c>
      <c r="C1287">
        <v>74</v>
      </c>
      <c r="D1287">
        <v>71</v>
      </c>
      <c r="E1287">
        <v>77</v>
      </c>
      <c r="F1287">
        <v>76</v>
      </c>
      <c r="G1287">
        <v>78</v>
      </c>
      <c r="H1287">
        <v>71</v>
      </c>
      <c r="I1287">
        <v>69</v>
      </c>
      <c r="J1287">
        <v>64</v>
      </c>
      <c r="K1287">
        <v>62</v>
      </c>
      <c r="L1287">
        <v>55</v>
      </c>
      <c r="M1287">
        <v>55</v>
      </c>
      <c r="N1287">
        <v>54</v>
      </c>
      <c r="O1287" s="173">
        <f>SUM(C1287:N1287)/12</f>
        <v>67.166666666666671</v>
      </c>
      <c r="P1287" s="173">
        <f>SUM(O1287-O1286)</f>
        <v>-9.75</v>
      </c>
      <c r="Q1287" s="177">
        <f t="shared" si="287"/>
        <v>-0.12676056338028169</v>
      </c>
    </row>
    <row r="1288" spans="1:17" x14ac:dyDescent="0.2">
      <c r="B1288" t="s">
        <v>471</v>
      </c>
      <c r="C1288">
        <v>59</v>
      </c>
      <c r="D1288">
        <v>57</v>
      </c>
      <c r="E1288">
        <v>54</v>
      </c>
      <c r="F1288">
        <v>53</v>
      </c>
      <c r="G1288">
        <v>56</v>
      </c>
      <c r="H1288">
        <v>62</v>
      </c>
      <c r="I1288">
        <v>55</v>
      </c>
      <c r="J1288">
        <v>50</v>
      </c>
      <c r="K1288">
        <v>49</v>
      </c>
      <c r="L1288">
        <v>51</v>
      </c>
      <c r="M1288">
        <v>52</v>
      </c>
      <c r="N1288">
        <v>50</v>
      </c>
      <c r="O1288" s="173">
        <f>SUM(C1288:N1288)/12</f>
        <v>54</v>
      </c>
      <c r="P1288" s="173">
        <f>SUM(O1288-O1287)</f>
        <v>-13.166666666666671</v>
      </c>
      <c r="Q1288" s="177">
        <f t="shared" si="287"/>
        <v>-0.19602977667493801</v>
      </c>
    </row>
    <row r="1289" spans="1:17" x14ac:dyDescent="0.2">
      <c r="B1289" t="s">
        <v>537</v>
      </c>
      <c r="C1289">
        <v>54</v>
      </c>
      <c r="D1289">
        <v>57</v>
      </c>
      <c r="O1289" s="173"/>
      <c r="P1289" s="173"/>
      <c r="Q1289" s="177"/>
    </row>
    <row r="1290" spans="1:17" ht="25.5" x14ac:dyDescent="0.2">
      <c r="A1290" s="175" t="s">
        <v>448</v>
      </c>
      <c r="B1290" s="600" t="s">
        <v>418</v>
      </c>
      <c r="C1290" s="601" t="s">
        <v>419</v>
      </c>
      <c r="D1290" s="601" t="s">
        <v>420</v>
      </c>
      <c r="E1290" s="601" t="s">
        <v>421</v>
      </c>
      <c r="F1290" s="601" t="s">
        <v>422</v>
      </c>
      <c r="G1290" s="601" t="s">
        <v>423</v>
      </c>
      <c r="H1290" s="601" t="s">
        <v>424</v>
      </c>
      <c r="I1290" s="601" t="s">
        <v>425</v>
      </c>
      <c r="J1290" s="601" t="s">
        <v>426</v>
      </c>
      <c r="K1290" s="601" t="s">
        <v>427</v>
      </c>
      <c r="L1290" s="601" t="s">
        <v>428</v>
      </c>
      <c r="M1290" s="601" t="s">
        <v>429</v>
      </c>
      <c r="N1290" s="601" t="s">
        <v>430</v>
      </c>
    </row>
    <row r="1291" spans="1:17" x14ac:dyDescent="0.2">
      <c r="B1291" t="s">
        <v>434</v>
      </c>
      <c r="C1291">
        <v>92</v>
      </c>
      <c r="D1291">
        <v>91</v>
      </c>
      <c r="E1291">
        <v>97</v>
      </c>
      <c r="F1291">
        <v>94</v>
      </c>
      <c r="G1291">
        <v>87</v>
      </c>
      <c r="H1291">
        <v>85</v>
      </c>
      <c r="I1291">
        <v>91</v>
      </c>
      <c r="J1291">
        <v>89</v>
      </c>
      <c r="K1291">
        <v>92</v>
      </c>
      <c r="L1291">
        <v>92</v>
      </c>
      <c r="M1291">
        <v>94</v>
      </c>
      <c r="N1291">
        <v>92</v>
      </c>
      <c r="O1291" s="173">
        <f t="shared" ref="O1291:O1299" si="288">SUM(C1291:N1291)/12</f>
        <v>91.333333333333329</v>
      </c>
      <c r="P1291" s="173"/>
    </row>
    <row r="1292" spans="1:17" x14ac:dyDescent="0.2">
      <c r="B1292" t="s">
        <v>435</v>
      </c>
      <c r="C1292">
        <v>90</v>
      </c>
      <c r="D1292">
        <v>98</v>
      </c>
      <c r="E1292">
        <v>89</v>
      </c>
      <c r="F1292">
        <v>84</v>
      </c>
      <c r="G1292">
        <v>84</v>
      </c>
      <c r="H1292">
        <v>78</v>
      </c>
      <c r="I1292">
        <v>83</v>
      </c>
      <c r="J1292">
        <v>87</v>
      </c>
      <c r="K1292">
        <v>81</v>
      </c>
      <c r="L1292">
        <v>81</v>
      </c>
      <c r="M1292">
        <v>77</v>
      </c>
      <c r="N1292">
        <v>79</v>
      </c>
      <c r="O1292" s="173">
        <f t="shared" si="288"/>
        <v>84.25</v>
      </c>
      <c r="P1292" s="173">
        <f t="shared" ref="P1292:P1299" si="289">SUM(O1292-O1291)</f>
        <v>-7.0833333333333286</v>
      </c>
      <c r="Q1292" s="177">
        <f t="shared" ref="Q1292:Q1298" si="290">SUM(P1292/O1291)</f>
        <v>-7.7554744525547392E-2</v>
      </c>
    </row>
    <row r="1293" spans="1:17" x14ac:dyDescent="0.2">
      <c r="B1293" t="s">
        <v>436</v>
      </c>
      <c r="C1293">
        <v>81</v>
      </c>
      <c r="D1293">
        <v>78</v>
      </c>
      <c r="E1293">
        <v>73</v>
      </c>
      <c r="F1293">
        <v>77</v>
      </c>
      <c r="G1293">
        <v>86</v>
      </c>
      <c r="H1293">
        <v>96</v>
      </c>
      <c r="I1293">
        <v>84</v>
      </c>
      <c r="J1293">
        <v>72</v>
      </c>
      <c r="K1293">
        <v>74</v>
      </c>
      <c r="L1293">
        <v>76</v>
      </c>
      <c r="M1293">
        <v>78</v>
      </c>
      <c r="N1293">
        <v>88</v>
      </c>
      <c r="O1293" s="173">
        <f t="shared" si="288"/>
        <v>80.25</v>
      </c>
      <c r="P1293" s="173">
        <f t="shared" si="289"/>
        <v>-4</v>
      </c>
      <c r="Q1293" s="177">
        <f t="shared" si="290"/>
        <v>-4.7477744807121663E-2</v>
      </c>
    </row>
    <row r="1294" spans="1:17" x14ac:dyDescent="0.2">
      <c r="B1294" t="s">
        <v>260</v>
      </c>
      <c r="C1294">
        <v>98</v>
      </c>
      <c r="D1294">
        <v>98</v>
      </c>
      <c r="E1294">
        <v>100</v>
      </c>
      <c r="F1294">
        <v>93</v>
      </c>
      <c r="G1294">
        <v>93</v>
      </c>
      <c r="H1294">
        <v>93</v>
      </c>
      <c r="I1294">
        <v>93</v>
      </c>
      <c r="J1294">
        <v>93</v>
      </c>
      <c r="K1294">
        <v>93</v>
      </c>
      <c r="L1294">
        <v>93</v>
      </c>
      <c r="M1294">
        <v>93</v>
      </c>
      <c r="N1294">
        <v>93</v>
      </c>
      <c r="O1294" s="173">
        <f t="shared" si="288"/>
        <v>94.416666666666671</v>
      </c>
      <c r="P1294" s="173">
        <f t="shared" si="289"/>
        <v>14.166666666666671</v>
      </c>
      <c r="Q1294" s="177">
        <f t="shared" si="290"/>
        <v>0.17653167185877472</v>
      </c>
    </row>
    <row r="1295" spans="1:17" x14ac:dyDescent="0.2">
      <c r="B1295" t="s">
        <v>259</v>
      </c>
      <c r="C1295">
        <v>106</v>
      </c>
      <c r="D1295">
        <v>90</v>
      </c>
      <c r="E1295">
        <v>91</v>
      </c>
      <c r="F1295">
        <v>91</v>
      </c>
      <c r="G1295">
        <v>87</v>
      </c>
      <c r="H1295">
        <v>80</v>
      </c>
      <c r="I1295">
        <v>76</v>
      </c>
      <c r="J1295">
        <v>78</v>
      </c>
      <c r="K1295">
        <v>83</v>
      </c>
      <c r="L1295">
        <v>92</v>
      </c>
      <c r="M1295">
        <v>99</v>
      </c>
      <c r="N1295">
        <v>101</v>
      </c>
      <c r="O1295" s="173">
        <f t="shared" si="288"/>
        <v>89.5</v>
      </c>
      <c r="P1295" s="173">
        <f t="shared" si="289"/>
        <v>-4.9166666666666714</v>
      </c>
      <c r="Q1295" s="177">
        <f t="shared" si="290"/>
        <v>-5.2074139452780277E-2</v>
      </c>
    </row>
    <row r="1296" spans="1:17" x14ac:dyDescent="0.2">
      <c r="B1296" t="s">
        <v>280</v>
      </c>
      <c r="C1296">
        <v>93</v>
      </c>
      <c r="D1296">
        <v>90</v>
      </c>
      <c r="E1296">
        <v>91</v>
      </c>
      <c r="F1296">
        <v>94</v>
      </c>
      <c r="G1296">
        <v>91</v>
      </c>
      <c r="H1296">
        <v>91</v>
      </c>
      <c r="I1296">
        <v>93</v>
      </c>
      <c r="J1296">
        <v>90</v>
      </c>
      <c r="K1296">
        <v>83</v>
      </c>
      <c r="L1296">
        <v>84</v>
      </c>
      <c r="M1296">
        <v>79</v>
      </c>
      <c r="N1296">
        <v>77</v>
      </c>
      <c r="O1296" s="173">
        <f t="shared" si="288"/>
        <v>88</v>
      </c>
      <c r="P1296" s="173">
        <f t="shared" si="289"/>
        <v>-1.5</v>
      </c>
      <c r="Q1296" s="177">
        <f t="shared" si="290"/>
        <v>-1.6759776536312849E-2</v>
      </c>
    </row>
    <row r="1297" spans="1:17" x14ac:dyDescent="0.2">
      <c r="B1297" t="s">
        <v>290</v>
      </c>
      <c r="C1297">
        <v>79</v>
      </c>
      <c r="D1297">
        <v>78</v>
      </c>
      <c r="E1297">
        <v>74</v>
      </c>
      <c r="F1297">
        <v>69</v>
      </c>
      <c r="G1297">
        <v>66</v>
      </c>
      <c r="H1297">
        <v>62</v>
      </c>
      <c r="I1297">
        <v>59</v>
      </c>
      <c r="J1297">
        <v>64</v>
      </c>
      <c r="K1297">
        <v>59</v>
      </c>
      <c r="L1297">
        <v>55</v>
      </c>
      <c r="M1297">
        <v>61</v>
      </c>
      <c r="N1297">
        <v>64</v>
      </c>
      <c r="O1297" s="173">
        <f t="shared" si="288"/>
        <v>65.833333333333329</v>
      </c>
      <c r="P1297" s="173">
        <f t="shared" si="289"/>
        <v>-22.166666666666671</v>
      </c>
      <c r="Q1297" s="177">
        <f t="shared" si="290"/>
        <v>-0.25189393939393945</v>
      </c>
    </row>
    <row r="1298" spans="1:17" x14ac:dyDescent="0.2">
      <c r="B1298" t="s">
        <v>293</v>
      </c>
      <c r="C1298">
        <v>68</v>
      </c>
      <c r="D1298">
        <v>67</v>
      </c>
      <c r="E1298">
        <v>71</v>
      </c>
      <c r="F1298">
        <v>72</v>
      </c>
      <c r="G1298">
        <v>81</v>
      </c>
      <c r="H1298">
        <v>85</v>
      </c>
      <c r="I1298">
        <v>85</v>
      </c>
      <c r="J1298">
        <v>85</v>
      </c>
      <c r="K1298">
        <v>73</v>
      </c>
      <c r="L1298">
        <v>82</v>
      </c>
      <c r="M1298">
        <v>78</v>
      </c>
      <c r="N1298">
        <v>80</v>
      </c>
      <c r="O1298" s="173">
        <f t="shared" si="288"/>
        <v>77.25</v>
      </c>
      <c r="P1298" s="173">
        <f t="shared" si="289"/>
        <v>11.416666666666671</v>
      </c>
      <c r="Q1298" s="177">
        <f t="shared" si="290"/>
        <v>0.17341772151898743</v>
      </c>
    </row>
    <row r="1299" spans="1:17" x14ac:dyDescent="0.2">
      <c r="B1299" t="s">
        <v>294</v>
      </c>
      <c r="C1299">
        <v>77</v>
      </c>
      <c r="D1299">
        <v>75</v>
      </c>
      <c r="E1299">
        <v>74</v>
      </c>
      <c r="F1299">
        <v>75</v>
      </c>
      <c r="G1299">
        <v>75</v>
      </c>
      <c r="H1299">
        <v>77</v>
      </c>
      <c r="I1299">
        <v>81</v>
      </c>
      <c r="J1299">
        <v>79</v>
      </c>
      <c r="K1299">
        <v>79</v>
      </c>
      <c r="L1299">
        <v>79</v>
      </c>
      <c r="M1299">
        <v>80</v>
      </c>
      <c r="N1299">
        <v>76</v>
      </c>
      <c r="O1299" s="173">
        <f t="shared" si="288"/>
        <v>77.25</v>
      </c>
      <c r="P1299" s="173">
        <f t="shared" si="289"/>
        <v>0</v>
      </c>
      <c r="Q1299" s="177">
        <f t="shared" ref="Q1299:Q1304" si="291">SUM(P1299/O1298)</f>
        <v>0</v>
      </c>
    </row>
    <row r="1300" spans="1:17" x14ac:dyDescent="0.2">
      <c r="B1300" t="s">
        <v>295</v>
      </c>
      <c r="C1300">
        <v>68</v>
      </c>
      <c r="D1300">
        <v>66</v>
      </c>
      <c r="E1300">
        <v>65</v>
      </c>
      <c r="F1300">
        <v>61</v>
      </c>
      <c r="G1300">
        <v>59</v>
      </c>
      <c r="H1300">
        <v>57</v>
      </c>
      <c r="I1300">
        <v>55</v>
      </c>
      <c r="J1300">
        <v>56</v>
      </c>
      <c r="K1300">
        <v>58</v>
      </c>
      <c r="L1300">
        <v>60</v>
      </c>
      <c r="M1300">
        <v>61</v>
      </c>
      <c r="N1300">
        <v>62</v>
      </c>
      <c r="O1300" s="173">
        <f>SUM(C1300:N1300)/12</f>
        <v>60.666666666666664</v>
      </c>
      <c r="P1300" s="173">
        <f>SUM(O1300-O1299)</f>
        <v>-16.583333333333336</v>
      </c>
      <c r="Q1300" s="177">
        <f t="shared" si="291"/>
        <v>-0.21467098166127296</v>
      </c>
    </row>
    <row r="1301" spans="1:17" x14ac:dyDescent="0.2">
      <c r="B1301" t="s">
        <v>335</v>
      </c>
      <c r="C1301">
        <v>58</v>
      </c>
      <c r="D1301">
        <v>59</v>
      </c>
      <c r="E1301">
        <v>55</v>
      </c>
      <c r="F1301">
        <v>68</v>
      </c>
      <c r="G1301">
        <v>62</v>
      </c>
      <c r="H1301">
        <v>58</v>
      </c>
      <c r="I1301">
        <v>55</v>
      </c>
      <c r="J1301">
        <v>58</v>
      </c>
      <c r="K1301">
        <v>59</v>
      </c>
      <c r="L1301">
        <v>57</v>
      </c>
      <c r="M1301">
        <v>52</v>
      </c>
      <c r="N1301">
        <v>54</v>
      </c>
      <c r="O1301" s="173">
        <f>SUM(C1301:N1301)/12</f>
        <v>57.916666666666664</v>
      </c>
      <c r="P1301" s="173">
        <f>SUM(O1301-O1300)</f>
        <v>-2.75</v>
      </c>
      <c r="Q1301" s="177">
        <f t="shared" si="291"/>
        <v>-4.5329670329670328E-2</v>
      </c>
    </row>
    <row r="1302" spans="1:17" x14ac:dyDescent="0.2">
      <c r="B1302" t="s">
        <v>358</v>
      </c>
      <c r="C1302">
        <v>55</v>
      </c>
      <c r="D1302">
        <v>55</v>
      </c>
      <c r="E1302">
        <v>49</v>
      </c>
      <c r="F1302">
        <v>51</v>
      </c>
      <c r="G1302">
        <v>53</v>
      </c>
      <c r="H1302">
        <v>57</v>
      </c>
      <c r="I1302">
        <v>63</v>
      </c>
      <c r="J1302">
        <v>65</v>
      </c>
      <c r="K1302">
        <v>65</v>
      </c>
      <c r="L1302">
        <v>61</v>
      </c>
      <c r="M1302">
        <v>66</v>
      </c>
      <c r="N1302">
        <v>63</v>
      </c>
      <c r="O1302" s="173">
        <f>SUM(C1302:N1302)/12</f>
        <v>58.583333333333336</v>
      </c>
      <c r="P1302" s="173">
        <f>SUM(O1302-O1301)</f>
        <v>0.6666666666666714</v>
      </c>
      <c r="Q1302" s="177">
        <f t="shared" si="291"/>
        <v>1.1510791366906557E-2</v>
      </c>
    </row>
    <row r="1303" spans="1:17" x14ac:dyDescent="0.2">
      <c r="B1303" t="s">
        <v>437</v>
      </c>
      <c r="C1303">
        <v>63</v>
      </c>
      <c r="D1303">
        <v>66</v>
      </c>
      <c r="E1303">
        <v>66</v>
      </c>
      <c r="F1303">
        <v>59</v>
      </c>
      <c r="G1303">
        <v>69</v>
      </c>
      <c r="H1303">
        <v>72</v>
      </c>
      <c r="I1303">
        <v>76</v>
      </c>
      <c r="J1303">
        <v>75</v>
      </c>
      <c r="K1303">
        <v>81</v>
      </c>
      <c r="L1303">
        <v>82</v>
      </c>
      <c r="M1303">
        <v>70</v>
      </c>
      <c r="N1303">
        <v>80</v>
      </c>
      <c r="O1303" s="173">
        <f>SUM(C1303:N1303)/12</f>
        <v>71.583333333333329</v>
      </c>
      <c r="P1303" s="173">
        <f>SUM(O1303-O1302)</f>
        <v>12.999999999999993</v>
      </c>
      <c r="Q1303" s="177">
        <f t="shared" si="291"/>
        <v>0.22190611664295862</v>
      </c>
    </row>
    <row r="1304" spans="1:17" x14ac:dyDescent="0.2">
      <c r="B1304" t="s">
        <v>471</v>
      </c>
      <c r="C1304">
        <v>72</v>
      </c>
      <c r="D1304">
        <v>71</v>
      </c>
      <c r="E1304">
        <v>74</v>
      </c>
      <c r="F1304">
        <v>75</v>
      </c>
      <c r="G1304">
        <v>69</v>
      </c>
      <c r="H1304">
        <v>74</v>
      </c>
      <c r="I1304">
        <v>72</v>
      </c>
      <c r="J1304">
        <v>74</v>
      </c>
      <c r="K1304">
        <v>79</v>
      </c>
      <c r="L1304">
        <v>82</v>
      </c>
      <c r="M1304">
        <v>87</v>
      </c>
      <c r="N1304">
        <v>87</v>
      </c>
      <c r="O1304" s="173">
        <f>SUM(C1304:N1304)/12</f>
        <v>76.333333333333329</v>
      </c>
      <c r="P1304" s="173">
        <f>SUM(O1304-O1303)</f>
        <v>4.75</v>
      </c>
      <c r="Q1304" s="177">
        <f t="shared" si="291"/>
        <v>6.6356228172293363E-2</v>
      </c>
    </row>
    <row r="1305" spans="1:17" x14ac:dyDescent="0.2">
      <c r="B1305" t="s">
        <v>537</v>
      </c>
      <c r="C1305">
        <v>94</v>
      </c>
      <c r="D1305">
        <v>94</v>
      </c>
      <c r="O1305" s="173"/>
      <c r="P1305" s="173"/>
      <c r="Q1305" s="177"/>
    </row>
    <row r="1306" spans="1:17" ht="25.5" x14ac:dyDescent="0.2">
      <c r="A1306" s="175" t="s">
        <v>449</v>
      </c>
      <c r="B1306" s="600" t="s">
        <v>418</v>
      </c>
      <c r="C1306" s="601" t="s">
        <v>419</v>
      </c>
      <c r="D1306" s="601" t="s">
        <v>420</v>
      </c>
      <c r="E1306" s="601" t="s">
        <v>421</v>
      </c>
      <c r="F1306" s="601" t="s">
        <v>422</v>
      </c>
      <c r="G1306" s="601" t="s">
        <v>423</v>
      </c>
      <c r="H1306" s="601" t="s">
        <v>424</v>
      </c>
      <c r="I1306" s="601" t="s">
        <v>425</v>
      </c>
      <c r="J1306" s="601" t="s">
        <v>426</v>
      </c>
      <c r="K1306" s="601" t="s">
        <v>427</v>
      </c>
      <c r="L1306" s="601" t="s">
        <v>428</v>
      </c>
      <c r="M1306" s="601" t="s">
        <v>429</v>
      </c>
      <c r="N1306" s="601" t="s">
        <v>430</v>
      </c>
    </row>
    <row r="1307" spans="1:17" x14ac:dyDescent="0.2">
      <c r="B1307" t="s">
        <v>434</v>
      </c>
      <c r="C1307">
        <v>438</v>
      </c>
      <c r="D1307">
        <v>444</v>
      </c>
      <c r="E1307">
        <v>446</v>
      </c>
      <c r="F1307">
        <v>441</v>
      </c>
      <c r="G1307">
        <v>444</v>
      </c>
      <c r="H1307">
        <v>449</v>
      </c>
      <c r="I1307">
        <v>447</v>
      </c>
      <c r="J1307">
        <v>460</v>
      </c>
      <c r="K1307">
        <v>465</v>
      </c>
      <c r="L1307">
        <v>463</v>
      </c>
      <c r="M1307">
        <v>469</v>
      </c>
      <c r="N1307">
        <v>478</v>
      </c>
      <c r="O1307" s="173">
        <f t="shared" ref="O1307:O1315" si="292">SUM(C1307:N1307)/12</f>
        <v>453.66666666666669</v>
      </c>
      <c r="P1307" s="173"/>
    </row>
    <row r="1308" spans="1:17" x14ac:dyDescent="0.2">
      <c r="B1308" t="s">
        <v>435</v>
      </c>
      <c r="C1308">
        <v>474</v>
      </c>
      <c r="D1308">
        <v>481</v>
      </c>
      <c r="E1308">
        <v>491</v>
      </c>
      <c r="F1308">
        <v>478</v>
      </c>
      <c r="G1308">
        <v>472</v>
      </c>
      <c r="H1308">
        <v>477</v>
      </c>
      <c r="I1308">
        <v>476</v>
      </c>
      <c r="J1308">
        <v>470</v>
      </c>
      <c r="K1308">
        <v>467</v>
      </c>
      <c r="L1308">
        <v>480</v>
      </c>
      <c r="M1308">
        <v>461</v>
      </c>
      <c r="N1308">
        <v>449</v>
      </c>
      <c r="O1308" s="173">
        <f t="shared" si="292"/>
        <v>473</v>
      </c>
      <c r="P1308" s="173">
        <f t="shared" ref="P1308:P1315" si="293">SUM(O1308-O1307)</f>
        <v>19.333333333333314</v>
      </c>
      <c r="Q1308" s="177">
        <f t="shared" ref="Q1308:Q1314" si="294">SUM(P1308/O1307)</f>
        <v>4.261572373254955E-2</v>
      </c>
    </row>
    <row r="1309" spans="1:17" x14ac:dyDescent="0.2">
      <c r="B1309" t="s">
        <v>436</v>
      </c>
      <c r="C1309">
        <v>463</v>
      </c>
      <c r="D1309">
        <v>474</v>
      </c>
      <c r="E1309">
        <v>480</v>
      </c>
      <c r="F1309">
        <v>457</v>
      </c>
      <c r="G1309">
        <v>459</v>
      </c>
      <c r="H1309">
        <v>469</v>
      </c>
      <c r="I1309">
        <v>460</v>
      </c>
      <c r="J1309">
        <v>446</v>
      </c>
      <c r="K1309">
        <v>457</v>
      </c>
      <c r="L1309">
        <v>468</v>
      </c>
      <c r="M1309">
        <v>479</v>
      </c>
      <c r="N1309">
        <v>490</v>
      </c>
      <c r="O1309" s="173">
        <f t="shared" si="292"/>
        <v>466.83333333333331</v>
      </c>
      <c r="P1309" s="173">
        <f t="shared" si="293"/>
        <v>-6.1666666666666856</v>
      </c>
      <c r="Q1309" s="177">
        <f t="shared" si="294"/>
        <v>-1.3037350246652613E-2</v>
      </c>
    </row>
    <row r="1310" spans="1:17" x14ac:dyDescent="0.2">
      <c r="B1310" t="s">
        <v>260</v>
      </c>
      <c r="C1310">
        <v>537</v>
      </c>
      <c r="D1310">
        <v>544</v>
      </c>
      <c r="E1310">
        <v>514</v>
      </c>
      <c r="F1310">
        <v>562</v>
      </c>
      <c r="G1310">
        <v>557</v>
      </c>
      <c r="H1310">
        <v>551</v>
      </c>
      <c r="I1310">
        <v>545</v>
      </c>
      <c r="J1310">
        <v>538</v>
      </c>
      <c r="K1310">
        <v>525</v>
      </c>
      <c r="L1310">
        <v>518</v>
      </c>
      <c r="M1310">
        <v>502</v>
      </c>
      <c r="N1310">
        <v>506</v>
      </c>
      <c r="O1310" s="173">
        <f t="shared" si="292"/>
        <v>533.25</v>
      </c>
      <c r="P1310" s="173">
        <f t="shared" si="293"/>
        <v>66.416666666666686</v>
      </c>
      <c r="Q1310" s="177">
        <f t="shared" si="294"/>
        <v>0.14227061763655841</v>
      </c>
    </row>
    <row r="1311" spans="1:17" x14ac:dyDescent="0.2">
      <c r="B1311" t="s">
        <v>259</v>
      </c>
      <c r="C1311">
        <v>519</v>
      </c>
      <c r="D1311">
        <v>507</v>
      </c>
      <c r="E1311">
        <v>516</v>
      </c>
      <c r="F1311">
        <v>509</v>
      </c>
      <c r="G1311">
        <v>495</v>
      </c>
      <c r="H1311">
        <v>503</v>
      </c>
      <c r="I1311">
        <v>484</v>
      </c>
      <c r="J1311">
        <v>484</v>
      </c>
      <c r="K1311">
        <v>477</v>
      </c>
      <c r="L1311">
        <v>470</v>
      </c>
      <c r="M1311">
        <v>474</v>
      </c>
      <c r="N1311">
        <v>464</v>
      </c>
      <c r="O1311" s="173">
        <f t="shared" si="292"/>
        <v>491.83333333333331</v>
      </c>
      <c r="P1311" s="173">
        <f t="shared" si="293"/>
        <v>-41.416666666666686</v>
      </c>
      <c r="Q1311" s="177">
        <f t="shared" si="294"/>
        <v>-7.7668385685263353E-2</v>
      </c>
    </row>
    <row r="1312" spans="1:17" x14ac:dyDescent="0.2">
      <c r="B1312" t="s">
        <v>280</v>
      </c>
      <c r="C1312">
        <v>472</v>
      </c>
      <c r="D1312">
        <v>489</v>
      </c>
      <c r="E1312">
        <v>468</v>
      </c>
      <c r="F1312">
        <v>461</v>
      </c>
      <c r="G1312">
        <v>460</v>
      </c>
      <c r="H1312">
        <v>449</v>
      </c>
      <c r="I1312">
        <v>436</v>
      </c>
      <c r="J1312">
        <v>442</v>
      </c>
      <c r="K1312">
        <v>445</v>
      </c>
      <c r="L1312">
        <v>458</v>
      </c>
      <c r="M1312">
        <v>472</v>
      </c>
      <c r="N1312">
        <v>480</v>
      </c>
      <c r="O1312" s="173">
        <f t="shared" si="292"/>
        <v>461</v>
      </c>
      <c r="P1312" s="173">
        <f t="shared" si="293"/>
        <v>-30.833333333333314</v>
      </c>
      <c r="Q1312" s="177">
        <f t="shared" si="294"/>
        <v>-6.2690613351406271E-2</v>
      </c>
    </row>
    <row r="1313" spans="1:17" x14ac:dyDescent="0.2">
      <c r="B1313" t="s">
        <v>290</v>
      </c>
      <c r="C1313">
        <v>478</v>
      </c>
      <c r="D1313">
        <v>478</v>
      </c>
      <c r="E1313">
        <v>474</v>
      </c>
      <c r="F1313">
        <v>493</v>
      </c>
      <c r="G1313">
        <v>488</v>
      </c>
      <c r="H1313">
        <v>495</v>
      </c>
      <c r="I1313">
        <v>507</v>
      </c>
      <c r="J1313">
        <v>499</v>
      </c>
      <c r="K1313">
        <v>500</v>
      </c>
      <c r="L1313">
        <v>518</v>
      </c>
      <c r="M1313">
        <v>540</v>
      </c>
      <c r="N1313">
        <v>551</v>
      </c>
      <c r="O1313" s="173">
        <f t="shared" si="292"/>
        <v>501.75</v>
      </c>
      <c r="P1313" s="173">
        <f t="shared" si="293"/>
        <v>40.75</v>
      </c>
      <c r="Q1313" s="177">
        <f t="shared" si="294"/>
        <v>8.8394793926247286E-2</v>
      </c>
    </row>
    <row r="1314" spans="1:17" x14ac:dyDescent="0.2">
      <c r="B1314" t="s">
        <v>293</v>
      </c>
      <c r="C1314">
        <v>551</v>
      </c>
      <c r="D1314">
        <v>536</v>
      </c>
      <c r="E1314">
        <v>521</v>
      </c>
      <c r="F1314">
        <v>522</v>
      </c>
      <c r="G1314">
        <v>527</v>
      </c>
      <c r="H1314">
        <v>545</v>
      </c>
      <c r="I1314">
        <v>548</v>
      </c>
      <c r="J1314">
        <v>549</v>
      </c>
      <c r="K1314">
        <v>549</v>
      </c>
      <c r="L1314">
        <v>650</v>
      </c>
      <c r="M1314">
        <v>666</v>
      </c>
      <c r="N1314">
        <v>591</v>
      </c>
      <c r="O1314" s="173">
        <f t="shared" si="292"/>
        <v>562.91666666666663</v>
      </c>
      <c r="P1314" s="173">
        <f t="shared" si="293"/>
        <v>61.166666666666629</v>
      </c>
      <c r="Q1314" s="177">
        <f t="shared" si="294"/>
        <v>0.12190666002325187</v>
      </c>
    </row>
    <row r="1315" spans="1:17" x14ac:dyDescent="0.2">
      <c r="B1315" t="s">
        <v>294</v>
      </c>
      <c r="C1315">
        <v>596</v>
      </c>
      <c r="D1315">
        <v>617</v>
      </c>
      <c r="E1315">
        <v>722</v>
      </c>
      <c r="F1315">
        <v>657</v>
      </c>
      <c r="G1315">
        <v>723</v>
      </c>
      <c r="H1315">
        <v>717</v>
      </c>
      <c r="I1315">
        <v>729</v>
      </c>
      <c r="J1315">
        <v>730</v>
      </c>
      <c r="K1315">
        <v>721</v>
      </c>
      <c r="L1315">
        <v>721</v>
      </c>
      <c r="M1315">
        <v>754</v>
      </c>
      <c r="N1315">
        <v>770</v>
      </c>
      <c r="O1315" s="173">
        <f t="shared" si="292"/>
        <v>704.75</v>
      </c>
      <c r="P1315" s="173">
        <f t="shared" si="293"/>
        <v>141.83333333333337</v>
      </c>
      <c r="Q1315" s="177">
        <f t="shared" ref="Q1315:Q1320" si="295">SUM(P1315/O1314)</f>
        <v>0.25196150999259814</v>
      </c>
    </row>
    <row r="1316" spans="1:17" x14ac:dyDescent="0.2">
      <c r="B1316" t="s">
        <v>295</v>
      </c>
      <c r="C1316">
        <v>711</v>
      </c>
      <c r="D1316">
        <v>710</v>
      </c>
      <c r="E1316">
        <v>721</v>
      </c>
      <c r="F1316">
        <v>726</v>
      </c>
      <c r="G1316">
        <v>736</v>
      </c>
      <c r="H1316">
        <v>731</v>
      </c>
      <c r="I1316">
        <v>722</v>
      </c>
      <c r="J1316">
        <v>719</v>
      </c>
      <c r="K1316">
        <v>722</v>
      </c>
      <c r="L1316">
        <v>750</v>
      </c>
      <c r="M1316">
        <v>759</v>
      </c>
      <c r="N1316">
        <v>764</v>
      </c>
      <c r="O1316" s="173">
        <f>SUM(C1316:N1316)/12</f>
        <v>730.91666666666663</v>
      </c>
      <c r="P1316" s="173">
        <f>SUM(O1316-O1315)</f>
        <v>26.166666666666629</v>
      </c>
      <c r="Q1316" s="177">
        <f t="shared" si="295"/>
        <v>3.7129005557526254E-2</v>
      </c>
    </row>
    <row r="1317" spans="1:17" x14ac:dyDescent="0.2">
      <c r="B1317" t="s">
        <v>335</v>
      </c>
      <c r="C1317">
        <v>750</v>
      </c>
      <c r="D1317">
        <v>743</v>
      </c>
      <c r="E1317">
        <v>732</v>
      </c>
      <c r="F1317">
        <v>728</v>
      </c>
      <c r="G1317">
        <v>713</v>
      </c>
      <c r="H1317">
        <v>774</v>
      </c>
      <c r="I1317">
        <v>746</v>
      </c>
      <c r="J1317">
        <v>760</v>
      </c>
      <c r="K1317">
        <v>768</v>
      </c>
      <c r="L1317">
        <v>783</v>
      </c>
      <c r="M1317">
        <v>769</v>
      </c>
      <c r="N1317">
        <v>766</v>
      </c>
      <c r="O1317" s="173">
        <f>SUM(C1317:N1317)/12</f>
        <v>752.66666666666663</v>
      </c>
      <c r="P1317" s="173">
        <f>SUM(O1317-O1316)</f>
        <v>21.75</v>
      </c>
      <c r="Q1317" s="177">
        <f t="shared" si="295"/>
        <v>2.9757154258351386E-2</v>
      </c>
    </row>
    <row r="1318" spans="1:17" x14ac:dyDescent="0.2">
      <c r="B1318" t="s">
        <v>358</v>
      </c>
      <c r="C1318">
        <v>793</v>
      </c>
      <c r="D1318">
        <v>763</v>
      </c>
      <c r="E1318">
        <v>771</v>
      </c>
      <c r="F1318">
        <v>782</v>
      </c>
      <c r="G1318">
        <v>756</v>
      </c>
      <c r="H1318">
        <v>768</v>
      </c>
      <c r="I1318">
        <v>763</v>
      </c>
      <c r="J1318">
        <v>762</v>
      </c>
      <c r="K1318">
        <v>773</v>
      </c>
      <c r="L1318">
        <v>776</v>
      </c>
      <c r="M1318">
        <v>743</v>
      </c>
      <c r="N1318">
        <v>744</v>
      </c>
      <c r="O1318" s="173">
        <f>SUM(C1318:N1318)/12</f>
        <v>766.16666666666663</v>
      </c>
      <c r="P1318" s="173">
        <f>SUM(O1318-O1317)</f>
        <v>13.5</v>
      </c>
      <c r="Q1318" s="177">
        <f t="shared" si="295"/>
        <v>1.7936226749335697E-2</v>
      </c>
    </row>
    <row r="1319" spans="1:17" x14ac:dyDescent="0.2">
      <c r="B1319" t="s">
        <v>437</v>
      </c>
      <c r="C1319">
        <v>746</v>
      </c>
      <c r="D1319">
        <v>738</v>
      </c>
      <c r="E1319">
        <v>726</v>
      </c>
      <c r="F1319">
        <v>723</v>
      </c>
      <c r="G1319">
        <v>723</v>
      </c>
      <c r="H1319">
        <v>711</v>
      </c>
      <c r="I1319">
        <v>722</v>
      </c>
      <c r="J1319">
        <v>715</v>
      </c>
      <c r="K1319">
        <v>701</v>
      </c>
      <c r="L1319">
        <v>696</v>
      </c>
      <c r="M1319">
        <v>716</v>
      </c>
      <c r="N1319">
        <v>722</v>
      </c>
      <c r="O1319" s="173">
        <f>SUM(C1319:N1319)/12</f>
        <v>719.91666666666663</v>
      </c>
      <c r="P1319" s="173">
        <f>SUM(O1319-O1318)</f>
        <v>-46.25</v>
      </c>
      <c r="Q1319" s="177">
        <f t="shared" si="295"/>
        <v>-6.0365455731999133E-2</v>
      </c>
    </row>
    <row r="1320" spans="1:17" x14ac:dyDescent="0.2">
      <c r="B1320" t="s">
        <v>471</v>
      </c>
      <c r="C1320">
        <v>720</v>
      </c>
      <c r="D1320">
        <v>754</v>
      </c>
      <c r="E1320">
        <v>702</v>
      </c>
      <c r="F1320">
        <v>720</v>
      </c>
      <c r="G1320">
        <v>705</v>
      </c>
      <c r="H1320">
        <v>715</v>
      </c>
      <c r="I1320">
        <v>712</v>
      </c>
      <c r="J1320">
        <v>720</v>
      </c>
      <c r="K1320">
        <v>712</v>
      </c>
      <c r="L1320">
        <v>709</v>
      </c>
      <c r="M1320">
        <v>704</v>
      </c>
      <c r="N1320">
        <v>720</v>
      </c>
      <c r="O1320" s="173">
        <f>SUM(C1320:N1320)/12</f>
        <v>716.08333333333337</v>
      </c>
      <c r="P1320" s="173">
        <f>SUM(O1320-O1319)</f>
        <v>-3.8333333333332575</v>
      </c>
      <c r="Q1320" s="177">
        <f t="shared" si="295"/>
        <v>-5.3246903576801823E-3</v>
      </c>
    </row>
    <row r="1321" spans="1:17" x14ac:dyDescent="0.2">
      <c r="B1321" t="s">
        <v>537</v>
      </c>
      <c r="C1321">
        <v>726</v>
      </c>
      <c r="D1321">
        <v>712</v>
      </c>
      <c r="O1321" s="173"/>
      <c r="P1321" s="173"/>
      <c r="Q1321" s="177"/>
    </row>
    <row r="1322" spans="1:17" x14ac:dyDescent="0.2">
      <c r="A1322" s="178"/>
      <c r="B1322" s="178"/>
      <c r="C1322" s="178"/>
      <c r="D1322" s="178"/>
      <c r="E1322" s="178"/>
      <c r="F1322" s="178"/>
      <c r="G1322" s="178"/>
      <c r="H1322" s="178"/>
      <c r="I1322" s="178"/>
      <c r="J1322" s="178"/>
      <c r="K1322" s="178"/>
      <c r="L1322" s="178"/>
      <c r="M1322" s="178"/>
      <c r="N1322" s="178"/>
      <c r="O1322" s="178"/>
      <c r="P1322" s="178"/>
      <c r="Q1322" s="178"/>
    </row>
    <row r="1323" spans="1:17" ht="25.5" x14ac:dyDescent="0.2">
      <c r="A1323" s="175" t="s">
        <v>450</v>
      </c>
      <c r="B1323" s="600" t="s">
        <v>418</v>
      </c>
      <c r="C1323" s="601" t="s">
        <v>419</v>
      </c>
      <c r="D1323" s="601" t="s">
        <v>420</v>
      </c>
      <c r="E1323" s="601" t="s">
        <v>421</v>
      </c>
      <c r="F1323" s="601" t="s">
        <v>422</v>
      </c>
      <c r="G1323" s="601" t="s">
        <v>423</v>
      </c>
      <c r="H1323" s="601" t="s">
        <v>424</v>
      </c>
      <c r="I1323" s="601" t="s">
        <v>425</v>
      </c>
      <c r="J1323" s="601" t="s">
        <v>426</v>
      </c>
      <c r="K1323" s="601" t="s">
        <v>427</v>
      </c>
      <c r="L1323" s="601" t="s">
        <v>428</v>
      </c>
      <c r="M1323" s="601" t="s">
        <v>429</v>
      </c>
      <c r="N1323" s="601" t="s">
        <v>430</v>
      </c>
    </row>
    <row r="1324" spans="1:17" x14ac:dyDescent="0.2">
      <c r="B1324" t="s">
        <v>434</v>
      </c>
      <c r="C1324">
        <v>51</v>
      </c>
      <c r="D1324">
        <v>44</v>
      </c>
      <c r="E1324">
        <v>43</v>
      </c>
      <c r="F1324">
        <v>39</v>
      </c>
      <c r="G1324">
        <v>39</v>
      </c>
      <c r="H1324">
        <v>39</v>
      </c>
      <c r="I1324">
        <v>43</v>
      </c>
      <c r="J1324">
        <v>41</v>
      </c>
      <c r="K1324">
        <v>42</v>
      </c>
      <c r="L1324">
        <v>42</v>
      </c>
      <c r="M1324">
        <v>43</v>
      </c>
      <c r="N1324">
        <v>40</v>
      </c>
      <c r="O1324" s="173">
        <f t="shared" ref="O1324:O1332" si="296">SUM(C1324:N1324)/12</f>
        <v>42.166666666666664</v>
      </c>
      <c r="P1324" s="173"/>
    </row>
    <row r="1325" spans="1:17" x14ac:dyDescent="0.2">
      <c r="B1325" t="s">
        <v>435</v>
      </c>
      <c r="C1325">
        <v>43</v>
      </c>
      <c r="D1325">
        <v>47</v>
      </c>
      <c r="E1325">
        <v>47</v>
      </c>
      <c r="F1325">
        <v>51</v>
      </c>
      <c r="G1325">
        <v>46</v>
      </c>
      <c r="H1325">
        <v>44</v>
      </c>
      <c r="I1325">
        <v>48</v>
      </c>
      <c r="J1325">
        <v>41</v>
      </c>
      <c r="K1325">
        <v>47</v>
      </c>
      <c r="L1325">
        <v>44</v>
      </c>
      <c r="M1325">
        <v>43</v>
      </c>
      <c r="N1325">
        <v>46</v>
      </c>
      <c r="O1325" s="173">
        <f t="shared" si="296"/>
        <v>45.583333333333336</v>
      </c>
      <c r="P1325" s="173">
        <f t="shared" ref="P1325:P1332" si="297">SUM(O1325-O1324)</f>
        <v>3.4166666666666714</v>
      </c>
      <c r="Q1325" s="177">
        <f t="shared" ref="Q1325:Q1331" si="298">SUM(P1325/O1324)</f>
        <v>8.1027667984189838E-2</v>
      </c>
    </row>
    <row r="1326" spans="1:17" x14ac:dyDescent="0.2">
      <c r="B1326" t="s">
        <v>436</v>
      </c>
      <c r="C1326">
        <v>45</v>
      </c>
      <c r="D1326">
        <v>49</v>
      </c>
      <c r="E1326">
        <v>48</v>
      </c>
      <c r="F1326">
        <v>51</v>
      </c>
      <c r="G1326">
        <v>51</v>
      </c>
      <c r="H1326">
        <v>46</v>
      </c>
      <c r="I1326">
        <v>49</v>
      </c>
      <c r="J1326">
        <v>45</v>
      </c>
      <c r="K1326">
        <v>46</v>
      </c>
      <c r="L1326">
        <v>47</v>
      </c>
      <c r="M1326">
        <v>48</v>
      </c>
      <c r="N1326">
        <v>49</v>
      </c>
      <c r="O1326" s="173">
        <f t="shared" si="296"/>
        <v>47.833333333333336</v>
      </c>
      <c r="P1326" s="173">
        <f t="shared" si="297"/>
        <v>2.25</v>
      </c>
      <c r="Q1326" s="177">
        <f t="shared" si="298"/>
        <v>4.9360146252285186E-2</v>
      </c>
    </row>
    <row r="1327" spans="1:17" x14ac:dyDescent="0.2">
      <c r="B1327" t="s">
        <v>260</v>
      </c>
      <c r="C1327">
        <v>35</v>
      </c>
      <c r="D1327">
        <v>35</v>
      </c>
      <c r="E1327">
        <v>36</v>
      </c>
      <c r="F1327">
        <v>39</v>
      </c>
      <c r="G1327">
        <v>39</v>
      </c>
      <c r="H1327">
        <v>43</v>
      </c>
      <c r="I1327">
        <v>47</v>
      </c>
      <c r="J1327">
        <v>45</v>
      </c>
      <c r="K1327">
        <v>47</v>
      </c>
      <c r="L1327">
        <v>51</v>
      </c>
      <c r="M1327">
        <v>47</v>
      </c>
      <c r="N1327">
        <v>45</v>
      </c>
      <c r="O1327" s="173">
        <f t="shared" si="296"/>
        <v>42.416666666666664</v>
      </c>
      <c r="P1327" s="173">
        <f t="shared" si="297"/>
        <v>-5.4166666666666714</v>
      </c>
      <c r="Q1327" s="177">
        <f t="shared" si="298"/>
        <v>-0.113240418118467</v>
      </c>
    </row>
    <row r="1328" spans="1:17" x14ac:dyDescent="0.2">
      <c r="B1328" t="s">
        <v>259</v>
      </c>
      <c r="C1328">
        <v>55</v>
      </c>
      <c r="D1328">
        <v>51</v>
      </c>
      <c r="E1328">
        <v>49</v>
      </c>
      <c r="F1328">
        <v>51</v>
      </c>
      <c r="G1328">
        <v>52</v>
      </c>
      <c r="H1328">
        <v>54</v>
      </c>
      <c r="I1328">
        <v>55</v>
      </c>
      <c r="J1328">
        <v>55</v>
      </c>
      <c r="K1328">
        <v>42</v>
      </c>
      <c r="L1328">
        <v>38</v>
      </c>
      <c r="M1328">
        <v>85</v>
      </c>
      <c r="N1328">
        <v>81</v>
      </c>
      <c r="O1328" s="173">
        <f t="shared" si="296"/>
        <v>55.666666666666664</v>
      </c>
      <c r="P1328" s="173">
        <f t="shared" si="297"/>
        <v>13.25</v>
      </c>
      <c r="Q1328" s="177">
        <f t="shared" si="298"/>
        <v>0.31237721021611004</v>
      </c>
    </row>
    <row r="1329" spans="1:18" x14ac:dyDescent="0.2">
      <c r="B1329" t="s">
        <v>280</v>
      </c>
      <c r="C1329">
        <v>81</v>
      </c>
      <c r="D1329">
        <v>81</v>
      </c>
      <c r="E1329">
        <v>74</v>
      </c>
      <c r="F1329">
        <v>79</v>
      </c>
      <c r="G1329">
        <v>77</v>
      </c>
      <c r="H1329">
        <v>77</v>
      </c>
      <c r="I1329">
        <v>74</v>
      </c>
      <c r="J1329">
        <v>74</v>
      </c>
      <c r="K1329">
        <v>74</v>
      </c>
      <c r="L1329">
        <v>75</v>
      </c>
      <c r="M1329">
        <v>75</v>
      </c>
      <c r="N1329">
        <v>76</v>
      </c>
      <c r="O1329" s="173">
        <f t="shared" si="296"/>
        <v>76.416666666666671</v>
      </c>
      <c r="P1329" s="173">
        <f t="shared" si="297"/>
        <v>20.750000000000007</v>
      </c>
      <c r="Q1329" s="177">
        <f t="shared" si="298"/>
        <v>0.37275449101796421</v>
      </c>
    </row>
    <row r="1330" spans="1:18" x14ac:dyDescent="0.2">
      <c r="B1330" t="s">
        <v>290</v>
      </c>
      <c r="C1330">
        <v>78</v>
      </c>
      <c r="D1330">
        <v>76</v>
      </c>
      <c r="E1330">
        <v>80</v>
      </c>
      <c r="F1330">
        <v>81</v>
      </c>
      <c r="G1330">
        <v>77</v>
      </c>
      <c r="H1330">
        <v>76</v>
      </c>
      <c r="I1330">
        <v>74</v>
      </c>
      <c r="J1330">
        <v>76</v>
      </c>
      <c r="K1330">
        <v>71</v>
      </c>
      <c r="L1330">
        <v>71</v>
      </c>
      <c r="M1330">
        <v>74</v>
      </c>
      <c r="N1330">
        <v>75</v>
      </c>
      <c r="O1330" s="173">
        <f t="shared" si="296"/>
        <v>75.75</v>
      </c>
      <c r="P1330" s="173">
        <f t="shared" si="297"/>
        <v>-0.6666666666666714</v>
      </c>
      <c r="Q1330" s="177">
        <f t="shared" si="298"/>
        <v>-8.7241003271538234E-3</v>
      </c>
    </row>
    <row r="1331" spans="1:18" x14ac:dyDescent="0.2">
      <c r="B1331" t="s">
        <v>293</v>
      </c>
      <c r="C1331">
        <v>75</v>
      </c>
      <c r="D1331">
        <v>74</v>
      </c>
      <c r="E1331">
        <v>73</v>
      </c>
      <c r="F1331">
        <v>72</v>
      </c>
      <c r="G1331">
        <v>75</v>
      </c>
      <c r="H1331">
        <v>74</v>
      </c>
      <c r="I1331">
        <v>73</v>
      </c>
      <c r="J1331">
        <v>73</v>
      </c>
      <c r="K1331">
        <v>71</v>
      </c>
      <c r="L1331">
        <v>84</v>
      </c>
      <c r="M1331">
        <v>79</v>
      </c>
      <c r="N1331">
        <v>74</v>
      </c>
      <c r="O1331" s="173">
        <f t="shared" si="296"/>
        <v>74.75</v>
      </c>
      <c r="P1331" s="173">
        <f t="shared" si="297"/>
        <v>-1</v>
      </c>
      <c r="Q1331" s="177">
        <f t="shared" si="298"/>
        <v>-1.3201320132013201E-2</v>
      </c>
      <c r="R1331" s="177"/>
    </row>
    <row r="1332" spans="1:18" x14ac:dyDescent="0.2">
      <c r="B1332" t="s">
        <v>294</v>
      </c>
      <c r="C1332">
        <v>70</v>
      </c>
      <c r="D1332">
        <v>68</v>
      </c>
      <c r="E1332">
        <v>80</v>
      </c>
      <c r="F1332">
        <v>73</v>
      </c>
      <c r="G1332">
        <v>82</v>
      </c>
      <c r="H1332">
        <v>81</v>
      </c>
      <c r="I1332">
        <v>83</v>
      </c>
      <c r="J1332">
        <v>80</v>
      </c>
      <c r="K1332">
        <v>78</v>
      </c>
      <c r="L1332">
        <v>78</v>
      </c>
      <c r="M1332">
        <v>78</v>
      </c>
      <c r="N1332">
        <v>86</v>
      </c>
      <c r="O1332" s="173">
        <f t="shared" si="296"/>
        <v>78.083333333333329</v>
      </c>
      <c r="P1332" s="173">
        <f t="shared" si="297"/>
        <v>3.3333333333333286</v>
      </c>
      <c r="Q1332" s="177">
        <f t="shared" ref="Q1332:Q1337" si="299">SUM(P1332/O1331)</f>
        <v>4.4593088071348874E-2</v>
      </c>
    </row>
    <row r="1333" spans="1:18" x14ac:dyDescent="0.2">
      <c r="B1333" t="s">
        <v>295</v>
      </c>
      <c r="C1333">
        <v>75</v>
      </c>
      <c r="D1333">
        <v>74</v>
      </c>
      <c r="E1333">
        <v>79</v>
      </c>
      <c r="F1333">
        <v>77</v>
      </c>
      <c r="G1333">
        <v>75</v>
      </c>
      <c r="H1333">
        <v>66</v>
      </c>
      <c r="I1333">
        <v>64</v>
      </c>
      <c r="J1333">
        <v>64</v>
      </c>
      <c r="K1333">
        <v>47</v>
      </c>
      <c r="L1333">
        <v>47</v>
      </c>
      <c r="M1333">
        <v>45</v>
      </c>
      <c r="N1333">
        <v>47</v>
      </c>
      <c r="O1333" s="173">
        <f>SUM(C1333:N1333)/12</f>
        <v>63.333333333333336</v>
      </c>
      <c r="P1333" s="173">
        <f>SUM(O1333-O1332)</f>
        <v>-14.749999999999993</v>
      </c>
      <c r="Q1333" s="177">
        <f t="shared" si="299"/>
        <v>-0.18890074706510132</v>
      </c>
    </row>
    <row r="1334" spans="1:18" x14ac:dyDescent="0.2">
      <c r="B1334" t="s">
        <v>335</v>
      </c>
      <c r="C1334">
        <v>42</v>
      </c>
      <c r="D1334">
        <v>43</v>
      </c>
      <c r="E1334">
        <v>41</v>
      </c>
      <c r="F1334">
        <v>41</v>
      </c>
      <c r="G1334">
        <v>38</v>
      </c>
      <c r="H1334">
        <v>54</v>
      </c>
      <c r="I1334">
        <v>60</v>
      </c>
      <c r="J1334">
        <v>53</v>
      </c>
      <c r="K1334">
        <v>57</v>
      </c>
      <c r="L1334">
        <v>45</v>
      </c>
      <c r="M1334">
        <v>48</v>
      </c>
      <c r="N1334">
        <v>49</v>
      </c>
      <c r="O1334" s="173">
        <f>SUM(C1334:N1334)/12</f>
        <v>47.583333333333336</v>
      </c>
      <c r="P1334" s="173">
        <f>SUM(O1334-O1333)</f>
        <v>-15.75</v>
      </c>
      <c r="Q1334" s="177">
        <f t="shared" si="299"/>
        <v>-0.24868421052631579</v>
      </c>
    </row>
    <row r="1335" spans="1:18" x14ac:dyDescent="0.2">
      <c r="B1335" t="s">
        <v>358</v>
      </c>
      <c r="C1335">
        <v>49</v>
      </c>
      <c r="D1335">
        <v>51</v>
      </c>
      <c r="E1335">
        <v>45</v>
      </c>
      <c r="F1335">
        <v>54</v>
      </c>
      <c r="G1335">
        <v>56</v>
      </c>
      <c r="H1335">
        <v>56</v>
      </c>
      <c r="I1335">
        <v>53</v>
      </c>
      <c r="J1335">
        <v>50</v>
      </c>
      <c r="K1335">
        <v>47</v>
      </c>
      <c r="L1335">
        <v>44</v>
      </c>
      <c r="M1335">
        <v>44</v>
      </c>
      <c r="N1335">
        <v>52</v>
      </c>
      <c r="O1335" s="173">
        <f>SUM(C1335:N1335)/12</f>
        <v>50.083333333333336</v>
      </c>
      <c r="P1335" s="173">
        <f>SUM(O1335-O1334)</f>
        <v>2.5</v>
      </c>
      <c r="Q1335" s="177">
        <f t="shared" si="299"/>
        <v>5.2539404553415062E-2</v>
      </c>
    </row>
    <row r="1336" spans="1:18" x14ac:dyDescent="0.2">
      <c r="B1336" t="s">
        <v>437</v>
      </c>
      <c r="C1336">
        <v>54</v>
      </c>
      <c r="D1336">
        <v>54</v>
      </c>
      <c r="E1336">
        <v>51</v>
      </c>
      <c r="F1336">
        <v>57</v>
      </c>
      <c r="G1336">
        <v>56</v>
      </c>
      <c r="H1336">
        <v>64</v>
      </c>
      <c r="I1336">
        <v>66</v>
      </c>
      <c r="J1336">
        <v>65</v>
      </c>
      <c r="K1336">
        <v>65</v>
      </c>
      <c r="L1336">
        <v>65</v>
      </c>
      <c r="M1336">
        <v>72</v>
      </c>
      <c r="N1336">
        <v>63</v>
      </c>
      <c r="O1336" s="173">
        <f>SUM(C1336:N1336)/12</f>
        <v>61</v>
      </c>
      <c r="P1336" s="173">
        <f>SUM(O1336-O1335)</f>
        <v>10.916666666666664</v>
      </c>
      <c r="Q1336" s="177">
        <f t="shared" si="299"/>
        <v>0.21797004991680527</v>
      </c>
    </row>
    <row r="1337" spans="1:18" x14ac:dyDescent="0.2">
      <c r="B1337" t="s">
        <v>471</v>
      </c>
      <c r="C1337">
        <v>67</v>
      </c>
      <c r="D1337">
        <v>65</v>
      </c>
      <c r="E1337">
        <v>65</v>
      </c>
      <c r="F1337">
        <v>61</v>
      </c>
      <c r="G1337">
        <v>59</v>
      </c>
      <c r="H1337">
        <v>58</v>
      </c>
      <c r="I1337">
        <v>53</v>
      </c>
      <c r="J1337">
        <v>56</v>
      </c>
      <c r="K1337">
        <v>57</v>
      </c>
      <c r="L1337">
        <v>57</v>
      </c>
      <c r="M1337">
        <v>52</v>
      </c>
      <c r="N1337">
        <v>58</v>
      </c>
      <c r="O1337" s="173">
        <f>SUM(C1337:N1337)/12</f>
        <v>59</v>
      </c>
      <c r="P1337" s="173">
        <f>SUM(O1337-O1336)</f>
        <v>-2</v>
      </c>
      <c r="Q1337" s="177">
        <f t="shared" si="299"/>
        <v>-3.2786885245901641E-2</v>
      </c>
    </row>
    <row r="1338" spans="1:18" x14ac:dyDescent="0.2">
      <c r="B1338" t="s">
        <v>537</v>
      </c>
      <c r="C1338">
        <v>55</v>
      </c>
      <c r="D1338">
        <v>43</v>
      </c>
      <c r="O1338" s="173"/>
      <c r="P1338" s="173"/>
      <c r="Q1338" s="177"/>
    </row>
    <row r="1339" spans="1:18" x14ac:dyDescent="0.2">
      <c r="A1339" s="603" t="s">
        <v>451</v>
      </c>
      <c r="B1339" s="601" t="s">
        <v>418</v>
      </c>
      <c r="C1339" s="601" t="s">
        <v>419</v>
      </c>
      <c r="D1339" s="601" t="s">
        <v>420</v>
      </c>
      <c r="E1339" s="601" t="s">
        <v>421</v>
      </c>
      <c r="F1339" s="601" t="s">
        <v>422</v>
      </c>
      <c r="G1339" s="601" t="s">
        <v>423</v>
      </c>
      <c r="H1339" s="601" t="s">
        <v>424</v>
      </c>
      <c r="I1339" s="601" t="s">
        <v>425</v>
      </c>
      <c r="J1339" s="601" t="s">
        <v>426</v>
      </c>
      <c r="K1339" s="601" t="s">
        <v>427</v>
      </c>
      <c r="L1339" s="601" t="s">
        <v>428</v>
      </c>
      <c r="M1339" s="601" t="s">
        <v>429</v>
      </c>
      <c r="N1339" s="601" t="s">
        <v>430</v>
      </c>
    </row>
    <row r="1340" spans="1:18" x14ac:dyDescent="0.2">
      <c r="B1340" t="s">
        <v>335</v>
      </c>
      <c r="H1340">
        <v>120</v>
      </c>
      <c r="I1340">
        <v>96</v>
      </c>
      <c r="J1340">
        <v>123</v>
      </c>
      <c r="K1340">
        <v>105</v>
      </c>
      <c r="L1340">
        <v>122</v>
      </c>
      <c r="M1340">
        <v>118</v>
      </c>
      <c r="N1340">
        <v>118</v>
      </c>
      <c r="O1340" s="173">
        <f>SUM(C1340:N1340)/7</f>
        <v>114.57142857142857</v>
      </c>
      <c r="P1340" s="173"/>
      <c r="Q1340" s="177"/>
    </row>
    <row r="1341" spans="1:18" x14ac:dyDescent="0.2">
      <c r="B1341" t="s">
        <v>358</v>
      </c>
      <c r="C1341">
        <v>108</v>
      </c>
      <c r="D1341">
        <v>110</v>
      </c>
      <c r="E1341">
        <v>105</v>
      </c>
      <c r="F1341">
        <v>102</v>
      </c>
      <c r="G1341">
        <v>121</v>
      </c>
      <c r="H1341">
        <v>133</v>
      </c>
      <c r="I1341">
        <v>137</v>
      </c>
      <c r="J1341">
        <v>129</v>
      </c>
      <c r="K1341">
        <v>137</v>
      </c>
      <c r="L1341">
        <v>140</v>
      </c>
      <c r="M1341">
        <v>134</v>
      </c>
      <c r="N1341">
        <v>128</v>
      </c>
      <c r="O1341" s="173">
        <f>SUM(C1341:N1341)/12</f>
        <v>123.66666666666667</v>
      </c>
      <c r="P1341" s="173">
        <f>SUM(O1341-O1340)</f>
        <v>9.095238095238102</v>
      </c>
      <c r="Q1341" s="177">
        <f>SUM(P1341/O1340)</f>
        <v>7.9384871155444778E-2</v>
      </c>
    </row>
    <row r="1342" spans="1:18" x14ac:dyDescent="0.2">
      <c r="B1342" t="s">
        <v>437</v>
      </c>
      <c r="C1342">
        <v>109</v>
      </c>
      <c r="D1342">
        <v>111</v>
      </c>
      <c r="E1342">
        <v>117</v>
      </c>
      <c r="F1342">
        <v>117</v>
      </c>
      <c r="G1342">
        <v>122</v>
      </c>
      <c r="H1342">
        <v>122</v>
      </c>
      <c r="I1342">
        <v>140</v>
      </c>
      <c r="J1342">
        <v>138</v>
      </c>
      <c r="K1342">
        <v>138</v>
      </c>
      <c r="L1342">
        <v>107</v>
      </c>
      <c r="M1342">
        <v>109</v>
      </c>
      <c r="N1342">
        <v>128</v>
      </c>
      <c r="O1342" s="173">
        <f>SUM(C1342:N1342)/12</f>
        <v>121.5</v>
      </c>
      <c r="P1342" s="173">
        <f>SUM(O1342-O1341)</f>
        <v>-2.1666666666666714</v>
      </c>
      <c r="Q1342" s="177">
        <f>SUM(P1342/O1341)</f>
        <v>-1.7520215633423219E-2</v>
      </c>
    </row>
    <row r="1343" spans="1:18" x14ac:dyDescent="0.2">
      <c r="B1343" t="s">
        <v>471</v>
      </c>
      <c r="C1343">
        <v>109</v>
      </c>
      <c r="D1343">
        <v>116</v>
      </c>
      <c r="E1343">
        <v>125</v>
      </c>
      <c r="F1343">
        <v>113</v>
      </c>
      <c r="G1343">
        <v>99</v>
      </c>
      <c r="H1343">
        <v>98</v>
      </c>
      <c r="I1343">
        <v>107</v>
      </c>
      <c r="J1343">
        <v>113</v>
      </c>
      <c r="K1343">
        <v>118</v>
      </c>
      <c r="L1343">
        <v>105</v>
      </c>
      <c r="M1343">
        <v>107</v>
      </c>
      <c r="N1343">
        <v>110</v>
      </c>
      <c r="O1343" s="173">
        <f>SUM(C1343:N1343)/12</f>
        <v>110</v>
      </c>
      <c r="P1343" s="173">
        <f>SUM(O1343-O1342)</f>
        <v>-11.5</v>
      </c>
      <c r="Q1343" s="177">
        <f>SUM(P1343/O1342)</f>
        <v>-9.4650205761316872E-2</v>
      </c>
    </row>
    <row r="1344" spans="1:18" x14ac:dyDescent="0.2">
      <c r="B1344" t="s">
        <v>537</v>
      </c>
      <c r="C1344">
        <v>111</v>
      </c>
      <c r="D1344">
        <v>102</v>
      </c>
    </row>
    <row r="1348" spans="1:18" x14ac:dyDescent="0.2">
      <c r="A1348" s="178"/>
      <c r="B1348" s="178"/>
      <c r="C1348" s="178"/>
      <c r="D1348" s="178"/>
      <c r="E1348" s="178"/>
      <c r="F1348" s="178"/>
      <c r="G1348" s="178"/>
      <c r="H1348" s="178"/>
      <c r="I1348" s="178"/>
      <c r="J1348" s="178"/>
      <c r="K1348" s="178"/>
      <c r="L1348" s="178"/>
      <c r="M1348" s="178"/>
      <c r="N1348" s="178"/>
      <c r="O1348" s="178"/>
      <c r="P1348" s="178"/>
      <c r="Q1348" s="178"/>
      <c r="R1348" s="178"/>
    </row>
    <row r="1349" spans="1:18" ht="38.25" x14ac:dyDescent="0.2">
      <c r="A1349" s="615" t="s">
        <v>452</v>
      </c>
      <c r="B1349" s="600" t="s">
        <v>418</v>
      </c>
      <c r="C1349" s="601" t="s">
        <v>419</v>
      </c>
      <c r="D1349" s="601" t="s">
        <v>420</v>
      </c>
      <c r="E1349" s="601" t="s">
        <v>421</v>
      </c>
      <c r="F1349" s="601" t="s">
        <v>422</v>
      </c>
      <c r="G1349" s="601" t="s">
        <v>423</v>
      </c>
      <c r="H1349" s="601" t="s">
        <v>424</v>
      </c>
      <c r="I1349" s="601" t="s">
        <v>425</v>
      </c>
      <c r="J1349" s="601" t="s">
        <v>426</v>
      </c>
      <c r="K1349" s="601" t="s">
        <v>427</v>
      </c>
      <c r="L1349" s="601" t="s">
        <v>428</v>
      </c>
      <c r="M1349" s="601" t="s">
        <v>429</v>
      </c>
      <c r="N1349" s="601" t="s">
        <v>430</v>
      </c>
      <c r="O1349" s="174" t="s">
        <v>431</v>
      </c>
      <c r="P1349" s="607" t="s">
        <v>432</v>
      </c>
      <c r="Q1349" s="607" t="s">
        <v>433</v>
      </c>
      <c r="R1349" s="607" t="s">
        <v>453</v>
      </c>
    </row>
    <row r="1350" spans="1:18" x14ac:dyDescent="0.2">
      <c r="A1350" s="612" t="s">
        <v>470</v>
      </c>
      <c r="B1350" t="s">
        <v>434</v>
      </c>
      <c r="C1350">
        <f t="shared" ref="C1350:N1362" si="300">SUM(C1128,C1144,C1160,C1177,C1193,C1209,C1226,C1242,C1258,C1275,C1291,C1307,C1324)</f>
        <v>4476</v>
      </c>
      <c r="D1350">
        <f t="shared" si="300"/>
        <v>4483</v>
      </c>
      <c r="E1350">
        <f t="shared" si="300"/>
        <v>4465</v>
      </c>
      <c r="F1350">
        <f t="shared" si="300"/>
        <v>4430</v>
      </c>
      <c r="G1350">
        <f t="shared" si="300"/>
        <v>4464</v>
      </c>
      <c r="H1350">
        <f t="shared" si="300"/>
        <v>4489</v>
      </c>
      <c r="I1350">
        <f t="shared" si="300"/>
        <v>4483</v>
      </c>
      <c r="J1350">
        <f t="shared" si="300"/>
        <v>4518</v>
      </c>
      <c r="K1350">
        <f t="shared" si="300"/>
        <v>4524</v>
      </c>
      <c r="L1350">
        <f t="shared" si="300"/>
        <v>4527</v>
      </c>
      <c r="M1350">
        <f t="shared" si="300"/>
        <v>4496</v>
      </c>
      <c r="N1350">
        <f t="shared" si="300"/>
        <v>4561</v>
      </c>
      <c r="O1350">
        <f t="shared" ref="O1350:O1358" si="301">SUM(C1350:N1350)/12</f>
        <v>4493</v>
      </c>
      <c r="P1350" s="608"/>
      <c r="Q1350" s="608"/>
      <c r="R1350" s="608"/>
    </row>
    <row r="1351" spans="1:18" x14ac:dyDescent="0.2">
      <c r="B1351" t="s">
        <v>435</v>
      </c>
      <c r="C1351">
        <f t="shared" si="300"/>
        <v>4520</v>
      </c>
      <c r="D1351">
        <f t="shared" si="300"/>
        <v>4564</v>
      </c>
      <c r="E1351">
        <f t="shared" si="300"/>
        <v>4554</v>
      </c>
      <c r="F1351">
        <f t="shared" si="300"/>
        <v>4570</v>
      </c>
      <c r="G1351">
        <f t="shared" si="300"/>
        <v>4539</v>
      </c>
      <c r="H1351">
        <f t="shared" si="300"/>
        <v>4559</v>
      </c>
      <c r="I1351">
        <f t="shared" si="300"/>
        <v>4522</v>
      </c>
      <c r="J1351">
        <f t="shared" si="300"/>
        <v>4548</v>
      </c>
      <c r="K1351">
        <f t="shared" si="300"/>
        <v>4510</v>
      </c>
      <c r="L1351">
        <f t="shared" si="300"/>
        <v>4548</v>
      </c>
      <c r="M1351">
        <f t="shared" si="300"/>
        <v>4537</v>
      </c>
      <c r="N1351">
        <f t="shared" si="300"/>
        <v>4525</v>
      </c>
      <c r="O1351" s="173">
        <f t="shared" si="301"/>
        <v>4541.333333333333</v>
      </c>
      <c r="P1351" s="609">
        <f t="shared" ref="P1351:P1357" si="302">SUM(O1351-N1350)</f>
        <v>-19.66666666666697</v>
      </c>
      <c r="Q1351" s="610">
        <f t="shared" ref="Q1351:Q1359" si="303">SUM(P1351/O1350)</f>
        <v>-4.3771793159730621E-3</v>
      </c>
      <c r="R1351" s="608"/>
    </row>
    <row r="1352" spans="1:18" x14ac:dyDescent="0.2">
      <c r="B1352" t="s">
        <v>436</v>
      </c>
      <c r="C1352">
        <f t="shared" si="300"/>
        <v>4558</v>
      </c>
      <c r="D1352">
        <f t="shared" si="300"/>
        <v>4615</v>
      </c>
      <c r="E1352">
        <f t="shared" si="300"/>
        <v>4607</v>
      </c>
      <c r="F1352">
        <f t="shared" si="300"/>
        <v>4575</v>
      </c>
      <c r="G1352">
        <f t="shared" si="300"/>
        <v>4575</v>
      </c>
      <c r="H1352">
        <f t="shared" si="300"/>
        <v>4624</v>
      </c>
      <c r="I1352">
        <f t="shared" si="300"/>
        <v>4604</v>
      </c>
      <c r="J1352">
        <f t="shared" si="300"/>
        <v>4666</v>
      </c>
      <c r="K1352">
        <f t="shared" si="300"/>
        <v>4736</v>
      </c>
      <c r="L1352">
        <f t="shared" si="300"/>
        <v>4774</v>
      </c>
      <c r="M1352">
        <f t="shared" si="300"/>
        <v>4832</v>
      </c>
      <c r="N1352">
        <f t="shared" si="300"/>
        <v>4872</v>
      </c>
      <c r="O1352" s="173">
        <f t="shared" si="301"/>
        <v>4669.833333333333</v>
      </c>
      <c r="P1352" s="609">
        <f t="shared" si="302"/>
        <v>144.83333333333303</v>
      </c>
      <c r="Q1352" s="610">
        <f t="shared" si="303"/>
        <v>3.1892248972401581E-2</v>
      </c>
      <c r="R1352" s="610">
        <f>SUM(Q1351:Q1352)</f>
        <v>2.7515069656428519E-2</v>
      </c>
    </row>
    <row r="1353" spans="1:18" x14ac:dyDescent="0.2">
      <c r="B1353" t="s">
        <v>260</v>
      </c>
      <c r="C1353">
        <f t="shared" si="300"/>
        <v>4823</v>
      </c>
      <c r="D1353">
        <f t="shared" si="300"/>
        <v>4949</v>
      </c>
      <c r="E1353">
        <f t="shared" si="300"/>
        <v>4738</v>
      </c>
      <c r="F1353">
        <f t="shared" si="300"/>
        <v>4753</v>
      </c>
      <c r="G1353">
        <f t="shared" si="300"/>
        <v>4796</v>
      </c>
      <c r="H1353">
        <f t="shared" si="300"/>
        <v>4795</v>
      </c>
      <c r="I1353">
        <f t="shared" si="300"/>
        <v>4787</v>
      </c>
      <c r="J1353">
        <f t="shared" si="300"/>
        <v>4789</v>
      </c>
      <c r="K1353">
        <f t="shared" si="300"/>
        <v>4682</v>
      </c>
      <c r="L1353">
        <f t="shared" si="300"/>
        <v>4694</v>
      </c>
      <c r="M1353">
        <f t="shared" si="300"/>
        <v>4685</v>
      </c>
      <c r="N1353">
        <f t="shared" si="300"/>
        <v>4723</v>
      </c>
      <c r="O1353" s="173">
        <f t="shared" si="301"/>
        <v>4767.833333333333</v>
      </c>
      <c r="P1353" s="609">
        <f t="shared" si="302"/>
        <v>-104.16666666666697</v>
      </c>
      <c r="Q1353" s="610">
        <f t="shared" si="303"/>
        <v>-2.2306292158892245E-2</v>
      </c>
      <c r="R1353" s="610">
        <f>SUM(Q1351:Q1353)</f>
        <v>5.2087774975362738E-3</v>
      </c>
    </row>
    <row r="1354" spans="1:18" x14ac:dyDescent="0.2">
      <c r="B1354" t="s">
        <v>259</v>
      </c>
      <c r="C1354">
        <f t="shared" si="300"/>
        <v>4934</v>
      </c>
      <c r="D1354">
        <f t="shared" si="300"/>
        <v>4681</v>
      </c>
      <c r="E1354">
        <f t="shared" si="300"/>
        <v>4701</v>
      </c>
      <c r="F1354">
        <f t="shared" si="300"/>
        <v>4713</v>
      </c>
      <c r="G1354">
        <f t="shared" si="300"/>
        <v>4644</v>
      </c>
      <c r="H1354">
        <f t="shared" si="300"/>
        <v>4760</v>
      </c>
      <c r="I1354">
        <f t="shared" si="300"/>
        <v>4760</v>
      </c>
      <c r="J1354">
        <f t="shared" si="300"/>
        <v>4753</v>
      </c>
      <c r="K1354">
        <f t="shared" si="300"/>
        <v>4744</v>
      </c>
      <c r="L1354">
        <f t="shared" si="300"/>
        <v>4764</v>
      </c>
      <c r="M1354">
        <f t="shared" si="300"/>
        <v>4810</v>
      </c>
      <c r="N1354">
        <f t="shared" si="300"/>
        <v>4804</v>
      </c>
      <c r="O1354" s="173">
        <f t="shared" si="301"/>
        <v>4755.666666666667</v>
      </c>
      <c r="P1354" s="609">
        <f t="shared" si="302"/>
        <v>32.66666666666697</v>
      </c>
      <c r="Q1354" s="610">
        <f t="shared" si="303"/>
        <v>6.8514699199497264E-3</v>
      </c>
      <c r="R1354" s="610">
        <f>SUM(Q1351:Q1354)</f>
        <v>1.2060247417486E-2</v>
      </c>
    </row>
    <row r="1355" spans="1:18" x14ac:dyDescent="0.2">
      <c r="B1355" t="s">
        <v>280</v>
      </c>
      <c r="C1355">
        <f t="shared" si="300"/>
        <v>4780</v>
      </c>
      <c r="D1355">
        <f t="shared" si="300"/>
        <v>4815</v>
      </c>
      <c r="E1355">
        <f t="shared" si="300"/>
        <v>4843</v>
      </c>
      <c r="F1355">
        <f t="shared" si="300"/>
        <v>4851</v>
      </c>
      <c r="G1355">
        <f t="shared" si="300"/>
        <v>4883</v>
      </c>
      <c r="H1355">
        <f t="shared" si="300"/>
        <v>4792</v>
      </c>
      <c r="I1355">
        <f t="shared" si="300"/>
        <v>4842</v>
      </c>
      <c r="J1355">
        <f t="shared" si="300"/>
        <v>4977</v>
      </c>
      <c r="K1355">
        <f t="shared" si="300"/>
        <v>4949</v>
      </c>
      <c r="L1355">
        <f t="shared" si="300"/>
        <v>4956</v>
      </c>
      <c r="M1355">
        <f t="shared" si="300"/>
        <v>5017</v>
      </c>
      <c r="N1355">
        <f t="shared" si="300"/>
        <v>4991</v>
      </c>
      <c r="O1355" s="173">
        <f t="shared" si="301"/>
        <v>4891.333333333333</v>
      </c>
      <c r="P1355" s="609">
        <f t="shared" si="302"/>
        <v>87.33333333333303</v>
      </c>
      <c r="Q1355" s="610">
        <f t="shared" si="303"/>
        <v>1.8364056914558006E-2</v>
      </c>
      <c r="R1355" s="610">
        <f>SUM(Q1351:Q1355)</f>
        <v>3.0424304332044006E-2</v>
      </c>
    </row>
    <row r="1356" spans="1:18" x14ac:dyDescent="0.2">
      <c r="B1356" t="s">
        <v>290</v>
      </c>
      <c r="C1356">
        <f t="shared" si="300"/>
        <v>5030</v>
      </c>
      <c r="D1356">
        <f t="shared" si="300"/>
        <v>5070</v>
      </c>
      <c r="E1356">
        <f t="shared" si="300"/>
        <v>5041</v>
      </c>
      <c r="F1356">
        <f t="shared" si="300"/>
        <v>5085</v>
      </c>
      <c r="G1356">
        <f t="shared" si="300"/>
        <v>5067</v>
      </c>
      <c r="H1356">
        <f t="shared" si="300"/>
        <v>5102</v>
      </c>
      <c r="I1356">
        <f t="shared" si="300"/>
        <v>5086</v>
      </c>
      <c r="J1356">
        <f t="shared" si="300"/>
        <v>5164</v>
      </c>
      <c r="K1356">
        <f t="shared" si="300"/>
        <v>5141</v>
      </c>
      <c r="L1356">
        <f t="shared" si="300"/>
        <v>5196</v>
      </c>
      <c r="M1356">
        <f t="shared" si="300"/>
        <v>5262</v>
      </c>
      <c r="N1356">
        <f t="shared" si="300"/>
        <v>5272</v>
      </c>
      <c r="O1356" s="173">
        <f t="shared" si="301"/>
        <v>5126.333333333333</v>
      </c>
      <c r="P1356" s="609">
        <f t="shared" si="302"/>
        <v>135.33333333333303</v>
      </c>
      <c r="Q1356" s="610">
        <f t="shared" si="303"/>
        <v>2.7667984189723261E-2</v>
      </c>
      <c r="R1356" s="610">
        <f>SUM(Q1351:Q1356)</f>
        <v>5.8092288521767267E-2</v>
      </c>
    </row>
    <row r="1357" spans="1:18" x14ac:dyDescent="0.2">
      <c r="B1357" t="s">
        <v>293</v>
      </c>
      <c r="C1357">
        <f t="shared" si="300"/>
        <v>5300</v>
      </c>
      <c r="D1357">
        <f t="shared" si="300"/>
        <v>5270</v>
      </c>
      <c r="E1357">
        <f t="shared" si="300"/>
        <v>5214</v>
      </c>
      <c r="F1357">
        <f t="shared" si="300"/>
        <v>5280</v>
      </c>
      <c r="G1357">
        <f t="shared" si="300"/>
        <v>5289</v>
      </c>
      <c r="H1357">
        <f t="shared" si="300"/>
        <v>5344</v>
      </c>
      <c r="I1357">
        <f t="shared" si="300"/>
        <v>5315</v>
      </c>
      <c r="J1357">
        <f t="shared" si="300"/>
        <v>5326</v>
      </c>
      <c r="K1357">
        <f t="shared" si="300"/>
        <v>5260</v>
      </c>
      <c r="L1357">
        <f t="shared" si="300"/>
        <v>5801</v>
      </c>
      <c r="M1357">
        <f t="shared" si="300"/>
        <v>5765</v>
      </c>
      <c r="N1357">
        <f t="shared" si="300"/>
        <v>5296</v>
      </c>
      <c r="O1357" s="173">
        <f t="shared" si="301"/>
        <v>5371.666666666667</v>
      </c>
      <c r="P1357" s="609">
        <f t="shared" si="302"/>
        <v>99.66666666666697</v>
      </c>
      <c r="Q1357" s="610">
        <f t="shared" si="303"/>
        <v>1.9442096365173349E-2</v>
      </c>
      <c r="R1357" s="610">
        <f t="shared" ref="R1357:R1362" si="304">SUM(Q1351:Q1357)</f>
        <v>7.7534384886940616E-2</v>
      </c>
    </row>
    <row r="1358" spans="1:18" x14ac:dyDescent="0.2">
      <c r="B1358" t="s">
        <v>294</v>
      </c>
      <c r="C1358">
        <f t="shared" si="300"/>
        <v>5324</v>
      </c>
      <c r="D1358">
        <f t="shared" si="300"/>
        <v>5413</v>
      </c>
      <c r="E1358">
        <f t="shared" si="300"/>
        <v>5738</v>
      </c>
      <c r="F1358">
        <f t="shared" si="300"/>
        <v>5475</v>
      </c>
      <c r="G1358">
        <f t="shared" si="300"/>
        <v>5231</v>
      </c>
      <c r="H1358">
        <f t="shared" si="300"/>
        <v>5265</v>
      </c>
      <c r="I1358">
        <f t="shared" si="300"/>
        <v>5442</v>
      </c>
      <c r="J1358">
        <f t="shared" si="300"/>
        <v>5402</v>
      </c>
      <c r="K1358">
        <f t="shared" si="300"/>
        <v>5364</v>
      </c>
      <c r="L1358">
        <f t="shared" si="300"/>
        <v>5409</v>
      </c>
      <c r="M1358">
        <f t="shared" si="300"/>
        <v>5790</v>
      </c>
      <c r="N1358">
        <f t="shared" si="300"/>
        <v>5890</v>
      </c>
      <c r="O1358" s="173">
        <f t="shared" si="301"/>
        <v>5478.583333333333</v>
      </c>
      <c r="P1358" s="609">
        <f t="shared" ref="P1358:P1363" si="305">SUM(O1358-O1357)</f>
        <v>106.91666666666606</v>
      </c>
      <c r="Q1358" s="610">
        <f t="shared" si="303"/>
        <v>1.9903816320198459E-2</v>
      </c>
      <c r="R1358" s="610">
        <f t="shared" si="304"/>
        <v>0.10181538052311213</v>
      </c>
    </row>
    <row r="1359" spans="1:18" x14ac:dyDescent="0.2">
      <c r="B1359" t="s">
        <v>295</v>
      </c>
      <c r="C1359">
        <f t="shared" si="300"/>
        <v>5636</v>
      </c>
      <c r="D1359">
        <f t="shared" si="300"/>
        <v>5620</v>
      </c>
      <c r="E1359">
        <f t="shared" si="300"/>
        <v>5623</v>
      </c>
      <c r="F1359">
        <f t="shared" si="300"/>
        <v>5600</v>
      </c>
      <c r="G1359">
        <f t="shared" si="300"/>
        <v>5642</v>
      </c>
      <c r="H1359">
        <f t="shared" si="300"/>
        <v>5678</v>
      </c>
      <c r="I1359">
        <f t="shared" si="300"/>
        <v>5668</v>
      </c>
      <c r="J1359">
        <f t="shared" si="300"/>
        <v>5682</v>
      </c>
      <c r="K1359">
        <f t="shared" si="300"/>
        <v>5707</v>
      </c>
      <c r="L1359">
        <f t="shared" si="300"/>
        <v>5751</v>
      </c>
      <c r="M1359">
        <f t="shared" si="300"/>
        <v>5791</v>
      </c>
      <c r="N1359">
        <f t="shared" si="300"/>
        <v>5813</v>
      </c>
      <c r="O1359" s="173">
        <f>SUM(C1359:N1359)/12</f>
        <v>5684.25</v>
      </c>
      <c r="P1359" s="609">
        <f t="shared" si="305"/>
        <v>205.66666666666697</v>
      </c>
      <c r="Q1359" s="610">
        <f t="shared" si="303"/>
        <v>3.7540118339595148E-2</v>
      </c>
      <c r="R1359" s="610">
        <f t="shared" si="304"/>
        <v>0.1074632498903057</v>
      </c>
    </row>
    <row r="1360" spans="1:18" x14ac:dyDescent="0.2">
      <c r="B1360" t="s">
        <v>335</v>
      </c>
      <c r="C1360">
        <f t="shared" si="300"/>
        <v>5792</v>
      </c>
      <c r="D1360">
        <f t="shared" si="300"/>
        <v>5837</v>
      </c>
      <c r="E1360">
        <f t="shared" si="300"/>
        <v>5783</v>
      </c>
      <c r="F1360">
        <f t="shared" si="300"/>
        <v>5776</v>
      </c>
      <c r="G1360">
        <f t="shared" si="300"/>
        <v>5691</v>
      </c>
      <c r="H1360">
        <f t="shared" si="300"/>
        <v>5868</v>
      </c>
      <c r="I1360">
        <f t="shared" si="300"/>
        <v>5812</v>
      </c>
      <c r="J1360">
        <f t="shared" si="300"/>
        <v>5855</v>
      </c>
      <c r="K1360">
        <f t="shared" si="300"/>
        <v>5867</v>
      </c>
      <c r="L1360">
        <f t="shared" si="300"/>
        <v>5881</v>
      </c>
      <c r="M1360">
        <f t="shared" si="300"/>
        <v>5824</v>
      </c>
      <c r="N1360">
        <f t="shared" si="300"/>
        <v>5846</v>
      </c>
      <c r="O1360" s="173">
        <f>SUM(C1360:N1360)/12</f>
        <v>5819.333333333333</v>
      </c>
      <c r="P1360" s="609">
        <f t="shared" si="305"/>
        <v>135.08333333333303</v>
      </c>
      <c r="Q1360" s="610">
        <f>SUM(P1360/O1359)</f>
        <v>2.3764495462608618E-2</v>
      </c>
      <c r="R1360" s="610">
        <f t="shared" si="304"/>
        <v>0.15353403751180655</v>
      </c>
    </row>
    <row r="1361" spans="1:18" x14ac:dyDescent="0.2">
      <c r="B1361" t="s">
        <v>358</v>
      </c>
      <c r="C1361">
        <f t="shared" si="300"/>
        <v>5909</v>
      </c>
      <c r="D1361">
        <f t="shared" si="300"/>
        <v>5921</v>
      </c>
      <c r="E1361">
        <f t="shared" si="300"/>
        <v>5881</v>
      </c>
      <c r="F1361">
        <f t="shared" si="300"/>
        <v>5938</v>
      </c>
      <c r="G1361">
        <f t="shared" si="300"/>
        <v>5963</v>
      </c>
      <c r="H1361">
        <f t="shared" si="300"/>
        <v>5986</v>
      </c>
      <c r="I1361">
        <f t="shared" si="300"/>
        <v>5927</v>
      </c>
      <c r="J1361">
        <f t="shared" si="300"/>
        <v>5974</v>
      </c>
      <c r="K1361">
        <f t="shared" si="300"/>
        <v>6009</v>
      </c>
      <c r="L1361">
        <f t="shared" si="300"/>
        <v>6021</v>
      </c>
      <c r="M1361">
        <f t="shared" si="300"/>
        <v>5978</v>
      </c>
      <c r="N1361">
        <f t="shared" si="300"/>
        <v>5883</v>
      </c>
      <c r="O1361" s="173">
        <f>SUM(C1361:N1361)/12</f>
        <v>5949.166666666667</v>
      </c>
      <c r="P1361" s="609">
        <f t="shared" si="305"/>
        <v>129.83333333333394</v>
      </c>
      <c r="Q1361" s="610">
        <f>SUM(P1361/O1360)</f>
        <v>2.2310688509565919E-2</v>
      </c>
      <c r="R1361" s="610">
        <f t="shared" si="304"/>
        <v>0.16899325610142274</v>
      </c>
    </row>
    <row r="1362" spans="1:18" x14ac:dyDescent="0.2">
      <c r="B1362" t="s">
        <v>454</v>
      </c>
      <c r="C1362">
        <f t="shared" si="300"/>
        <v>5999</v>
      </c>
      <c r="D1362">
        <f t="shared" si="300"/>
        <v>6010</v>
      </c>
      <c r="E1362">
        <f t="shared" si="300"/>
        <v>6006</v>
      </c>
      <c r="F1362">
        <f t="shared" si="300"/>
        <v>6022</v>
      </c>
      <c r="G1362">
        <f t="shared" si="300"/>
        <v>6027</v>
      </c>
      <c r="H1362">
        <f t="shared" si="300"/>
        <v>6072</v>
      </c>
      <c r="I1362">
        <f t="shared" si="300"/>
        <v>6094</v>
      </c>
      <c r="J1362">
        <f t="shared" si="300"/>
        <v>6090</v>
      </c>
      <c r="K1362">
        <f t="shared" si="300"/>
        <v>6044</v>
      </c>
      <c r="L1362">
        <f t="shared" si="300"/>
        <v>6053</v>
      </c>
      <c r="M1362">
        <f t="shared" si="300"/>
        <v>6097</v>
      </c>
      <c r="N1362">
        <f t="shared" si="300"/>
        <v>6122</v>
      </c>
      <c r="O1362" s="173">
        <f>SUM(C1362:N1362)/12</f>
        <v>6053</v>
      </c>
      <c r="P1362" s="609">
        <f t="shared" si="305"/>
        <v>103.83333333333303</v>
      </c>
      <c r="Q1362" s="610">
        <f>SUM(P1362/O1361)</f>
        <v>1.7453424849418635E-2</v>
      </c>
      <c r="R1362" s="610">
        <f t="shared" si="304"/>
        <v>0.16808262403628338</v>
      </c>
    </row>
    <row r="1363" spans="1:18" x14ac:dyDescent="0.2">
      <c r="B1363" s="604" t="s">
        <v>471</v>
      </c>
      <c r="C1363" s="604">
        <f>SUM(C1141,C1157,C1173,C1190,C1206,C1222,C1239,C1255,C1271,C1288,C1304,C1320,C1337,C1343)</f>
        <v>6219</v>
      </c>
      <c r="D1363" s="604">
        <f>SUM(D1141,D1157,D1173,D1190,D1206,D1222,D1239,D1255,D1271,D1288,D1304,D1320,D1337,D1343)</f>
        <v>6195</v>
      </c>
      <c r="E1363" s="604">
        <f t="shared" ref="E1363:O1363" si="306">SUM(E1141,E1157,E1173,E1190,E1206,E1222,E1239,E1255,E1271,E1288,E1304,E1320,E1337,E1343)</f>
        <v>6211</v>
      </c>
      <c r="F1363" s="604">
        <f t="shared" si="306"/>
        <v>6268</v>
      </c>
      <c r="G1363" s="604">
        <f t="shared" si="306"/>
        <v>6289</v>
      </c>
      <c r="H1363" s="604">
        <f t="shared" si="306"/>
        <v>6246</v>
      </c>
      <c r="I1363" s="604">
        <f t="shared" si="306"/>
        <v>6283</v>
      </c>
      <c r="J1363" s="604">
        <f t="shared" si="306"/>
        <v>6294</v>
      </c>
      <c r="K1363" s="604">
        <f t="shared" si="306"/>
        <v>6169</v>
      </c>
      <c r="L1363" s="604">
        <f t="shared" si="306"/>
        <v>6109</v>
      </c>
      <c r="M1363" s="604">
        <f t="shared" si="306"/>
        <v>6183</v>
      </c>
      <c r="N1363" s="604">
        <f t="shared" si="306"/>
        <v>6197</v>
      </c>
      <c r="O1363" s="611">
        <f t="shared" si="306"/>
        <v>6221.9166666666652</v>
      </c>
      <c r="P1363" s="605">
        <f t="shared" si="305"/>
        <v>168.91666666666515</v>
      </c>
      <c r="Q1363" s="606">
        <f>SUM(P1363/O1362)</f>
        <v>2.7906272371826392E-2</v>
      </c>
      <c r="R1363" s="606">
        <f>SUM(Q1357:Q1363)</f>
        <v>0.16832091221838652</v>
      </c>
    </row>
    <row r="1365" spans="1:18" x14ac:dyDescent="0.2">
      <c r="A1365" s="534" t="s">
        <v>538</v>
      </c>
    </row>
    <row r="1370" spans="1:18" x14ac:dyDescent="0.2">
      <c r="A1370" s="531"/>
      <c r="B1370" s="531"/>
      <c r="C1370" s="531"/>
      <c r="D1370" s="531"/>
      <c r="E1370" s="531"/>
      <c r="F1370" s="531"/>
      <c r="G1370" s="531"/>
      <c r="H1370" s="531"/>
      <c r="I1370" s="531"/>
      <c r="J1370" s="531"/>
      <c r="K1370" s="531"/>
      <c r="L1370" s="531"/>
      <c r="M1370" s="531"/>
      <c r="N1370" s="531"/>
      <c r="O1370" s="531"/>
      <c r="P1370" s="531"/>
      <c r="Q1370" s="531"/>
    </row>
    <row r="1371" spans="1:18" ht="38.25" x14ac:dyDescent="0.2">
      <c r="A1371" s="175" t="s">
        <v>417</v>
      </c>
      <c r="B1371" s="176" t="s">
        <v>418</v>
      </c>
      <c r="C1371" s="179" t="s">
        <v>419</v>
      </c>
      <c r="D1371" s="179" t="s">
        <v>420</v>
      </c>
      <c r="E1371" s="179" t="s">
        <v>421</v>
      </c>
      <c r="F1371" s="179" t="s">
        <v>422</v>
      </c>
      <c r="G1371" s="179" t="s">
        <v>423</v>
      </c>
      <c r="H1371" s="179" t="s">
        <v>424</v>
      </c>
      <c r="I1371" s="179" t="s">
        <v>425</v>
      </c>
      <c r="J1371" s="179" t="s">
        <v>426</v>
      </c>
      <c r="K1371" s="179" t="s">
        <v>427</v>
      </c>
      <c r="L1371" s="179" t="s">
        <v>428</v>
      </c>
      <c r="M1371" s="179" t="s">
        <v>429</v>
      </c>
      <c r="N1371" s="179" t="s">
        <v>430</v>
      </c>
      <c r="O1371" s="174" t="s">
        <v>431</v>
      </c>
      <c r="P1371" s="532" t="s">
        <v>432</v>
      </c>
      <c r="Q1371" s="532" t="s">
        <v>433</v>
      </c>
    </row>
    <row r="1372" spans="1:18" x14ac:dyDescent="0.2">
      <c r="B1372" t="s">
        <v>434</v>
      </c>
      <c r="C1372">
        <v>1998</v>
      </c>
      <c r="D1372">
        <v>2016</v>
      </c>
      <c r="E1372">
        <v>1984</v>
      </c>
      <c r="F1372">
        <v>2010</v>
      </c>
      <c r="G1372">
        <v>2067</v>
      </c>
      <c r="H1372">
        <v>2078</v>
      </c>
      <c r="I1372">
        <v>2078</v>
      </c>
      <c r="J1372">
        <v>2085</v>
      </c>
      <c r="K1372">
        <v>2134</v>
      </c>
      <c r="L1372">
        <v>2136</v>
      </c>
      <c r="M1372">
        <v>2135</v>
      </c>
      <c r="N1372">
        <v>2143</v>
      </c>
      <c r="O1372">
        <f>SUM(C1372:N1372)/12</f>
        <v>2072</v>
      </c>
    </row>
    <row r="1373" spans="1:18" x14ac:dyDescent="0.2">
      <c r="B1373" t="s">
        <v>435</v>
      </c>
      <c r="C1373">
        <v>2155</v>
      </c>
      <c r="D1373">
        <v>2157</v>
      </c>
      <c r="E1373">
        <v>2172</v>
      </c>
      <c r="F1373">
        <v>2180</v>
      </c>
      <c r="G1373">
        <v>2183</v>
      </c>
      <c r="H1373">
        <v>2205</v>
      </c>
      <c r="I1373">
        <v>2192</v>
      </c>
      <c r="J1373">
        <v>2191</v>
      </c>
      <c r="K1373">
        <v>2183</v>
      </c>
      <c r="L1373">
        <v>2183</v>
      </c>
      <c r="M1373">
        <v>2191</v>
      </c>
      <c r="N1373">
        <v>2189</v>
      </c>
      <c r="O1373" s="173">
        <f t="shared" ref="O1373:O1380" si="307">SUM(C1373:N1373)/12</f>
        <v>2181.75</v>
      </c>
      <c r="P1373" s="173">
        <f t="shared" ref="P1373:P1381" si="308">SUM(O1373-O1372)</f>
        <v>109.75</v>
      </c>
      <c r="Q1373" s="177">
        <f>SUM(P1373/O1372)</f>
        <v>5.2968146718146716E-2</v>
      </c>
    </row>
    <row r="1374" spans="1:18" x14ac:dyDescent="0.2">
      <c r="B1374" t="s">
        <v>436</v>
      </c>
      <c r="C1374">
        <v>2201</v>
      </c>
      <c r="D1374">
        <v>2233</v>
      </c>
      <c r="E1374">
        <v>2235</v>
      </c>
      <c r="F1374">
        <v>2252</v>
      </c>
      <c r="G1374">
        <v>2259</v>
      </c>
      <c r="H1374">
        <v>2271</v>
      </c>
      <c r="I1374">
        <v>2271</v>
      </c>
      <c r="J1374">
        <v>2307</v>
      </c>
      <c r="K1374">
        <v>2319</v>
      </c>
      <c r="L1374">
        <v>2331</v>
      </c>
      <c r="M1374">
        <v>2343</v>
      </c>
      <c r="N1374">
        <v>2355</v>
      </c>
      <c r="O1374" s="173">
        <f t="shared" si="307"/>
        <v>2281.4166666666665</v>
      </c>
      <c r="P1374" s="173">
        <f t="shared" si="308"/>
        <v>99.666666666666515</v>
      </c>
      <c r="Q1374" s="177">
        <f t="shared" ref="Q1374:Q1379" si="309">SUM(P1374/O1373)</f>
        <v>4.5681983117527906E-2</v>
      </c>
    </row>
    <row r="1375" spans="1:18" x14ac:dyDescent="0.2">
      <c r="B1375" t="s">
        <v>260</v>
      </c>
      <c r="C1375">
        <v>2324</v>
      </c>
      <c r="D1375">
        <v>2433</v>
      </c>
      <c r="E1375">
        <v>2266</v>
      </c>
      <c r="F1375">
        <v>2266</v>
      </c>
      <c r="G1375">
        <v>2306</v>
      </c>
      <c r="H1375">
        <v>2306</v>
      </c>
      <c r="I1375">
        <v>2306</v>
      </c>
      <c r="J1375">
        <v>2334</v>
      </c>
      <c r="K1375">
        <v>2230</v>
      </c>
      <c r="L1375">
        <v>2230</v>
      </c>
      <c r="M1375">
        <v>2230</v>
      </c>
      <c r="N1375">
        <v>2230</v>
      </c>
      <c r="O1375" s="173">
        <f t="shared" si="307"/>
        <v>2288.4166666666665</v>
      </c>
      <c r="P1375" s="173">
        <f t="shared" si="308"/>
        <v>7</v>
      </c>
      <c r="Q1375" s="177">
        <f t="shared" si="309"/>
        <v>3.0682689849143444E-3</v>
      </c>
    </row>
    <row r="1376" spans="1:18" x14ac:dyDescent="0.2">
      <c r="B1376" t="s">
        <v>259</v>
      </c>
      <c r="C1376">
        <v>2408</v>
      </c>
      <c r="D1376">
        <v>2335</v>
      </c>
      <c r="E1376">
        <v>2353</v>
      </c>
      <c r="F1376">
        <v>2353</v>
      </c>
      <c r="G1376">
        <v>2311</v>
      </c>
      <c r="H1376">
        <v>2367</v>
      </c>
      <c r="I1376">
        <v>2367</v>
      </c>
      <c r="J1376">
        <v>2352</v>
      </c>
      <c r="K1376">
        <v>2336</v>
      </c>
      <c r="L1376">
        <v>2336</v>
      </c>
      <c r="M1376">
        <v>2292</v>
      </c>
      <c r="N1376">
        <v>2318</v>
      </c>
      <c r="O1376" s="173">
        <f t="shared" si="307"/>
        <v>2344</v>
      </c>
      <c r="P1376" s="173">
        <f t="shared" si="308"/>
        <v>55.583333333333485</v>
      </c>
      <c r="Q1376" s="177">
        <f t="shared" si="309"/>
        <v>2.4288991660900983E-2</v>
      </c>
    </row>
    <row r="1377" spans="1:17" x14ac:dyDescent="0.2">
      <c r="B1377" t="s">
        <v>280</v>
      </c>
      <c r="C1377">
        <v>2312</v>
      </c>
      <c r="D1377">
        <v>2305</v>
      </c>
      <c r="E1377">
        <v>2318</v>
      </c>
      <c r="F1377">
        <v>2318</v>
      </c>
      <c r="G1377">
        <v>2350</v>
      </c>
      <c r="H1377">
        <v>2314</v>
      </c>
      <c r="I1377">
        <v>2314</v>
      </c>
      <c r="J1377">
        <v>2426</v>
      </c>
      <c r="K1377">
        <v>2400</v>
      </c>
      <c r="L1377">
        <v>2454</v>
      </c>
      <c r="M1377">
        <v>2536</v>
      </c>
      <c r="N1377">
        <v>2334</v>
      </c>
      <c r="O1377" s="173">
        <f t="shared" si="307"/>
        <v>2365.0833333333335</v>
      </c>
      <c r="P1377" s="173">
        <f t="shared" si="308"/>
        <v>21.083333333333485</v>
      </c>
      <c r="Q1377" s="177">
        <f t="shared" si="309"/>
        <v>8.9945961319682095E-3</v>
      </c>
    </row>
    <row r="1378" spans="1:17" x14ac:dyDescent="0.2">
      <c r="B1378" t="s">
        <v>290</v>
      </c>
      <c r="C1378">
        <v>2357</v>
      </c>
      <c r="D1378">
        <v>2384</v>
      </c>
      <c r="E1378">
        <v>2387</v>
      </c>
      <c r="F1378">
        <v>2410</v>
      </c>
      <c r="G1378">
        <v>2414</v>
      </c>
      <c r="H1378">
        <v>2444</v>
      </c>
      <c r="I1378">
        <v>2444</v>
      </c>
      <c r="J1378">
        <v>2433</v>
      </c>
      <c r="K1378">
        <v>2417</v>
      </c>
      <c r="L1378">
        <v>2424</v>
      </c>
      <c r="M1378">
        <v>2443</v>
      </c>
      <c r="N1378">
        <v>2445</v>
      </c>
      <c r="O1378" s="173">
        <f t="shared" si="307"/>
        <v>2416.8333333333335</v>
      </c>
      <c r="P1378" s="173">
        <f t="shared" si="308"/>
        <v>51.75</v>
      </c>
      <c r="Q1378" s="177">
        <f t="shared" si="309"/>
        <v>2.1880835770409779E-2</v>
      </c>
    </row>
    <row r="1379" spans="1:17" x14ac:dyDescent="0.2">
      <c r="B1379" t="s">
        <v>293</v>
      </c>
      <c r="C1379">
        <v>2453</v>
      </c>
      <c r="D1379">
        <v>2437</v>
      </c>
      <c r="E1379">
        <v>2420</v>
      </c>
      <c r="F1379">
        <v>2487</v>
      </c>
      <c r="G1379">
        <v>2437</v>
      </c>
      <c r="H1379">
        <v>2479</v>
      </c>
      <c r="I1379">
        <v>2466</v>
      </c>
      <c r="J1379">
        <v>2488</v>
      </c>
      <c r="K1379">
        <v>2477</v>
      </c>
      <c r="L1379">
        <v>2562</v>
      </c>
      <c r="M1379">
        <v>2557</v>
      </c>
      <c r="N1379">
        <v>2455</v>
      </c>
      <c r="O1379" s="173">
        <f t="shared" si="307"/>
        <v>2476.5</v>
      </c>
      <c r="P1379" s="173">
        <f t="shared" si="308"/>
        <v>59.666666666666515</v>
      </c>
      <c r="Q1379" s="177">
        <f t="shared" si="309"/>
        <v>2.4687952554996142E-2</v>
      </c>
    </row>
    <row r="1380" spans="1:17" x14ac:dyDescent="0.2">
      <c r="B1380" t="s">
        <v>294</v>
      </c>
      <c r="C1380">
        <v>2495</v>
      </c>
      <c r="D1380">
        <v>2542</v>
      </c>
      <c r="E1380">
        <v>2644</v>
      </c>
      <c r="F1380">
        <v>2580</v>
      </c>
      <c r="G1380">
        <v>2273</v>
      </c>
      <c r="H1380">
        <v>2302</v>
      </c>
      <c r="I1380">
        <v>2395</v>
      </c>
      <c r="J1380">
        <v>2404</v>
      </c>
      <c r="K1380">
        <v>2394</v>
      </c>
      <c r="L1380">
        <v>2426</v>
      </c>
      <c r="M1380">
        <v>2689</v>
      </c>
      <c r="N1380">
        <v>2739</v>
      </c>
      <c r="O1380" s="173">
        <f t="shared" si="307"/>
        <v>2490.25</v>
      </c>
      <c r="P1380" s="173">
        <f t="shared" si="308"/>
        <v>13.75</v>
      </c>
      <c r="Q1380" s="177">
        <f>SUM(P1380/O1379)</f>
        <v>5.5521905915606705E-3</v>
      </c>
    </row>
    <row r="1381" spans="1:17" x14ac:dyDescent="0.2">
      <c r="B1381" t="s">
        <v>295</v>
      </c>
      <c r="C1381">
        <v>2704</v>
      </c>
      <c r="D1381">
        <v>2698</v>
      </c>
      <c r="E1381">
        <v>2694</v>
      </c>
      <c r="F1381">
        <v>2677</v>
      </c>
      <c r="G1381">
        <v>2732</v>
      </c>
      <c r="H1381">
        <v>2755</v>
      </c>
      <c r="I1381">
        <v>2778</v>
      </c>
      <c r="J1381">
        <v>2778</v>
      </c>
      <c r="K1381">
        <v>2775</v>
      </c>
      <c r="L1381">
        <v>2782</v>
      </c>
      <c r="M1381">
        <v>2819</v>
      </c>
      <c r="N1381">
        <v>2864</v>
      </c>
      <c r="O1381" s="173">
        <f>SUM(C1381:N1381)/12</f>
        <v>2754.6666666666665</v>
      </c>
      <c r="P1381" s="173">
        <f t="shared" si="308"/>
        <v>264.41666666666652</v>
      </c>
      <c r="Q1381" s="177">
        <f>SUM(P1381/O1380)</f>
        <v>0.10618077167620379</v>
      </c>
    </row>
    <row r="1382" spans="1:17" x14ac:dyDescent="0.2">
      <c r="B1382" t="s">
        <v>335</v>
      </c>
      <c r="C1382">
        <v>2871</v>
      </c>
      <c r="D1382">
        <v>2904</v>
      </c>
      <c r="E1382">
        <v>2884</v>
      </c>
      <c r="F1382">
        <v>2895</v>
      </c>
      <c r="G1382">
        <v>2826</v>
      </c>
      <c r="H1382">
        <v>2865</v>
      </c>
      <c r="I1382">
        <v>2853</v>
      </c>
      <c r="J1382">
        <v>2903</v>
      </c>
      <c r="K1382">
        <v>2885</v>
      </c>
      <c r="L1382">
        <v>2910</v>
      </c>
      <c r="M1382">
        <v>2930</v>
      </c>
      <c r="N1382">
        <v>2884</v>
      </c>
      <c r="O1382" s="173">
        <f>SUM(C1382:N1382)/12</f>
        <v>2884.1666666666665</v>
      </c>
      <c r="P1382" s="173">
        <f>SUM(O1382-O1381)</f>
        <v>129.5</v>
      </c>
      <c r="Q1382" s="177">
        <f>SUM(P1382/O1381)</f>
        <v>4.7011132623426911E-2</v>
      </c>
    </row>
    <row r="1383" spans="1:17" x14ac:dyDescent="0.2">
      <c r="B1383" t="s">
        <v>358</v>
      </c>
      <c r="C1383">
        <v>2896</v>
      </c>
      <c r="D1383">
        <v>2980</v>
      </c>
      <c r="E1383">
        <v>2969</v>
      </c>
      <c r="F1383">
        <v>2961</v>
      </c>
      <c r="G1383">
        <v>3022</v>
      </c>
      <c r="H1383">
        <v>3037</v>
      </c>
      <c r="I1383">
        <v>3049</v>
      </c>
      <c r="J1383">
        <v>3076</v>
      </c>
      <c r="K1383">
        <v>3088</v>
      </c>
      <c r="L1383">
        <v>3074</v>
      </c>
      <c r="M1383">
        <v>3058</v>
      </c>
      <c r="N1383">
        <v>2954</v>
      </c>
      <c r="O1383" s="173">
        <f>SUM(C1383:N1383)/12</f>
        <v>3013.6666666666665</v>
      </c>
      <c r="P1383" s="173">
        <f>SUM(O1383-O1382)</f>
        <v>129.5</v>
      </c>
      <c r="Q1383" s="177">
        <f>SUM(P1383/O1382)</f>
        <v>4.4900317827217567E-2</v>
      </c>
    </row>
    <row r="1384" spans="1:17" x14ac:dyDescent="0.2">
      <c r="B1384" t="s">
        <v>437</v>
      </c>
      <c r="C1384">
        <v>3027</v>
      </c>
      <c r="D1384">
        <v>3039</v>
      </c>
      <c r="E1384">
        <v>3034</v>
      </c>
      <c r="F1384">
        <v>3040</v>
      </c>
      <c r="G1384">
        <v>3022</v>
      </c>
      <c r="H1384">
        <v>3057</v>
      </c>
      <c r="I1384">
        <v>3074</v>
      </c>
      <c r="J1384">
        <v>3088</v>
      </c>
      <c r="K1384">
        <v>3056</v>
      </c>
      <c r="L1384">
        <v>3094</v>
      </c>
      <c r="M1384">
        <v>3138</v>
      </c>
      <c r="N1384">
        <v>3130</v>
      </c>
      <c r="O1384" s="173">
        <f>SUM(C1384:N1384)/12</f>
        <v>3066.5833333333335</v>
      </c>
      <c r="P1384" s="173">
        <f>SUM(O1384-O1383)</f>
        <v>52.91666666666697</v>
      </c>
      <c r="Q1384" s="177">
        <f>SUM(P1384/O1383)</f>
        <v>1.7558898351952318E-2</v>
      </c>
    </row>
    <row r="1385" spans="1:17" x14ac:dyDescent="0.2">
      <c r="B1385" t="s">
        <v>471</v>
      </c>
      <c r="O1385" s="173"/>
      <c r="P1385" s="173"/>
      <c r="Q1385" s="177"/>
    </row>
    <row r="1386" spans="1:17" ht="25.5" x14ac:dyDescent="0.2">
      <c r="A1386" s="175" t="s">
        <v>438</v>
      </c>
      <c r="B1386" s="176" t="s">
        <v>418</v>
      </c>
      <c r="C1386" s="179" t="s">
        <v>419</v>
      </c>
      <c r="D1386" s="179" t="s">
        <v>420</v>
      </c>
      <c r="E1386" s="179" t="s">
        <v>421</v>
      </c>
      <c r="F1386" s="179" t="s">
        <v>422</v>
      </c>
      <c r="G1386" s="179" t="s">
        <v>423</v>
      </c>
      <c r="H1386" s="179" t="s">
        <v>424</v>
      </c>
      <c r="I1386" s="179" t="s">
        <v>425</v>
      </c>
      <c r="J1386" s="179" t="s">
        <v>426</v>
      </c>
      <c r="K1386" s="179" t="s">
        <v>427</v>
      </c>
      <c r="L1386" s="179" t="s">
        <v>428</v>
      </c>
      <c r="M1386" s="179" t="s">
        <v>429</v>
      </c>
      <c r="N1386" s="179" t="s">
        <v>430</v>
      </c>
    </row>
    <row r="1387" spans="1:17" x14ac:dyDescent="0.2">
      <c r="B1387" t="s">
        <v>434</v>
      </c>
      <c r="C1387">
        <v>83</v>
      </c>
      <c r="D1387">
        <v>80</v>
      </c>
      <c r="E1387">
        <v>74</v>
      </c>
      <c r="F1387">
        <v>78</v>
      </c>
      <c r="G1387">
        <v>79</v>
      </c>
      <c r="H1387">
        <v>81</v>
      </c>
      <c r="I1387">
        <v>82</v>
      </c>
      <c r="J1387">
        <v>83</v>
      </c>
      <c r="K1387">
        <v>82</v>
      </c>
      <c r="L1387">
        <v>83</v>
      </c>
      <c r="M1387">
        <v>85</v>
      </c>
      <c r="N1387">
        <v>87</v>
      </c>
      <c r="O1387" s="173">
        <f t="shared" ref="O1387:O1395" si="310">SUM(C1387:N1387)/12</f>
        <v>81.416666666666671</v>
      </c>
      <c r="P1387" s="173"/>
    </row>
    <row r="1388" spans="1:17" x14ac:dyDescent="0.2">
      <c r="B1388" t="s">
        <v>435</v>
      </c>
      <c r="C1388">
        <v>92</v>
      </c>
      <c r="D1388">
        <v>93</v>
      </c>
      <c r="E1388">
        <v>94</v>
      </c>
      <c r="F1388">
        <v>97</v>
      </c>
      <c r="G1388">
        <v>98</v>
      </c>
      <c r="H1388">
        <v>95</v>
      </c>
      <c r="I1388">
        <v>89</v>
      </c>
      <c r="J1388">
        <v>93</v>
      </c>
      <c r="K1388">
        <v>90</v>
      </c>
      <c r="L1388">
        <v>97</v>
      </c>
      <c r="M1388">
        <v>99</v>
      </c>
      <c r="N1388">
        <v>92</v>
      </c>
      <c r="O1388" s="173">
        <f t="shared" si="310"/>
        <v>94.083333333333329</v>
      </c>
      <c r="P1388" s="173">
        <f t="shared" ref="P1388:P1395" si="311">SUM(O1388-O1387)</f>
        <v>12.666666666666657</v>
      </c>
      <c r="Q1388" s="177">
        <f t="shared" ref="Q1388:Q1394" si="312">SUM(P1388/O1387)</f>
        <v>0.15557830092118718</v>
      </c>
    </row>
    <row r="1389" spans="1:17" x14ac:dyDescent="0.2">
      <c r="B1389" t="s">
        <v>436</v>
      </c>
      <c r="C1389">
        <v>90</v>
      </c>
      <c r="D1389">
        <v>91</v>
      </c>
      <c r="E1389">
        <v>92</v>
      </c>
      <c r="F1389">
        <v>100</v>
      </c>
      <c r="G1389">
        <v>99</v>
      </c>
      <c r="H1389">
        <v>111</v>
      </c>
      <c r="I1389">
        <v>102</v>
      </c>
      <c r="J1389">
        <v>94</v>
      </c>
      <c r="K1389">
        <v>96</v>
      </c>
      <c r="L1389">
        <v>98</v>
      </c>
      <c r="M1389">
        <v>93</v>
      </c>
      <c r="N1389">
        <v>89</v>
      </c>
      <c r="O1389" s="173">
        <f t="shared" si="310"/>
        <v>96.25</v>
      </c>
      <c r="P1389" s="173">
        <f t="shared" si="311"/>
        <v>2.1666666666666714</v>
      </c>
      <c r="Q1389" s="177">
        <f t="shared" si="312"/>
        <v>2.3029229406554524E-2</v>
      </c>
    </row>
    <row r="1390" spans="1:17" x14ac:dyDescent="0.2">
      <c r="B1390" t="s">
        <v>260</v>
      </c>
      <c r="C1390">
        <v>72</v>
      </c>
      <c r="D1390">
        <v>74</v>
      </c>
      <c r="E1390">
        <v>73</v>
      </c>
      <c r="F1390">
        <v>73</v>
      </c>
      <c r="G1390">
        <v>73</v>
      </c>
      <c r="H1390">
        <v>73</v>
      </c>
      <c r="I1390">
        <v>73</v>
      </c>
      <c r="J1390">
        <v>65</v>
      </c>
      <c r="K1390">
        <v>65</v>
      </c>
      <c r="L1390">
        <v>65</v>
      </c>
      <c r="M1390">
        <v>65</v>
      </c>
      <c r="N1390">
        <v>60</v>
      </c>
      <c r="O1390" s="173">
        <f t="shared" si="310"/>
        <v>69.25</v>
      </c>
      <c r="P1390" s="173">
        <f t="shared" si="311"/>
        <v>-27</v>
      </c>
      <c r="Q1390" s="177">
        <f t="shared" si="312"/>
        <v>-0.2805194805194805</v>
      </c>
    </row>
    <row r="1391" spans="1:17" x14ac:dyDescent="0.2">
      <c r="B1391" t="s">
        <v>259</v>
      </c>
      <c r="C1391">
        <v>59</v>
      </c>
      <c r="D1391">
        <v>58</v>
      </c>
      <c r="E1391">
        <v>59</v>
      </c>
      <c r="F1391">
        <v>60</v>
      </c>
      <c r="G1391">
        <v>56</v>
      </c>
      <c r="H1391">
        <v>54</v>
      </c>
      <c r="I1391">
        <v>54</v>
      </c>
      <c r="J1391">
        <v>51</v>
      </c>
      <c r="K1391">
        <v>53</v>
      </c>
      <c r="L1391">
        <v>59</v>
      </c>
      <c r="M1391">
        <v>64</v>
      </c>
      <c r="N1391">
        <v>62</v>
      </c>
      <c r="O1391" s="173">
        <f t="shared" si="310"/>
        <v>57.416666666666664</v>
      </c>
      <c r="P1391" s="173">
        <f t="shared" si="311"/>
        <v>-11.833333333333336</v>
      </c>
      <c r="Q1391" s="177">
        <f t="shared" si="312"/>
        <v>-0.17087845968712398</v>
      </c>
    </row>
    <row r="1392" spans="1:17" x14ac:dyDescent="0.2">
      <c r="B1392" t="s">
        <v>280</v>
      </c>
      <c r="C1392">
        <v>66</v>
      </c>
      <c r="D1392">
        <v>68</v>
      </c>
      <c r="E1392">
        <v>66</v>
      </c>
      <c r="F1392">
        <v>65</v>
      </c>
      <c r="G1392">
        <v>63</v>
      </c>
      <c r="H1392">
        <v>68</v>
      </c>
      <c r="I1392">
        <v>63</v>
      </c>
      <c r="J1392">
        <v>57</v>
      </c>
      <c r="K1392">
        <v>45</v>
      </c>
      <c r="L1392">
        <v>45</v>
      </c>
      <c r="M1392">
        <v>47</v>
      </c>
      <c r="N1392">
        <v>49</v>
      </c>
      <c r="O1392" s="173">
        <f t="shared" si="310"/>
        <v>58.5</v>
      </c>
      <c r="P1392" s="173">
        <f t="shared" si="311"/>
        <v>1.0833333333333357</v>
      </c>
      <c r="Q1392" s="177">
        <f t="shared" si="312"/>
        <v>1.8867924528301928E-2</v>
      </c>
    </row>
    <row r="1393" spans="1:17" x14ac:dyDescent="0.2">
      <c r="B1393" t="s">
        <v>290</v>
      </c>
      <c r="C1393">
        <v>47</v>
      </c>
      <c r="D1393">
        <v>45</v>
      </c>
      <c r="E1393">
        <v>45</v>
      </c>
      <c r="F1393">
        <v>47</v>
      </c>
      <c r="G1393">
        <v>47</v>
      </c>
      <c r="H1393">
        <v>42</v>
      </c>
      <c r="I1393">
        <v>40</v>
      </c>
      <c r="J1393">
        <v>42</v>
      </c>
      <c r="K1393">
        <v>47</v>
      </c>
      <c r="L1393">
        <v>46</v>
      </c>
      <c r="M1393">
        <v>41</v>
      </c>
      <c r="N1393">
        <v>39</v>
      </c>
      <c r="O1393" s="173">
        <f t="shared" si="310"/>
        <v>44</v>
      </c>
      <c r="P1393" s="173">
        <f t="shared" si="311"/>
        <v>-14.5</v>
      </c>
      <c r="Q1393" s="177">
        <f t="shared" si="312"/>
        <v>-0.24786324786324787</v>
      </c>
    </row>
    <row r="1394" spans="1:17" x14ac:dyDescent="0.2">
      <c r="B1394" t="s">
        <v>293</v>
      </c>
      <c r="C1394">
        <v>40</v>
      </c>
      <c r="D1394">
        <v>40</v>
      </c>
      <c r="E1394">
        <v>40</v>
      </c>
      <c r="F1394">
        <v>43</v>
      </c>
      <c r="G1394">
        <v>37</v>
      </c>
      <c r="H1394">
        <v>38</v>
      </c>
      <c r="I1394">
        <v>37</v>
      </c>
      <c r="J1394">
        <v>39</v>
      </c>
      <c r="K1394">
        <v>41</v>
      </c>
      <c r="L1394">
        <v>51</v>
      </c>
      <c r="M1394">
        <v>50</v>
      </c>
      <c r="N1394">
        <v>37</v>
      </c>
      <c r="O1394" s="173">
        <f t="shared" si="310"/>
        <v>41.083333333333336</v>
      </c>
      <c r="P1394" s="173">
        <f t="shared" si="311"/>
        <v>-2.9166666666666643</v>
      </c>
      <c r="Q1394" s="177">
        <f t="shared" si="312"/>
        <v>-6.6287878787878729E-2</v>
      </c>
    </row>
    <row r="1395" spans="1:17" x14ac:dyDescent="0.2">
      <c r="B1395" t="s">
        <v>294</v>
      </c>
      <c r="C1395">
        <v>39</v>
      </c>
      <c r="D1395">
        <v>39</v>
      </c>
      <c r="E1395">
        <v>44</v>
      </c>
      <c r="F1395">
        <v>39</v>
      </c>
      <c r="G1395">
        <v>42</v>
      </c>
      <c r="H1395">
        <v>41</v>
      </c>
      <c r="I1395">
        <v>40</v>
      </c>
      <c r="J1395">
        <v>37</v>
      </c>
      <c r="K1395">
        <v>36</v>
      </c>
      <c r="L1395">
        <v>36</v>
      </c>
      <c r="M1395">
        <v>40</v>
      </c>
      <c r="N1395">
        <v>41</v>
      </c>
      <c r="O1395" s="173">
        <f t="shared" si="310"/>
        <v>39.5</v>
      </c>
      <c r="P1395" s="173">
        <f t="shared" si="311"/>
        <v>-1.5833333333333357</v>
      </c>
      <c r="Q1395" s="177">
        <f>SUM(P1395/O1394)</f>
        <v>-3.8539553752535552E-2</v>
      </c>
    </row>
    <row r="1396" spans="1:17" x14ac:dyDescent="0.2">
      <c r="B1396" t="s">
        <v>295</v>
      </c>
      <c r="C1396">
        <v>32</v>
      </c>
      <c r="D1396">
        <v>34</v>
      </c>
      <c r="E1396">
        <v>31</v>
      </c>
      <c r="F1396">
        <v>32</v>
      </c>
      <c r="G1396">
        <v>33</v>
      </c>
      <c r="H1396">
        <v>31</v>
      </c>
      <c r="I1396">
        <v>31</v>
      </c>
      <c r="J1396">
        <v>31</v>
      </c>
      <c r="K1396">
        <v>34</v>
      </c>
      <c r="L1396">
        <v>36</v>
      </c>
      <c r="M1396">
        <v>40</v>
      </c>
      <c r="N1396">
        <v>39</v>
      </c>
      <c r="O1396" s="173">
        <f>SUM(C1396:N1396)/12</f>
        <v>33.666666666666664</v>
      </c>
      <c r="P1396" s="173">
        <f>SUM(O1396-O1395)</f>
        <v>-5.8333333333333357</v>
      </c>
      <c r="Q1396" s="177">
        <f>SUM(P1396/O1395)</f>
        <v>-0.14767932489451482</v>
      </c>
    </row>
    <row r="1397" spans="1:17" x14ac:dyDescent="0.2">
      <c r="B1397" t="s">
        <v>335</v>
      </c>
      <c r="C1397">
        <v>43</v>
      </c>
      <c r="D1397">
        <v>43</v>
      </c>
      <c r="E1397">
        <v>41</v>
      </c>
      <c r="F1397">
        <v>0</v>
      </c>
      <c r="G1397">
        <v>0</v>
      </c>
      <c r="H1397">
        <v>0</v>
      </c>
      <c r="I1397">
        <v>35</v>
      </c>
      <c r="J1397">
        <v>35</v>
      </c>
      <c r="K1397">
        <v>38</v>
      </c>
      <c r="L1397">
        <v>36</v>
      </c>
      <c r="M1397">
        <v>35</v>
      </c>
      <c r="N1397">
        <v>32</v>
      </c>
      <c r="O1397" s="173">
        <f>SUM(C1397:N1397)/9</f>
        <v>37.555555555555557</v>
      </c>
      <c r="P1397" s="173">
        <f>SUM(O1397-O1396)</f>
        <v>3.8888888888888928</v>
      </c>
      <c r="Q1397" s="177">
        <f>SUM(P1397/O1396)</f>
        <v>0.11551155115511563</v>
      </c>
    </row>
    <row r="1398" spans="1:17" x14ac:dyDescent="0.2">
      <c r="B1398" t="s">
        <v>358</v>
      </c>
      <c r="C1398">
        <v>32</v>
      </c>
      <c r="D1398">
        <v>33</v>
      </c>
      <c r="E1398">
        <v>46</v>
      </c>
      <c r="F1398">
        <v>60</v>
      </c>
      <c r="G1398">
        <v>63</v>
      </c>
      <c r="H1398">
        <v>62</v>
      </c>
      <c r="I1398">
        <v>63</v>
      </c>
      <c r="J1398">
        <v>64</v>
      </c>
      <c r="K1398">
        <v>61</v>
      </c>
      <c r="L1398">
        <v>60</v>
      </c>
      <c r="M1398">
        <v>67</v>
      </c>
      <c r="N1398">
        <v>70</v>
      </c>
      <c r="O1398" s="173">
        <f>SUM(C1398:N1398)/12</f>
        <v>56.75</v>
      </c>
      <c r="P1398" s="173">
        <f>SUM(O1398-O1397)</f>
        <v>19.194444444444443</v>
      </c>
      <c r="Q1398" s="177">
        <f>SUM(P1398/O1397)</f>
        <v>0.51109467455621294</v>
      </c>
    </row>
    <row r="1399" spans="1:17" x14ac:dyDescent="0.2">
      <c r="B1399" t="s">
        <v>437</v>
      </c>
      <c r="C1399">
        <v>68</v>
      </c>
      <c r="D1399">
        <v>65</v>
      </c>
      <c r="E1399">
        <v>62</v>
      </c>
      <c r="F1399">
        <v>61</v>
      </c>
      <c r="G1399">
        <v>65</v>
      </c>
      <c r="H1399">
        <v>66</v>
      </c>
      <c r="I1399">
        <v>68</v>
      </c>
      <c r="J1399">
        <v>66</v>
      </c>
      <c r="K1399">
        <v>70</v>
      </c>
      <c r="L1399">
        <v>68</v>
      </c>
      <c r="M1399">
        <v>65</v>
      </c>
      <c r="N1399">
        <v>68</v>
      </c>
      <c r="O1399" s="173">
        <f>SUM(C1399:N1399)/12</f>
        <v>66</v>
      </c>
      <c r="P1399" s="173">
        <f>SUM(O1399-O1398)</f>
        <v>9.25</v>
      </c>
      <c r="Q1399" s="177">
        <f>SUM(P1399/O1398)</f>
        <v>0.16299559471365638</v>
      </c>
    </row>
    <row r="1400" spans="1:17" x14ac:dyDescent="0.2">
      <c r="B1400" t="s">
        <v>471</v>
      </c>
      <c r="O1400" s="173"/>
      <c r="P1400" s="173"/>
      <c r="Q1400" s="177"/>
    </row>
    <row r="1401" spans="1:17" ht="25.5" x14ac:dyDescent="0.2">
      <c r="A1401" s="175" t="s">
        <v>439</v>
      </c>
      <c r="B1401" s="176" t="s">
        <v>418</v>
      </c>
      <c r="C1401" s="179" t="s">
        <v>419</v>
      </c>
      <c r="D1401" s="179" t="s">
        <v>420</v>
      </c>
      <c r="E1401" s="179" t="s">
        <v>421</v>
      </c>
      <c r="F1401" s="179" t="s">
        <v>422</v>
      </c>
      <c r="G1401" s="179" t="s">
        <v>423</v>
      </c>
      <c r="H1401" s="179" t="s">
        <v>424</v>
      </c>
      <c r="I1401" s="179" t="s">
        <v>425</v>
      </c>
      <c r="J1401" s="179" t="s">
        <v>426</v>
      </c>
      <c r="K1401" s="179" t="s">
        <v>427</v>
      </c>
      <c r="L1401" s="179" t="s">
        <v>428</v>
      </c>
      <c r="M1401" s="179" t="s">
        <v>429</v>
      </c>
      <c r="N1401" s="179" t="s">
        <v>430</v>
      </c>
    </row>
    <row r="1402" spans="1:17" x14ac:dyDescent="0.2">
      <c r="B1402" t="s">
        <v>434</v>
      </c>
      <c r="C1402">
        <v>305</v>
      </c>
      <c r="D1402">
        <v>299</v>
      </c>
      <c r="E1402">
        <v>289</v>
      </c>
      <c r="F1402">
        <v>276</v>
      </c>
      <c r="G1402">
        <v>277</v>
      </c>
      <c r="H1402">
        <v>295</v>
      </c>
      <c r="I1402">
        <v>283</v>
      </c>
      <c r="J1402">
        <v>273</v>
      </c>
      <c r="K1402">
        <v>259</v>
      </c>
      <c r="L1402">
        <v>249</v>
      </c>
      <c r="M1402">
        <v>241</v>
      </c>
      <c r="N1402">
        <v>237</v>
      </c>
      <c r="O1402" s="173">
        <f t="shared" ref="O1402:O1410" si="313">SUM(C1402:N1402)/12</f>
        <v>273.58333333333331</v>
      </c>
      <c r="P1402" s="173"/>
    </row>
    <row r="1403" spans="1:17" x14ac:dyDescent="0.2">
      <c r="B1403" t="s">
        <v>435</v>
      </c>
      <c r="C1403">
        <v>237</v>
      </c>
      <c r="D1403">
        <v>230</v>
      </c>
      <c r="E1403">
        <v>230</v>
      </c>
      <c r="F1403">
        <v>230</v>
      </c>
      <c r="G1403">
        <v>231</v>
      </c>
      <c r="H1403">
        <v>215</v>
      </c>
      <c r="I1403">
        <v>218</v>
      </c>
      <c r="J1403">
        <v>212</v>
      </c>
      <c r="K1403">
        <v>214</v>
      </c>
      <c r="L1403">
        <v>217</v>
      </c>
      <c r="M1403">
        <v>220</v>
      </c>
      <c r="N1403">
        <v>218</v>
      </c>
      <c r="O1403" s="173">
        <f t="shared" si="313"/>
        <v>222.66666666666666</v>
      </c>
      <c r="P1403" s="173">
        <f t="shared" ref="P1403:P1410" si="314">SUM(O1403-O1402)</f>
        <v>-50.916666666666657</v>
      </c>
      <c r="Q1403" s="177">
        <f t="shared" ref="Q1403:Q1409" si="315">SUM(P1403/O1402)</f>
        <v>-0.18611026500152297</v>
      </c>
    </row>
    <row r="1404" spans="1:17" x14ac:dyDescent="0.2">
      <c r="B1404" t="s">
        <v>436</v>
      </c>
      <c r="C1404">
        <v>231</v>
      </c>
      <c r="D1404">
        <v>230</v>
      </c>
      <c r="E1404">
        <v>234</v>
      </c>
      <c r="F1404">
        <v>229</v>
      </c>
      <c r="G1404">
        <v>230</v>
      </c>
      <c r="H1404">
        <v>240</v>
      </c>
      <c r="I1404">
        <v>245</v>
      </c>
      <c r="J1404">
        <v>250</v>
      </c>
      <c r="K1404">
        <v>255</v>
      </c>
      <c r="L1404">
        <v>260</v>
      </c>
      <c r="M1404">
        <v>265</v>
      </c>
      <c r="N1404">
        <v>270</v>
      </c>
      <c r="O1404" s="173">
        <f t="shared" si="313"/>
        <v>244.91666666666666</v>
      </c>
      <c r="P1404" s="173">
        <f t="shared" si="314"/>
        <v>22.25</v>
      </c>
      <c r="Q1404" s="177">
        <f t="shared" si="315"/>
        <v>9.9925149700598806E-2</v>
      </c>
    </row>
    <row r="1405" spans="1:17" x14ac:dyDescent="0.2">
      <c r="B1405" t="s">
        <v>260</v>
      </c>
      <c r="C1405">
        <v>280</v>
      </c>
      <c r="D1405">
        <v>237</v>
      </c>
      <c r="E1405">
        <v>253</v>
      </c>
      <c r="F1405">
        <v>253</v>
      </c>
      <c r="G1405">
        <v>253</v>
      </c>
      <c r="H1405">
        <v>253</v>
      </c>
      <c r="I1405">
        <v>253</v>
      </c>
      <c r="J1405">
        <v>253</v>
      </c>
      <c r="K1405">
        <v>253</v>
      </c>
      <c r="L1405">
        <v>260</v>
      </c>
      <c r="M1405">
        <v>265</v>
      </c>
      <c r="N1405">
        <v>270</v>
      </c>
      <c r="O1405" s="173">
        <f t="shared" si="313"/>
        <v>256.91666666666669</v>
      </c>
      <c r="P1405" s="173">
        <f t="shared" si="314"/>
        <v>12.000000000000028</v>
      </c>
      <c r="Q1405" s="177">
        <f t="shared" si="315"/>
        <v>4.899625723035058E-2</v>
      </c>
    </row>
    <row r="1406" spans="1:17" x14ac:dyDescent="0.2">
      <c r="B1406" t="s">
        <v>259</v>
      </c>
      <c r="C1406">
        <v>288</v>
      </c>
      <c r="D1406">
        <v>261</v>
      </c>
      <c r="E1406">
        <v>258</v>
      </c>
      <c r="F1406">
        <v>267</v>
      </c>
      <c r="G1406">
        <v>259</v>
      </c>
      <c r="H1406">
        <v>267</v>
      </c>
      <c r="I1406">
        <v>272</v>
      </c>
      <c r="J1406">
        <v>273</v>
      </c>
      <c r="K1406">
        <v>300</v>
      </c>
      <c r="L1406">
        <v>296</v>
      </c>
      <c r="M1406">
        <v>319</v>
      </c>
      <c r="N1406">
        <v>317</v>
      </c>
      <c r="O1406" s="173">
        <f t="shared" si="313"/>
        <v>281.41666666666669</v>
      </c>
      <c r="P1406" s="173">
        <f t="shared" si="314"/>
        <v>24.5</v>
      </c>
      <c r="Q1406" s="177">
        <f t="shared" si="315"/>
        <v>9.5361660720077845E-2</v>
      </c>
    </row>
    <row r="1407" spans="1:17" x14ac:dyDescent="0.2">
      <c r="B1407" t="s">
        <v>280</v>
      </c>
      <c r="C1407">
        <v>297</v>
      </c>
      <c r="D1407">
        <v>306</v>
      </c>
      <c r="E1407">
        <v>312</v>
      </c>
      <c r="F1407">
        <v>311</v>
      </c>
      <c r="G1407">
        <v>312</v>
      </c>
      <c r="H1407">
        <v>252</v>
      </c>
      <c r="I1407">
        <v>312</v>
      </c>
      <c r="J1407">
        <v>314</v>
      </c>
      <c r="K1407">
        <v>316</v>
      </c>
      <c r="L1407">
        <v>235</v>
      </c>
      <c r="M1407">
        <v>248</v>
      </c>
      <c r="N1407">
        <v>323</v>
      </c>
      <c r="O1407" s="173">
        <f t="shared" si="313"/>
        <v>294.83333333333331</v>
      </c>
      <c r="P1407" s="173">
        <f t="shared" si="314"/>
        <v>13.416666666666629</v>
      </c>
      <c r="Q1407" s="177">
        <f t="shared" si="315"/>
        <v>4.7675451584246235E-2</v>
      </c>
    </row>
    <row r="1408" spans="1:17" x14ac:dyDescent="0.2">
      <c r="B1408" t="s">
        <v>290</v>
      </c>
      <c r="C1408">
        <v>322</v>
      </c>
      <c r="D1408">
        <v>318</v>
      </c>
      <c r="E1408">
        <v>302</v>
      </c>
      <c r="F1408">
        <v>299</v>
      </c>
      <c r="G1408">
        <v>301</v>
      </c>
      <c r="H1408">
        <v>296</v>
      </c>
      <c r="I1408">
        <v>286</v>
      </c>
      <c r="J1408">
        <v>290</v>
      </c>
      <c r="K1408">
        <v>283</v>
      </c>
      <c r="L1408">
        <v>284</v>
      </c>
      <c r="M1408">
        <v>289</v>
      </c>
      <c r="N1408">
        <v>279</v>
      </c>
      <c r="O1408" s="173">
        <f t="shared" si="313"/>
        <v>295.75</v>
      </c>
      <c r="P1408" s="173">
        <f t="shared" si="314"/>
        <v>0.91666666666668561</v>
      </c>
      <c r="Q1408" s="177">
        <f t="shared" si="315"/>
        <v>3.109101187111427E-3</v>
      </c>
    </row>
    <row r="1409" spans="1:18" x14ac:dyDescent="0.2">
      <c r="B1409" t="s">
        <v>293</v>
      </c>
      <c r="C1409">
        <v>278</v>
      </c>
      <c r="D1409">
        <v>270</v>
      </c>
      <c r="E1409">
        <v>262</v>
      </c>
      <c r="F1409">
        <v>253</v>
      </c>
      <c r="G1409">
        <v>261</v>
      </c>
      <c r="H1409">
        <v>259</v>
      </c>
      <c r="I1409">
        <v>254</v>
      </c>
      <c r="J1409">
        <v>255</v>
      </c>
      <c r="K1409">
        <v>249</v>
      </c>
      <c r="L1409">
        <v>267</v>
      </c>
      <c r="M1409">
        <v>263</v>
      </c>
      <c r="N1409">
        <v>250</v>
      </c>
      <c r="O1409" s="173">
        <f t="shared" si="313"/>
        <v>260.08333333333331</v>
      </c>
      <c r="P1409" s="173">
        <f t="shared" si="314"/>
        <v>-35.666666666666686</v>
      </c>
      <c r="Q1409" s="177">
        <f t="shared" si="315"/>
        <v>-0.1205973513665822</v>
      </c>
    </row>
    <row r="1410" spans="1:18" x14ac:dyDescent="0.2">
      <c r="B1410" t="s">
        <v>294</v>
      </c>
      <c r="C1410">
        <v>247</v>
      </c>
      <c r="D1410">
        <v>250</v>
      </c>
      <c r="E1410">
        <v>240</v>
      </c>
      <c r="F1410">
        <v>238</v>
      </c>
      <c r="G1410">
        <v>230</v>
      </c>
      <c r="H1410">
        <v>228</v>
      </c>
      <c r="I1410">
        <v>230</v>
      </c>
      <c r="J1410">
        <v>228</v>
      </c>
      <c r="K1410">
        <v>226</v>
      </c>
      <c r="L1410">
        <v>224</v>
      </c>
      <c r="M1410">
        <v>228</v>
      </c>
      <c r="N1410">
        <v>233</v>
      </c>
      <c r="O1410" s="173">
        <f t="shared" si="313"/>
        <v>233.5</v>
      </c>
      <c r="P1410" s="173">
        <f t="shared" si="314"/>
        <v>-26.583333333333314</v>
      </c>
      <c r="Q1410" s="177">
        <f>SUM(P1410/O1409)</f>
        <v>-0.10221082986222359</v>
      </c>
    </row>
    <row r="1411" spans="1:18" x14ac:dyDescent="0.2">
      <c r="B1411" t="s">
        <v>295</v>
      </c>
      <c r="C1411">
        <v>212</v>
      </c>
      <c r="D1411">
        <v>216</v>
      </c>
      <c r="E1411">
        <v>221</v>
      </c>
      <c r="F1411">
        <v>228</v>
      </c>
      <c r="G1411">
        <v>226</v>
      </c>
      <c r="H1411">
        <v>230</v>
      </c>
      <c r="I1411">
        <v>222</v>
      </c>
      <c r="J1411">
        <v>225</v>
      </c>
      <c r="K1411">
        <v>236</v>
      </c>
      <c r="L1411">
        <v>242</v>
      </c>
      <c r="M1411">
        <v>246</v>
      </c>
      <c r="N1411">
        <v>252</v>
      </c>
      <c r="O1411" s="173">
        <f>SUM(C1411:N1411)/12</f>
        <v>229.66666666666666</v>
      </c>
      <c r="P1411" s="173">
        <f>SUM(O1411-O1410)</f>
        <v>-3.8333333333333428</v>
      </c>
      <c r="Q1411" s="177">
        <f>SUM(P1411/O1410)</f>
        <v>-1.6416845110635302E-2</v>
      </c>
    </row>
    <row r="1412" spans="1:18" x14ac:dyDescent="0.2">
      <c r="B1412" t="s">
        <v>335</v>
      </c>
      <c r="C1412">
        <v>247</v>
      </c>
      <c r="D1412">
        <v>248</v>
      </c>
      <c r="E1412">
        <v>247</v>
      </c>
      <c r="F1412">
        <v>247</v>
      </c>
      <c r="G1412">
        <v>254</v>
      </c>
      <c r="H1412">
        <v>258</v>
      </c>
      <c r="I1412">
        <v>257</v>
      </c>
      <c r="J1412">
        <v>255</v>
      </c>
      <c r="K1412">
        <v>252</v>
      </c>
      <c r="L1412">
        <v>251</v>
      </c>
      <c r="M1412">
        <v>249</v>
      </c>
      <c r="N1412">
        <v>259</v>
      </c>
      <c r="O1412" s="173">
        <f>SUM(C1412:N1412)/12</f>
        <v>252</v>
      </c>
      <c r="P1412" s="173">
        <f>SUM(O1412-O1411)</f>
        <v>22.333333333333343</v>
      </c>
      <c r="Q1412" s="177">
        <f>SUM(P1412/O1411)</f>
        <v>9.7242380261248235E-2</v>
      </c>
    </row>
    <row r="1413" spans="1:18" x14ac:dyDescent="0.2">
      <c r="B1413" t="s">
        <v>358</v>
      </c>
      <c r="C1413">
        <v>264</v>
      </c>
      <c r="D1413">
        <v>260</v>
      </c>
      <c r="E1413">
        <v>262</v>
      </c>
      <c r="F1413">
        <v>259</v>
      </c>
      <c r="G1413">
        <v>247</v>
      </c>
      <c r="H1413">
        <v>238</v>
      </c>
      <c r="I1413">
        <v>224</v>
      </c>
      <c r="J1413">
        <v>232</v>
      </c>
      <c r="K1413">
        <v>239</v>
      </c>
      <c r="L1413">
        <v>243</v>
      </c>
      <c r="M1413">
        <v>246</v>
      </c>
      <c r="N1413">
        <v>247</v>
      </c>
      <c r="O1413" s="173">
        <f>SUM(C1413:N1413)/12</f>
        <v>246.75</v>
      </c>
      <c r="P1413" s="173">
        <f>SUM(O1413-O1412)</f>
        <v>-5.25</v>
      </c>
      <c r="Q1413" s="177">
        <f>SUM(P1413/O1412)</f>
        <v>-2.0833333333333332E-2</v>
      </c>
      <c r="R1413" t="s">
        <v>440</v>
      </c>
    </row>
    <row r="1414" spans="1:18" x14ac:dyDescent="0.2">
      <c r="B1414" t="s">
        <v>437</v>
      </c>
      <c r="C1414">
        <v>257</v>
      </c>
      <c r="D1414">
        <v>248</v>
      </c>
      <c r="E1414">
        <v>250</v>
      </c>
      <c r="F1414">
        <v>264</v>
      </c>
      <c r="G1414">
        <v>265</v>
      </c>
      <c r="H1414">
        <v>270</v>
      </c>
      <c r="I1414">
        <v>279</v>
      </c>
      <c r="J1414">
        <v>279</v>
      </c>
      <c r="K1414">
        <v>266</v>
      </c>
      <c r="L1414">
        <v>260</v>
      </c>
      <c r="M1414">
        <v>260</v>
      </c>
      <c r="N1414">
        <v>272</v>
      </c>
      <c r="O1414" s="173">
        <f>SUM(C1414:N1414)/12</f>
        <v>264.16666666666669</v>
      </c>
      <c r="P1414" s="173">
        <f>SUM(O1414-O1413)</f>
        <v>17.416666666666686</v>
      </c>
      <c r="Q1414" s="177">
        <f>SUM(P1414/O1413)</f>
        <v>7.0584262073623852E-2</v>
      </c>
    </row>
    <row r="1415" spans="1:18" x14ac:dyDescent="0.2">
      <c r="B1415" t="s">
        <v>471</v>
      </c>
      <c r="O1415" s="173"/>
      <c r="P1415" s="173"/>
      <c r="Q1415" s="177"/>
    </row>
    <row r="1416" spans="1:18" x14ac:dyDescent="0.2">
      <c r="A1416" s="178"/>
      <c r="B1416" s="178"/>
      <c r="C1416" s="178"/>
      <c r="D1416" s="178"/>
      <c r="E1416" s="178"/>
      <c r="F1416" s="178"/>
      <c r="G1416" s="178"/>
      <c r="H1416" s="178"/>
      <c r="I1416" s="178"/>
      <c r="J1416" s="178"/>
      <c r="K1416" s="178"/>
      <c r="L1416" s="178"/>
      <c r="M1416" s="178"/>
      <c r="N1416" s="178"/>
      <c r="O1416" s="178"/>
      <c r="P1416" s="178"/>
      <c r="Q1416" s="178"/>
    </row>
    <row r="1417" spans="1:18" ht="25.5" x14ac:dyDescent="0.2">
      <c r="A1417" s="175" t="s">
        <v>441</v>
      </c>
      <c r="B1417" s="176" t="s">
        <v>418</v>
      </c>
      <c r="C1417" s="179" t="s">
        <v>419</v>
      </c>
      <c r="D1417" s="179" t="s">
        <v>420</v>
      </c>
      <c r="E1417" s="179" t="s">
        <v>421</v>
      </c>
      <c r="F1417" s="179" t="s">
        <v>422</v>
      </c>
      <c r="G1417" s="179" t="s">
        <v>423</v>
      </c>
      <c r="H1417" s="179" t="s">
        <v>424</v>
      </c>
      <c r="I1417" s="179" t="s">
        <v>425</v>
      </c>
      <c r="J1417" s="179" t="s">
        <v>426</v>
      </c>
      <c r="K1417" s="179" t="s">
        <v>427</v>
      </c>
      <c r="L1417" s="179" t="s">
        <v>428</v>
      </c>
      <c r="M1417" s="179" t="s">
        <v>429</v>
      </c>
      <c r="N1417" s="179" t="s">
        <v>430</v>
      </c>
    </row>
    <row r="1418" spans="1:18" x14ac:dyDescent="0.2">
      <c r="B1418" t="s">
        <v>434</v>
      </c>
      <c r="C1418">
        <v>65</v>
      </c>
      <c r="D1418">
        <v>62</v>
      </c>
      <c r="E1418">
        <v>57</v>
      </c>
      <c r="F1418">
        <v>56</v>
      </c>
      <c r="G1418">
        <v>52</v>
      </c>
      <c r="H1418">
        <v>51</v>
      </c>
      <c r="I1418">
        <v>49</v>
      </c>
      <c r="J1418">
        <v>55</v>
      </c>
      <c r="K1418">
        <v>59</v>
      </c>
      <c r="L1418">
        <v>55</v>
      </c>
      <c r="M1418">
        <v>54</v>
      </c>
      <c r="N1418">
        <v>66</v>
      </c>
      <c r="O1418" s="173">
        <f t="shared" ref="O1418:O1426" si="316">SUM(C1418:N1418)/12</f>
        <v>56.75</v>
      </c>
      <c r="P1418" s="173"/>
    </row>
    <row r="1419" spans="1:18" x14ac:dyDescent="0.2">
      <c r="B1419" t="s">
        <v>435</v>
      </c>
      <c r="C1419">
        <v>67</v>
      </c>
      <c r="D1419">
        <v>72</v>
      </c>
      <c r="E1419">
        <v>72</v>
      </c>
      <c r="F1419">
        <v>73</v>
      </c>
      <c r="G1419">
        <v>71</v>
      </c>
      <c r="H1419">
        <v>74</v>
      </c>
      <c r="I1419">
        <v>74</v>
      </c>
      <c r="J1419">
        <v>74</v>
      </c>
      <c r="K1419">
        <v>70</v>
      </c>
      <c r="L1419">
        <v>66</v>
      </c>
      <c r="M1419">
        <v>62</v>
      </c>
      <c r="N1419">
        <v>63</v>
      </c>
      <c r="O1419" s="173">
        <f t="shared" si="316"/>
        <v>69.833333333333329</v>
      </c>
      <c r="P1419" s="173">
        <f t="shared" ref="P1419:P1426" si="317">SUM(O1419-O1418)</f>
        <v>13.083333333333329</v>
      </c>
      <c r="Q1419" s="177">
        <f t="shared" ref="Q1419:Q1425" si="318">SUM(P1419/O1418)</f>
        <v>0.23054331864904543</v>
      </c>
    </row>
    <row r="1420" spans="1:18" x14ac:dyDescent="0.2">
      <c r="B1420" t="s">
        <v>436</v>
      </c>
      <c r="C1420">
        <v>68</v>
      </c>
      <c r="D1420">
        <v>75</v>
      </c>
      <c r="E1420">
        <v>74</v>
      </c>
      <c r="F1420">
        <v>79</v>
      </c>
      <c r="G1420">
        <v>75</v>
      </c>
      <c r="H1420">
        <v>74</v>
      </c>
      <c r="I1420">
        <v>64</v>
      </c>
      <c r="J1420">
        <v>75</v>
      </c>
      <c r="K1420">
        <v>76</v>
      </c>
      <c r="L1420">
        <v>78</v>
      </c>
      <c r="M1420">
        <v>79</v>
      </c>
      <c r="N1420">
        <v>81</v>
      </c>
      <c r="O1420" s="173">
        <f t="shared" si="316"/>
        <v>74.833333333333329</v>
      </c>
      <c r="P1420" s="173">
        <f t="shared" si="317"/>
        <v>5</v>
      </c>
      <c r="Q1420" s="177">
        <f t="shared" si="318"/>
        <v>7.1599045346062054E-2</v>
      </c>
    </row>
    <row r="1421" spans="1:18" x14ac:dyDescent="0.2">
      <c r="B1421" t="s">
        <v>260</v>
      </c>
      <c r="C1421">
        <v>76</v>
      </c>
      <c r="D1421">
        <v>79</v>
      </c>
      <c r="E1421">
        <v>76</v>
      </c>
      <c r="F1421">
        <v>74</v>
      </c>
      <c r="G1421">
        <v>72</v>
      </c>
      <c r="H1421">
        <v>70</v>
      </c>
      <c r="I1421">
        <v>68</v>
      </c>
      <c r="J1421">
        <v>59</v>
      </c>
      <c r="K1421">
        <v>67</v>
      </c>
      <c r="L1421">
        <v>66</v>
      </c>
      <c r="M1421">
        <v>67</v>
      </c>
      <c r="N1421">
        <v>64</v>
      </c>
      <c r="O1421" s="173">
        <f t="shared" si="316"/>
        <v>69.833333333333329</v>
      </c>
      <c r="P1421" s="173">
        <f t="shared" si="317"/>
        <v>-5</v>
      </c>
      <c r="Q1421" s="177">
        <f t="shared" si="318"/>
        <v>-6.6815144766147E-2</v>
      </c>
    </row>
    <row r="1422" spans="1:18" x14ac:dyDescent="0.2">
      <c r="B1422" t="s">
        <v>259</v>
      </c>
      <c r="C1422">
        <v>67</v>
      </c>
      <c r="D1422">
        <v>57</v>
      </c>
      <c r="E1422">
        <v>57</v>
      </c>
      <c r="F1422">
        <v>58</v>
      </c>
      <c r="G1422">
        <v>57</v>
      </c>
      <c r="H1422">
        <v>60</v>
      </c>
      <c r="I1422">
        <v>55</v>
      </c>
      <c r="J1422">
        <v>55</v>
      </c>
      <c r="K1422">
        <v>64</v>
      </c>
      <c r="L1422">
        <v>61</v>
      </c>
      <c r="M1422">
        <v>68</v>
      </c>
      <c r="N1422">
        <v>67</v>
      </c>
      <c r="O1422" s="173">
        <f t="shared" si="316"/>
        <v>60.5</v>
      </c>
      <c r="P1422" s="173">
        <f t="shared" si="317"/>
        <v>-9.3333333333333286</v>
      </c>
      <c r="Q1422" s="177">
        <f t="shared" si="318"/>
        <v>-0.13365155131264911</v>
      </c>
    </row>
    <row r="1423" spans="1:18" x14ac:dyDescent="0.2">
      <c r="B1423" t="s">
        <v>280</v>
      </c>
      <c r="C1423">
        <v>71</v>
      </c>
      <c r="D1423">
        <v>62</v>
      </c>
      <c r="E1423">
        <v>61</v>
      </c>
      <c r="F1423">
        <v>59</v>
      </c>
      <c r="G1423">
        <v>54</v>
      </c>
      <c r="H1423">
        <v>56</v>
      </c>
      <c r="I1423">
        <v>56</v>
      </c>
      <c r="J1423">
        <v>58</v>
      </c>
      <c r="K1423">
        <v>60</v>
      </c>
      <c r="L1423">
        <v>65</v>
      </c>
      <c r="M1423">
        <v>72</v>
      </c>
      <c r="N1423">
        <v>75</v>
      </c>
      <c r="O1423" s="173">
        <f t="shared" si="316"/>
        <v>62.416666666666664</v>
      </c>
      <c r="P1423" s="173">
        <f t="shared" si="317"/>
        <v>1.9166666666666643</v>
      </c>
      <c r="Q1423" s="177">
        <f t="shared" si="318"/>
        <v>3.1680440771349822E-2</v>
      </c>
    </row>
    <row r="1424" spans="1:18" x14ac:dyDescent="0.2">
      <c r="B1424" t="s">
        <v>290</v>
      </c>
      <c r="C1424">
        <v>76</v>
      </c>
      <c r="D1424">
        <v>73</v>
      </c>
      <c r="E1424">
        <v>67</v>
      </c>
      <c r="F1424">
        <v>66</v>
      </c>
      <c r="G1424">
        <v>66</v>
      </c>
      <c r="H1424">
        <v>68</v>
      </c>
      <c r="I1424">
        <v>69</v>
      </c>
      <c r="J1424">
        <v>72</v>
      </c>
      <c r="K1424">
        <v>69</v>
      </c>
      <c r="L1424">
        <v>75</v>
      </c>
      <c r="M1424">
        <v>73</v>
      </c>
      <c r="N1424">
        <v>74</v>
      </c>
      <c r="O1424" s="173">
        <f t="shared" si="316"/>
        <v>70.666666666666671</v>
      </c>
      <c r="P1424" s="173">
        <f t="shared" si="317"/>
        <v>8.2500000000000071</v>
      </c>
      <c r="Q1424" s="177">
        <f t="shared" si="318"/>
        <v>0.13217623497997341</v>
      </c>
    </row>
    <row r="1425" spans="1:17" x14ac:dyDescent="0.2">
      <c r="B1425" t="s">
        <v>293</v>
      </c>
      <c r="C1425">
        <v>72</v>
      </c>
      <c r="D1425">
        <v>72</v>
      </c>
      <c r="E1425">
        <v>71</v>
      </c>
      <c r="F1425">
        <v>73</v>
      </c>
      <c r="G1425">
        <v>77</v>
      </c>
      <c r="H1425">
        <v>76</v>
      </c>
      <c r="I1425">
        <v>76</v>
      </c>
      <c r="J1425">
        <v>78</v>
      </c>
      <c r="K1425">
        <v>74</v>
      </c>
      <c r="L1425">
        <v>88</v>
      </c>
      <c r="M1425">
        <v>92</v>
      </c>
      <c r="N1425">
        <v>76</v>
      </c>
      <c r="O1425" s="173">
        <f t="shared" si="316"/>
        <v>77.083333333333329</v>
      </c>
      <c r="P1425" s="173">
        <f t="shared" si="317"/>
        <v>6.4166666666666572</v>
      </c>
      <c r="Q1425" s="177">
        <f t="shared" si="318"/>
        <v>9.0801886792452685E-2</v>
      </c>
    </row>
    <row r="1426" spans="1:17" x14ac:dyDescent="0.2">
      <c r="B1426" t="s">
        <v>294</v>
      </c>
      <c r="C1426">
        <v>76</v>
      </c>
      <c r="D1426">
        <v>79</v>
      </c>
      <c r="E1426">
        <v>94</v>
      </c>
      <c r="F1426">
        <v>75</v>
      </c>
      <c r="G1426">
        <v>79</v>
      </c>
      <c r="H1426">
        <v>77</v>
      </c>
      <c r="I1426">
        <v>83</v>
      </c>
      <c r="J1426">
        <v>83</v>
      </c>
      <c r="K1426">
        <v>86</v>
      </c>
      <c r="L1426">
        <v>85</v>
      </c>
      <c r="M1426">
        <v>82</v>
      </c>
      <c r="N1426">
        <v>89</v>
      </c>
      <c r="O1426" s="173">
        <f t="shared" si="316"/>
        <v>82.333333333333329</v>
      </c>
      <c r="P1426" s="173">
        <f t="shared" si="317"/>
        <v>5.25</v>
      </c>
      <c r="Q1426" s="177">
        <f>SUM(P1426/O1425)</f>
        <v>6.8108108108108106E-2</v>
      </c>
    </row>
    <row r="1427" spans="1:17" x14ac:dyDescent="0.2">
      <c r="B1427" t="s">
        <v>295</v>
      </c>
      <c r="C1427">
        <v>92</v>
      </c>
      <c r="D1427">
        <v>91</v>
      </c>
      <c r="E1427">
        <v>95</v>
      </c>
      <c r="F1427">
        <v>93</v>
      </c>
      <c r="G1427">
        <v>96</v>
      </c>
      <c r="H1427">
        <v>94</v>
      </c>
      <c r="I1427">
        <v>91</v>
      </c>
      <c r="J1427">
        <v>90</v>
      </c>
      <c r="K1427">
        <v>91</v>
      </c>
      <c r="L1427">
        <v>95</v>
      </c>
      <c r="M1427">
        <v>96</v>
      </c>
      <c r="N1427">
        <v>73</v>
      </c>
      <c r="O1427" s="173">
        <f>SUM(C1427:N1427)/12</f>
        <v>91.416666666666671</v>
      </c>
      <c r="P1427" s="173">
        <f>SUM(O1427-O1426)</f>
        <v>9.0833333333333428</v>
      </c>
      <c r="Q1427" s="177">
        <f>SUM(P1427/O1426)</f>
        <v>0.11032388663967624</v>
      </c>
    </row>
    <row r="1428" spans="1:17" x14ac:dyDescent="0.2">
      <c r="B1428" t="s">
        <v>335</v>
      </c>
      <c r="C1428">
        <v>72</v>
      </c>
      <c r="D1428">
        <v>72</v>
      </c>
      <c r="E1428">
        <v>65</v>
      </c>
      <c r="F1428">
        <v>62</v>
      </c>
      <c r="G1428">
        <v>61</v>
      </c>
      <c r="H1428">
        <v>65</v>
      </c>
      <c r="I1428">
        <v>68</v>
      </c>
      <c r="J1428">
        <v>70</v>
      </c>
      <c r="K1428">
        <v>68</v>
      </c>
      <c r="L1428">
        <v>70</v>
      </c>
      <c r="M1428">
        <v>71</v>
      </c>
      <c r="N1428">
        <v>73</v>
      </c>
      <c r="O1428" s="173">
        <f>SUM(C1428:N1428)/12</f>
        <v>68.083333333333329</v>
      </c>
      <c r="P1428" s="173">
        <f>SUM(O1428-O1427)</f>
        <v>-23.333333333333343</v>
      </c>
      <c r="Q1428" s="177">
        <f>SUM(P1428/O1427)</f>
        <v>-0.2552415679124887</v>
      </c>
    </row>
    <row r="1429" spans="1:17" x14ac:dyDescent="0.2">
      <c r="B1429" t="s">
        <v>358</v>
      </c>
      <c r="C1429">
        <v>72</v>
      </c>
      <c r="D1429">
        <v>70</v>
      </c>
      <c r="E1429">
        <v>73</v>
      </c>
      <c r="F1429">
        <v>77</v>
      </c>
      <c r="G1429">
        <v>74</v>
      </c>
      <c r="H1429">
        <v>74</v>
      </c>
      <c r="I1429">
        <v>76</v>
      </c>
      <c r="J1429">
        <v>75</v>
      </c>
      <c r="K1429">
        <v>77</v>
      </c>
      <c r="L1429">
        <v>82</v>
      </c>
      <c r="M1429">
        <v>85</v>
      </c>
      <c r="N1429">
        <v>88</v>
      </c>
      <c r="O1429" s="173">
        <f>SUM(C1429:N1429)/12</f>
        <v>76.916666666666671</v>
      </c>
      <c r="P1429" s="173">
        <f>SUM(O1429-O1428)</f>
        <v>8.8333333333333428</v>
      </c>
      <c r="Q1429" s="177">
        <f>SUM(P1429/O1428)</f>
        <v>0.1297429620563037</v>
      </c>
    </row>
    <row r="1430" spans="1:17" x14ac:dyDescent="0.2">
      <c r="B1430" t="s">
        <v>437</v>
      </c>
      <c r="C1430">
        <v>88</v>
      </c>
      <c r="D1430">
        <v>84</v>
      </c>
      <c r="E1430">
        <v>81</v>
      </c>
      <c r="F1430">
        <v>81</v>
      </c>
      <c r="G1430">
        <v>79</v>
      </c>
      <c r="H1430">
        <v>79</v>
      </c>
      <c r="I1430">
        <v>77</v>
      </c>
      <c r="J1430">
        <v>82</v>
      </c>
      <c r="K1430">
        <v>80</v>
      </c>
      <c r="L1430">
        <v>73</v>
      </c>
      <c r="M1430">
        <v>76</v>
      </c>
      <c r="N1430">
        <v>76</v>
      </c>
      <c r="O1430" s="173">
        <f>SUM(C1430:N1430)/12</f>
        <v>79.666666666666671</v>
      </c>
      <c r="P1430" s="173">
        <f>SUM(O1430-O1429)</f>
        <v>2.75</v>
      </c>
      <c r="Q1430" s="177">
        <f>SUM(P1430/O1429)</f>
        <v>3.5752979414951244E-2</v>
      </c>
    </row>
    <row r="1431" spans="1:17" x14ac:dyDescent="0.2">
      <c r="B1431" t="s">
        <v>471</v>
      </c>
      <c r="O1431" s="173"/>
      <c r="P1431" s="173"/>
      <c r="Q1431" s="177"/>
    </row>
    <row r="1432" spans="1:17" ht="25.5" x14ac:dyDescent="0.2">
      <c r="A1432" s="175" t="s">
        <v>442</v>
      </c>
      <c r="B1432" s="176" t="s">
        <v>418</v>
      </c>
      <c r="C1432" s="179" t="s">
        <v>419</v>
      </c>
      <c r="D1432" s="179" t="s">
        <v>420</v>
      </c>
      <c r="E1432" s="179" t="s">
        <v>421</v>
      </c>
      <c r="F1432" s="179" t="s">
        <v>422</v>
      </c>
      <c r="G1432" s="179" t="s">
        <v>423</v>
      </c>
      <c r="H1432" s="179" t="s">
        <v>424</v>
      </c>
      <c r="I1432" s="179" t="s">
        <v>425</v>
      </c>
      <c r="J1432" s="179" t="s">
        <v>426</v>
      </c>
      <c r="K1432" s="179" t="s">
        <v>427</v>
      </c>
      <c r="L1432" s="179" t="s">
        <v>428</v>
      </c>
      <c r="M1432" s="179" t="s">
        <v>429</v>
      </c>
      <c r="N1432" s="179" t="s">
        <v>430</v>
      </c>
    </row>
    <row r="1433" spans="1:17" x14ac:dyDescent="0.2">
      <c r="B1433" t="s">
        <v>434</v>
      </c>
      <c r="C1433">
        <v>683</v>
      </c>
      <c r="D1433">
        <v>675</v>
      </c>
      <c r="E1433">
        <v>696</v>
      </c>
      <c r="F1433">
        <v>659</v>
      </c>
      <c r="G1433">
        <v>661</v>
      </c>
      <c r="H1433">
        <v>650</v>
      </c>
      <c r="I1433">
        <v>666</v>
      </c>
      <c r="J1433">
        <v>688</v>
      </c>
      <c r="K1433">
        <v>667</v>
      </c>
      <c r="L1433">
        <v>670</v>
      </c>
      <c r="M1433">
        <v>639</v>
      </c>
      <c r="N1433">
        <v>653</v>
      </c>
      <c r="O1433" s="173">
        <f t="shared" ref="O1433:O1441" si="319">SUM(C1433:N1433)/12</f>
        <v>667.25</v>
      </c>
      <c r="P1433" s="173"/>
    </row>
    <row r="1434" spans="1:17" x14ac:dyDescent="0.2">
      <c r="B1434" t="s">
        <v>435</v>
      </c>
      <c r="C1434">
        <v>624</v>
      </c>
      <c r="D1434">
        <v>643</v>
      </c>
      <c r="E1434">
        <v>636</v>
      </c>
      <c r="F1434">
        <v>670</v>
      </c>
      <c r="G1434">
        <v>642</v>
      </c>
      <c r="H1434">
        <v>655</v>
      </c>
      <c r="I1434">
        <v>650</v>
      </c>
      <c r="J1434">
        <v>660</v>
      </c>
      <c r="K1434">
        <v>644</v>
      </c>
      <c r="L1434">
        <v>672</v>
      </c>
      <c r="M1434">
        <v>658</v>
      </c>
      <c r="N1434">
        <v>659</v>
      </c>
      <c r="O1434" s="173">
        <f t="shared" si="319"/>
        <v>651.08333333333337</v>
      </c>
      <c r="P1434" s="173">
        <f t="shared" ref="P1434:P1441" si="320">SUM(O1434-O1433)</f>
        <v>-16.166666666666629</v>
      </c>
      <c r="Q1434" s="177">
        <f t="shared" ref="Q1434:Q1440" si="321">SUM(P1434/O1433)</f>
        <v>-2.422879980017479E-2</v>
      </c>
    </row>
    <row r="1435" spans="1:17" x14ac:dyDescent="0.2">
      <c r="B1435" t="s">
        <v>436</v>
      </c>
      <c r="C1435">
        <v>661</v>
      </c>
      <c r="D1435">
        <v>673</v>
      </c>
      <c r="E1435">
        <v>672</v>
      </c>
      <c r="F1435">
        <v>632</v>
      </c>
      <c r="G1435">
        <v>611</v>
      </c>
      <c r="H1435">
        <v>620</v>
      </c>
      <c r="I1435">
        <v>633</v>
      </c>
      <c r="J1435">
        <v>653</v>
      </c>
      <c r="K1435">
        <v>659</v>
      </c>
      <c r="L1435">
        <v>665</v>
      </c>
      <c r="M1435">
        <v>671</v>
      </c>
      <c r="N1435">
        <v>677</v>
      </c>
      <c r="O1435" s="173">
        <f t="shared" si="319"/>
        <v>652.25</v>
      </c>
      <c r="P1435" s="173">
        <f t="shared" si="320"/>
        <v>1.1666666666666288</v>
      </c>
      <c r="Q1435" s="177">
        <f t="shared" si="321"/>
        <v>1.7918853193395041E-3</v>
      </c>
    </row>
    <row r="1436" spans="1:17" x14ac:dyDescent="0.2">
      <c r="B1436" t="s">
        <v>260</v>
      </c>
      <c r="C1436">
        <v>561</v>
      </c>
      <c r="D1436">
        <v>574</v>
      </c>
      <c r="E1436">
        <v>593</v>
      </c>
      <c r="F1436">
        <v>589</v>
      </c>
      <c r="G1436">
        <v>589</v>
      </c>
      <c r="H1436">
        <v>589</v>
      </c>
      <c r="I1436">
        <v>589</v>
      </c>
      <c r="J1436">
        <v>589</v>
      </c>
      <c r="K1436">
        <v>589</v>
      </c>
      <c r="L1436">
        <v>589</v>
      </c>
      <c r="M1436">
        <v>589</v>
      </c>
      <c r="N1436">
        <v>623</v>
      </c>
      <c r="O1436" s="173">
        <f t="shared" si="319"/>
        <v>588.58333333333337</v>
      </c>
      <c r="P1436" s="173">
        <f t="shared" si="320"/>
        <v>-63.666666666666629</v>
      </c>
      <c r="Q1436" s="177">
        <f t="shared" si="321"/>
        <v>-9.7610834291554816E-2</v>
      </c>
    </row>
    <row r="1437" spans="1:17" x14ac:dyDescent="0.2">
      <c r="B1437" t="s">
        <v>259</v>
      </c>
      <c r="C1437">
        <v>585</v>
      </c>
      <c r="D1437">
        <v>542</v>
      </c>
      <c r="E1437">
        <v>535</v>
      </c>
      <c r="F1437">
        <v>545</v>
      </c>
      <c r="G1437">
        <v>547</v>
      </c>
      <c r="H1437">
        <v>584</v>
      </c>
      <c r="I1437">
        <v>608</v>
      </c>
      <c r="J1437">
        <v>604</v>
      </c>
      <c r="K1437">
        <v>592</v>
      </c>
      <c r="L1437">
        <v>599</v>
      </c>
      <c r="M1437">
        <v>628</v>
      </c>
      <c r="N1437">
        <v>595</v>
      </c>
      <c r="O1437" s="173">
        <f t="shared" si="319"/>
        <v>580.33333333333337</v>
      </c>
      <c r="P1437" s="173">
        <f t="shared" si="320"/>
        <v>-8.25</v>
      </c>
      <c r="Q1437" s="177">
        <f t="shared" si="321"/>
        <v>-1.4016706781820756E-2</v>
      </c>
    </row>
    <row r="1438" spans="1:17" x14ac:dyDescent="0.2">
      <c r="B1438" t="s">
        <v>280</v>
      </c>
      <c r="C1438">
        <v>601</v>
      </c>
      <c r="D1438">
        <v>626</v>
      </c>
      <c r="E1438">
        <v>662</v>
      </c>
      <c r="F1438">
        <v>646</v>
      </c>
      <c r="G1438">
        <v>635</v>
      </c>
      <c r="H1438">
        <v>634</v>
      </c>
      <c r="I1438">
        <v>628</v>
      </c>
      <c r="J1438">
        <v>656</v>
      </c>
      <c r="K1438">
        <v>666</v>
      </c>
      <c r="L1438">
        <v>657</v>
      </c>
      <c r="M1438">
        <v>576</v>
      </c>
      <c r="N1438">
        <v>650</v>
      </c>
      <c r="O1438" s="173">
        <f t="shared" si="319"/>
        <v>636.41666666666663</v>
      </c>
      <c r="P1438" s="173">
        <f t="shared" si="320"/>
        <v>56.083333333333258</v>
      </c>
      <c r="Q1438" s="177">
        <f t="shared" si="321"/>
        <v>9.6639862148190564E-2</v>
      </c>
    </row>
    <row r="1439" spans="1:17" x14ac:dyDescent="0.2">
      <c r="B1439" t="s">
        <v>290</v>
      </c>
      <c r="C1439">
        <v>648</v>
      </c>
      <c r="D1439">
        <v>660</v>
      </c>
      <c r="E1439">
        <v>652</v>
      </c>
      <c r="F1439">
        <v>651</v>
      </c>
      <c r="G1439">
        <v>646</v>
      </c>
      <c r="H1439">
        <v>659</v>
      </c>
      <c r="I1439">
        <v>646</v>
      </c>
      <c r="J1439">
        <v>702</v>
      </c>
      <c r="K1439">
        <v>699</v>
      </c>
      <c r="L1439">
        <v>703</v>
      </c>
      <c r="M1439">
        <v>711</v>
      </c>
      <c r="N1439">
        <v>718</v>
      </c>
      <c r="O1439" s="173">
        <f t="shared" si="319"/>
        <v>674.58333333333337</v>
      </c>
      <c r="P1439" s="173">
        <f t="shared" si="320"/>
        <v>38.166666666666742</v>
      </c>
      <c r="Q1439" s="177">
        <f t="shared" si="321"/>
        <v>5.99711928767842E-2</v>
      </c>
    </row>
    <row r="1440" spans="1:17" x14ac:dyDescent="0.2">
      <c r="B1440" t="s">
        <v>293</v>
      </c>
      <c r="C1440">
        <v>731</v>
      </c>
      <c r="D1440">
        <v>726</v>
      </c>
      <c r="E1440">
        <v>720</v>
      </c>
      <c r="F1440">
        <v>696</v>
      </c>
      <c r="G1440">
        <v>731</v>
      </c>
      <c r="H1440">
        <v>721</v>
      </c>
      <c r="I1440">
        <v>713</v>
      </c>
      <c r="J1440">
        <v>701</v>
      </c>
      <c r="K1440">
        <v>691</v>
      </c>
      <c r="L1440">
        <v>789</v>
      </c>
      <c r="M1440">
        <v>764</v>
      </c>
      <c r="N1440">
        <v>691</v>
      </c>
      <c r="O1440" s="173">
        <f t="shared" si="319"/>
        <v>722.83333333333337</v>
      </c>
      <c r="P1440" s="173">
        <f t="shared" si="320"/>
        <v>48.25</v>
      </c>
      <c r="Q1440" s="177">
        <f t="shared" si="321"/>
        <v>7.1525633106856085E-2</v>
      </c>
    </row>
    <row r="1441" spans="1:17" x14ac:dyDescent="0.2">
      <c r="B1441" t="s">
        <v>294</v>
      </c>
      <c r="C1441">
        <v>684</v>
      </c>
      <c r="D1441">
        <v>691</v>
      </c>
      <c r="E1441">
        <v>716</v>
      </c>
      <c r="F1441">
        <v>676</v>
      </c>
      <c r="G1441">
        <v>671</v>
      </c>
      <c r="H1441">
        <v>676</v>
      </c>
      <c r="I1441">
        <v>674</v>
      </c>
      <c r="J1441">
        <v>667</v>
      </c>
      <c r="K1441">
        <v>669</v>
      </c>
      <c r="L1441">
        <v>676</v>
      </c>
      <c r="M1441">
        <v>714</v>
      </c>
      <c r="N1441">
        <v>718</v>
      </c>
      <c r="O1441" s="173">
        <f t="shared" si="319"/>
        <v>686</v>
      </c>
      <c r="P1441" s="173">
        <f t="shared" si="320"/>
        <v>-36.833333333333371</v>
      </c>
      <c r="Q1441" s="177">
        <f>SUM(P1441/O1440)</f>
        <v>-5.095688263776809E-2</v>
      </c>
    </row>
    <row r="1442" spans="1:17" x14ac:dyDescent="0.2">
      <c r="B1442" t="s">
        <v>295</v>
      </c>
      <c r="C1442">
        <v>681</v>
      </c>
      <c r="D1442">
        <v>689</v>
      </c>
      <c r="E1442">
        <v>680</v>
      </c>
      <c r="F1442">
        <v>661</v>
      </c>
      <c r="G1442">
        <v>661</v>
      </c>
      <c r="H1442">
        <v>678</v>
      </c>
      <c r="I1442">
        <v>672</v>
      </c>
      <c r="J1442">
        <v>687</v>
      </c>
      <c r="K1442">
        <v>677</v>
      </c>
      <c r="L1442">
        <v>674</v>
      </c>
      <c r="M1442">
        <v>674</v>
      </c>
      <c r="N1442">
        <v>691</v>
      </c>
      <c r="O1442" s="173">
        <f>SUM(C1442:N1442)/12</f>
        <v>677.08333333333337</v>
      </c>
      <c r="P1442" s="173">
        <f>SUM(O1442-O1441)</f>
        <v>-8.9166666666666288</v>
      </c>
      <c r="Q1442" s="177">
        <f>SUM(P1442/O1441)</f>
        <v>-1.2998056365403248E-2</v>
      </c>
    </row>
    <row r="1443" spans="1:17" x14ac:dyDescent="0.2">
      <c r="B1443" t="s">
        <v>335</v>
      </c>
      <c r="C1443">
        <v>685</v>
      </c>
      <c r="D1443">
        <v>703</v>
      </c>
      <c r="E1443">
        <v>697</v>
      </c>
      <c r="F1443">
        <v>714</v>
      </c>
      <c r="G1443">
        <v>713</v>
      </c>
      <c r="H1443">
        <v>746</v>
      </c>
      <c r="I1443">
        <v>722</v>
      </c>
      <c r="J1443">
        <v>724</v>
      </c>
      <c r="K1443">
        <v>728</v>
      </c>
      <c r="L1443">
        <v>696</v>
      </c>
      <c r="M1443">
        <v>695</v>
      </c>
      <c r="N1443">
        <v>676</v>
      </c>
      <c r="O1443" s="173">
        <f>SUM(C1443:N1443)/12</f>
        <v>708.25</v>
      </c>
      <c r="P1443" s="173">
        <f>SUM(O1443-O1442)</f>
        <v>31.166666666666629</v>
      </c>
      <c r="Q1443" s="177">
        <f>SUM(P1443/O1442)</f>
        <v>4.6030769230769174E-2</v>
      </c>
    </row>
    <row r="1444" spans="1:17" x14ac:dyDescent="0.2">
      <c r="B1444" t="s">
        <v>358</v>
      </c>
      <c r="C1444">
        <v>691</v>
      </c>
      <c r="D1444">
        <v>666</v>
      </c>
      <c r="E1444">
        <v>624</v>
      </c>
      <c r="F1444">
        <v>670</v>
      </c>
      <c r="G1444">
        <v>672</v>
      </c>
      <c r="H1444">
        <v>675</v>
      </c>
      <c r="I1444">
        <v>651</v>
      </c>
      <c r="J1444">
        <v>642</v>
      </c>
      <c r="K1444">
        <v>588</v>
      </c>
      <c r="L1444">
        <v>663</v>
      </c>
      <c r="M1444">
        <v>660</v>
      </c>
      <c r="N1444">
        <v>646</v>
      </c>
      <c r="O1444" s="173">
        <f>SUM(C1444:N1444)/12</f>
        <v>654</v>
      </c>
      <c r="P1444" s="173">
        <f>SUM(O1444-O1443)</f>
        <v>-54.25</v>
      </c>
      <c r="Q1444" s="177">
        <f>SUM(P1444/O1443)</f>
        <v>-7.6597246734909988E-2</v>
      </c>
    </row>
    <row r="1445" spans="1:17" x14ac:dyDescent="0.2">
      <c r="B1445" t="s">
        <v>437</v>
      </c>
      <c r="C1445">
        <v>652</v>
      </c>
      <c r="D1445">
        <v>655</v>
      </c>
      <c r="E1445">
        <v>667</v>
      </c>
      <c r="F1445">
        <v>658</v>
      </c>
      <c r="G1445">
        <v>671</v>
      </c>
      <c r="H1445">
        <v>681</v>
      </c>
      <c r="I1445">
        <v>677</v>
      </c>
      <c r="J1445">
        <v>673</v>
      </c>
      <c r="K1445">
        <v>663</v>
      </c>
      <c r="L1445">
        <v>656</v>
      </c>
      <c r="M1445">
        <v>662</v>
      </c>
      <c r="N1445">
        <v>679</v>
      </c>
      <c r="O1445" s="173">
        <f>SUM(C1445:N1445)/12</f>
        <v>666.16666666666663</v>
      </c>
      <c r="P1445" s="173">
        <f>SUM(O1445-O1444)</f>
        <v>12.166666666666629</v>
      </c>
      <c r="Q1445" s="177">
        <f>SUM(P1445/O1444)</f>
        <v>1.8603465851172216E-2</v>
      </c>
    </row>
    <row r="1446" spans="1:17" x14ac:dyDescent="0.2">
      <c r="B1446" t="s">
        <v>471</v>
      </c>
      <c r="O1446" s="173"/>
      <c r="P1446" s="173"/>
      <c r="Q1446" s="177"/>
    </row>
    <row r="1447" spans="1:17" ht="25.5" x14ac:dyDescent="0.2">
      <c r="A1447" s="175" t="s">
        <v>443</v>
      </c>
      <c r="B1447" s="176" t="s">
        <v>418</v>
      </c>
      <c r="C1447" s="179" t="s">
        <v>419</v>
      </c>
      <c r="D1447" s="179" t="s">
        <v>420</v>
      </c>
      <c r="E1447" s="179" t="s">
        <v>421</v>
      </c>
      <c r="F1447" s="179" t="s">
        <v>422</v>
      </c>
      <c r="G1447" s="179" t="s">
        <v>423</v>
      </c>
      <c r="H1447" s="179" t="s">
        <v>424</v>
      </c>
      <c r="I1447" s="179" t="s">
        <v>425</v>
      </c>
      <c r="J1447" s="179" t="s">
        <v>426</v>
      </c>
      <c r="K1447" s="179" t="s">
        <v>427</v>
      </c>
      <c r="L1447" s="179" t="s">
        <v>428</v>
      </c>
      <c r="M1447" s="179" t="s">
        <v>429</v>
      </c>
      <c r="N1447" s="179" t="s">
        <v>430</v>
      </c>
    </row>
    <row r="1448" spans="1:17" x14ac:dyDescent="0.2">
      <c r="B1448" t="s">
        <v>434</v>
      </c>
      <c r="C1448">
        <v>227</v>
      </c>
      <c r="D1448">
        <v>238</v>
      </c>
      <c r="E1448">
        <v>241</v>
      </c>
      <c r="F1448">
        <v>237</v>
      </c>
      <c r="G1448">
        <v>237</v>
      </c>
      <c r="H1448">
        <v>245</v>
      </c>
      <c r="I1448">
        <v>239</v>
      </c>
      <c r="J1448">
        <v>232</v>
      </c>
      <c r="K1448">
        <v>228</v>
      </c>
      <c r="L1448">
        <v>226</v>
      </c>
      <c r="M1448">
        <v>226</v>
      </c>
      <c r="N1448">
        <v>238</v>
      </c>
      <c r="O1448" s="173">
        <f t="shared" ref="O1448:O1456" si="322">SUM(C1448:N1448)/12</f>
        <v>234.5</v>
      </c>
      <c r="P1448" s="173"/>
    </row>
    <row r="1449" spans="1:17" x14ac:dyDescent="0.2">
      <c r="B1449" t="s">
        <v>435</v>
      </c>
      <c r="C1449">
        <v>227</v>
      </c>
      <c r="D1449">
        <v>234</v>
      </c>
      <c r="E1449">
        <v>235</v>
      </c>
      <c r="F1449">
        <v>220</v>
      </c>
      <c r="G1449">
        <v>231</v>
      </c>
      <c r="H1449">
        <v>222</v>
      </c>
      <c r="I1449">
        <v>209</v>
      </c>
      <c r="J1449">
        <v>216</v>
      </c>
      <c r="K1449">
        <v>219</v>
      </c>
      <c r="L1449">
        <v>212</v>
      </c>
      <c r="M1449">
        <v>211</v>
      </c>
      <c r="N1449">
        <v>211</v>
      </c>
      <c r="O1449" s="173">
        <f t="shared" si="322"/>
        <v>220.58333333333334</v>
      </c>
      <c r="P1449" s="173">
        <f t="shared" ref="P1449:P1456" si="323">SUM(O1449-O1448)</f>
        <v>-13.916666666666657</v>
      </c>
      <c r="Q1449" s="177">
        <f t="shared" ref="Q1449:Q1455" si="324">SUM(P1449/O1448)</f>
        <v>-5.9346126510305575E-2</v>
      </c>
    </row>
    <row r="1450" spans="1:17" x14ac:dyDescent="0.2">
      <c r="B1450" t="s">
        <v>436</v>
      </c>
      <c r="C1450">
        <v>210</v>
      </c>
      <c r="D1450">
        <v>212</v>
      </c>
      <c r="E1450">
        <v>205</v>
      </c>
      <c r="F1450">
        <v>205</v>
      </c>
      <c r="G1450">
        <v>220</v>
      </c>
      <c r="H1450">
        <v>221</v>
      </c>
      <c r="I1450">
        <v>223</v>
      </c>
      <c r="J1450">
        <v>227</v>
      </c>
      <c r="K1450">
        <v>230</v>
      </c>
      <c r="L1450">
        <v>204</v>
      </c>
      <c r="M1450">
        <v>178</v>
      </c>
      <c r="N1450">
        <v>152</v>
      </c>
      <c r="O1450" s="173">
        <f t="shared" si="322"/>
        <v>207.25</v>
      </c>
      <c r="P1450" s="173">
        <f t="shared" si="323"/>
        <v>-13.333333333333343</v>
      </c>
      <c r="Q1450" s="177">
        <f t="shared" si="324"/>
        <v>-6.0445787684170797E-2</v>
      </c>
    </row>
    <row r="1451" spans="1:17" x14ac:dyDescent="0.2">
      <c r="B1451" t="s">
        <v>260</v>
      </c>
      <c r="C1451">
        <v>257</v>
      </c>
      <c r="D1451">
        <v>269</v>
      </c>
      <c r="E1451">
        <v>265</v>
      </c>
      <c r="F1451">
        <v>244</v>
      </c>
      <c r="G1451">
        <v>244</v>
      </c>
      <c r="H1451">
        <v>244</v>
      </c>
      <c r="I1451">
        <v>244</v>
      </c>
      <c r="J1451">
        <v>244</v>
      </c>
      <c r="K1451">
        <v>244</v>
      </c>
      <c r="L1451">
        <v>244</v>
      </c>
      <c r="M1451">
        <v>244</v>
      </c>
      <c r="N1451">
        <v>244</v>
      </c>
      <c r="O1451" s="173">
        <f t="shared" si="322"/>
        <v>248.91666666666666</v>
      </c>
      <c r="P1451" s="173">
        <f t="shared" si="323"/>
        <v>41.666666666666657</v>
      </c>
      <c r="Q1451" s="177">
        <f t="shared" si="324"/>
        <v>0.20104543626859667</v>
      </c>
    </row>
    <row r="1452" spans="1:17" x14ac:dyDescent="0.2">
      <c r="B1452" t="s">
        <v>259</v>
      </c>
      <c r="C1452">
        <v>239</v>
      </c>
      <c r="D1452">
        <v>224</v>
      </c>
      <c r="E1452">
        <v>226</v>
      </c>
      <c r="F1452">
        <v>219</v>
      </c>
      <c r="G1452">
        <v>227</v>
      </c>
      <c r="H1452">
        <v>220</v>
      </c>
      <c r="I1452">
        <v>214</v>
      </c>
      <c r="J1452">
        <v>214</v>
      </c>
      <c r="K1452">
        <v>205</v>
      </c>
      <c r="L1452">
        <v>216</v>
      </c>
      <c r="M1452">
        <v>210</v>
      </c>
      <c r="N1452">
        <v>213</v>
      </c>
      <c r="O1452" s="173">
        <f t="shared" si="322"/>
        <v>218.91666666666666</v>
      </c>
      <c r="P1452" s="173">
        <f t="shared" si="323"/>
        <v>-30</v>
      </c>
      <c r="Q1452" s="177">
        <f t="shared" si="324"/>
        <v>-0.12052226314027453</v>
      </c>
    </row>
    <row r="1453" spans="1:17" x14ac:dyDescent="0.2">
      <c r="B1453" t="s">
        <v>280</v>
      </c>
      <c r="C1453">
        <v>214</v>
      </c>
      <c r="D1453">
        <v>211</v>
      </c>
      <c r="E1453">
        <v>207</v>
      </c>
      <c r="F1453">
        <v>229</v>
      </c>
      <c r="G1453">
        <v>243</v>
      </c>
      <c r="H1453">
        <v>240</v>
      </c>
      <c r="I1453">
        <v>243</v>
      </c>
      <c r="J1453">
        <v>245</v>
      </c>
      <c r="K1453">
        <v>245</v>
      </c>
      <c r="L1453">
        <v>259</v>
      </c>
      <c r="M1453">
        <v>261</v>
      </c>
      <c r="N1453">
        <v>263</v>
      </c>
      <c r="O1453" s="173">
        <f t="shared" si="322"/>
        <v>238.33333333333334</v>
      </c>
      <c r="P1453" s="173">
        <f t="shared" si="323"/>
        <v>19.416666666666686</v>
      </c>
      <c r="Q1453" s="177">
        <f t="shared" si="324"/>
        <v>8.8694328130947936E-2</v>
      </c>
    </row>
    <row r="1454" spans="1:17" x14ac:dyDescent="0.2">
      <c r="B1454" t="s">
        <v>290</v>
      </c>
      <c r="C1454">
        <v>264</v>
      </c>
      <c r="D1454">
        <v>263</v>
      </c>
      <c r="E1454">
        <v>264</v>
      </c>
      <c r="F1454">
        <v>259</v>
      </c>
      <c r="G1454">
        <v>262</v>
      </c>
      <c r="H1454">
        <v>259</v>
      </c>
      <c r="I1454">
        <v>244</v>
      </c>
      <c r="J1454">
        <v>246</v>
      </c>
      <c r="K1454">
        <v>253</v>
      </c>
      <c r="L1454">
        <v>249</v>
      </c>
      <c r="M1454">
        <v>248</v>
      </c>
      <c r="N1454">
        <v>256</v>
      </c>
      <c r="O1454" s="173">
        <f t="shared" si="322"/>
        <v>255.58333333333334</v>
      </c>
      <c r="P1454" s="173">
        <f t="shared" si="323"/>
        <v>17.25</v>
      </c>
      <c r="Q1454" s="177">
        <f t="shared" si="324"/>
        <v>7.237762237762238E-2</v>
      </c>
    </row>
    <row r="1455" spans="1:17" x14ac:dyDescent="0.2">
      <c r="B1455" t="s">
        <v>293</v>
      </c>
      <c r="C1455">
        <v>259</v>
      </c>
      <c r="D1455">
        <v>269</v>
      </c>
      <c r="E1455">
        <v>262</v>
      </c>
      <c r="F1455">
        <v>281</v>
      </c>
      <c r="G1455">
        <v>292</v>
      </c>
      <c r="H1455">
        <v>287</v>
      </c>
      <c r="I1455">
        <v>285</v>
      </c>
      <c r="J1455">
        <v>271</v>
      </c>
      <c r="K1455">
        <v>263</v>
      </c>
      <c r="L1455">
        <v>304</v>
      </c>
      <c r="M1455">
        <v>301</v>
      </c>
      <c r="N1455">
        <v>256</v>
      </c>
      <c r="O1455" s="173">
        <f t="shared" si="322"/>
        <v>277.5</v>
      </c>
      <c r="P1455" s="173">
        <f t="shared" si="323"/>
        <v>21.916666666666657</v>
      </c>
      <c r="Q1455" s="177">
        <f t="shared" si="324"/>
        <v>8.5751548744701617E-2</v>
      </c>
    </row>
    <row r="1456" spans="1:17" x14ac:dyDescent="0.2">
      <c r="B1456" t="s">
        <v>294</v>
      </c>
      <c r="C1456">
        <v>263</v>
      </c>
      <c r="D1456">
        <v>269</v>
      </c>
      <c r="E1456">
        <v>260</v>
      </c>
      <c r="F1456">
        <v>254</v>
      </c>
      <c r="G1456">
        <v>247</v>
      </c>
      <c r="H1456">
        <v>251</v>
      </c>
      <c r="I1456">
        <v>244</v>
      </c>
      <c r="J1456">
        <v>235</v>
      </c>
      <c r="K1456">
        <v>233</v>
      </c>
      <c r="L1456">
        <v>251</v>
      </c>
      <c r="M1456">
        <v>278</v>
      </c>
      <c r="N1456">
        <v>279</v>
      </c>
      <c r="O1456" s="173">
        <f t="shared" si="322"/>
        <v>255.33333333333334</v>
      </c>
      <c r="P1456" s="173">
        <f t="shared" si="323"/>
        <v>-22.166666666666657</v>
      </c>
      <c r="Q1456" s="177">
        <f>SUM(P1456/O1455)</f>
        <v>-7.987987987987985E-2</v>
      </c>
    </row>
    <row r="1457" spans="1:17" x14ac:dyDescent="0.2">
      <c r="B1457" t="s">
        <v>295</v>
      </c>
      <c r="C1457">
        <v>271</v>
      </c>
      <c r="D1457">
        <v>264</v>
      </c>
      <c r="E1457">
        <v>264</v>
      </c>
      <c r="F1457">
        <v>265</v>
      </c>
      <c r="G1457">
        <v>260</v>
      </c>
      <c r="H1457">
        <v>261</v>
      </c>
      <c r="I1457">
        <v>266</v>
      </c>
      <c r="J1457">
        <v>257</v>
      </c>
      <c r="K1457">
        <v>261</v>
      </c>
      <c r="L1457">
        <v>270</v>
      </c>
      <c r="M1457">
        <v>273</v>
      </c>
      <c r="N1457">
        <v>267</v>
      </c>
      <c r="O1457" s="173">
        <f>SUM(C1457:N1457)/12</f>
        <v>264.91666666666669</v>
      </c>
      <c r="P1457" s="173">
        <f>SUM(O1457-O1456)</f>
        <v>9.5833333333333428</v>
      </c>
      <c r="Q1457" s="177">
        <f>SUM(P1457/O1456)</f>
        <v>3.7532637075718051E-2</v>
      </c>
    </row>
    <row r="1458" spans="1:17" x14ac:dyDescent="0.2">
      <c r="B1458" t="s">
        <v>335</v>
      </c>
      <c r="C1458">
        <v>267</v>
      </c>
      <c r="D1458">
        <v>266</v>
      </c>
      <c r="E1458">
        <v>268</v>
      </c>
      <c r="F1458">
        <v>273</v>
      </c>
      <c r="G1458">
        <v>266</v>
      </c>
      <c r="H1458">
        <v>255</v>
      </c>
      <c r="I1458">
        <v>256</v>
      </c>
      <c r="J1458">
        <v>248</v>
      </c>
      <c r="K1458">
        <v>253</v>
      </c>
      <c r="L1458">
        <v>255</v>
      </c>
      <c r="M1458">
        <v>251</v>
      </c>
      <c r="N1458">
        <v>255</v>
      </c>
      <c r="O1458" s="173">
        <f>SUM(C1458:N1458)/12</f>
        <v>259.41666666666669</v>
      </c>
      <c r="P1458" s="173">
        <f>SUM(O1458-O1457)</f>
        <v>-5.5</v>
      </c>
      <c r="Q1458" s="177">
        <f>SUM(P1458/O1457)</f>
        <v>-2.0761245674740483E-2</v>
      </c>
    </row>
    <row r="1459" spans="1:17" x14ac:dyDescent="0.2">
      <c r="B1459" t="s">
        <v>358</v>
      </c>
      <c r="C1459">
        <v>260</v>
      </c>
      <c r="D1459">
        <v>250</v>
      </c>
      <c r="E1459">
        <v>251</v>
      </c>
      <c r="F1459">
        <v>257</v>
      </c>
      <c r="G1459">
        <v>258</v>
      </c>
      <c r="H1459">
        <v>252</v>
      </c>
      <c r="I1459">
        <v>247</v>
      </c>
      <c r="J1459">
        <v>244</v>
      </c>
      <c r="K1459">
        <v>299</v>
      </c>
      <c r="L1459">
        <v>242</v>
      </c>
      <c r="M1459">
        <v>246</v>
      </c>
      <c r="N1459">
        <v>247</v>
      </c>
      <c r="O1459" s="173">
        <f>SUM(C1459:N1459)/12</f>
        <v>254.41666666666666</v>
      </c>
      <c r="P1459" s="173">
        <f>SUM(O1459-O1458)</f>
        <v>-5.0000000000000284</v>
      </c>
      <c r="Q1459" s="177">
        <f>SUM(P1459/O1458)</f>
        <v>-1.9274012206874507E-2</v>
      </c>
    </row>
    <row r="1460" spans="1:17" x14ac:dyDescent="0.2">
      <c r="B1460" t="s">
        <v>437</v>
      </c>
      <c r="C1460">
        <v>247</v>
      </c>
      <c r="D1460">
        <v>250</v>
      </c>
      <c r="E1460">
        <v>259</v>
      </c>
      <c r="F1460">
        <v>259</v>
      </c>
      <c r="G1460">
        <v>260</v>
      </c>
      <c r="H1460">
        <v>269</v>
      </c>
      <c r="I1460">
        <v>253</v>
      </c>
      <c r="J1460">
        <v>246</v>
      </c>
      <c r="K1460">
        <v>259</v>
      </c>
      <c r="L1460">
        <v>253</v>
      </c>
      <c r="M1460">
        <v>236</v>
      </c>
      <c r="N1460">
        <v>227</v>
      </c>
      <c r="O1460" s="173">
        <f>SUM(C1460:N1460)/12</f>
        <v>251.5</v>
      </c>
      <c r="P1460" s="173">
        <f>SUM(O1460-O1459)</f>
        <v>-2.9166666666666572</v>
      </c>
      <c r="Q1460" s="177">
        <f>SUM(P1460/O1459)</f>
        <v>-1.1464133639043526E-2</v>
      </c>
    </row>
    <row r="1461" spans="1:17" x14ac:dyDescent="0.2">
      <c r="B1461" t="s">
        <v>471</v>
      </c>
      <c r="O1461" s="173"/>
      <c r="P1461" s="173"/>
      <c r="Q1461" s="177"/>
    </row>
    <row r="1462" spans="1:17" x14ac:dyDescent="0.2">
      <c r="A1462" s="178"/>
      <c r="B1462" s="178"/>
      <c r="C1462" s="178"/>
      <c r="D1462" s="178"/>
      <c r="E1462" s="178"/>
      <c r="F1462" s="178"/>
      <c r="G1462" s="178"/>
      <c r="H1462" s="178"/>
      <c r="I1462" s="178"/>
      <c r="J1462" s="178"/>
      <c r="K1462" s="178"/>
      <c r="L1462" s="178"/>
      <c r="M1462" s="178"/>
      <c r="N1462" s="178"/>
      <c r="O1462" s="178"/>
      <c r="P1462" s="178"/>
      <c r="Q1462" s="178"/>
    </row>
    <row r="1463" spans="1:17" ht="25.5" x14ac:dyDescent="0.2">
      <c r="A1463" s="175" t="s">
        <v>444</v>
      </c>
      <c r="B1463" s="176" t="s">
        <v>418</v>
      </c>
      <c r="C1463" s="179" t="s">
        <v>419</v>
      </c>
      <c r="D1463" s="179" t="s">
        <v>420</v>
      </c>
      <c r="E1463" s="179" t="s">
        <v>421</v>
      </c>
      <c r="F1463" s="179" t="s">
        <v>422</v>
      </c>
      <c r="G1463" s="179" t="s">
        <v>423</v>
      </c>
      <c r="H1463" s="179" t="s">
        <v>424</v>
      </c>
      <c r="I1463" s="179" t="s">
        <v>425</v>
      </c>
      <c r="J1463" s="179" t="s">
        <v>426</v>
      </c>
      <c r="K1463" s="179" t="s">
        <v>427</v>
      </c>
      <c r="L1463" s="179" t="s">
        <v>428</v>
      </c>
      <c r="M1463" s="179" t="s">
        <v>429</v>
      </c>
      <c r="N1463" s="179" t="s">
        <v>430</v>
      </c>
    </row>
    <row r="1464" spans="1:17" x14ac:dyDescent="0.2">
      <c r="B1464" t="s">
        <v>434</v>
      </c>
      <c r="C1464">
        <v>204</v>
      </c>
      <c r="D1464">
        <v>210</v>
      </c>
      <c r="E1464">
        <v>215</v>
      </c>
      <c r="F1464">
        <v>213</v>
      </c>
      <c r="G1464">
        <v>212</v>
      </c>
      <c r="H1464">
        <v>207</v>
      </c>
      <c r="I1464">
        <v>200</v>
      </c>
      <c r="J1464">
        <v>199</v>
      </c>
      <c r="K1464">
        <v>192</v>
      </c>
      <c r="L1464">
        <v>192</v>
      </c>
      <c r="M1464">
        <v>181</v>
      </c>
      <c r="N1464">
        <v>189</v>
      </c>
      <c r="O1464" s="173">
        <f t="shared" ref="O1464:O1472" si="325">SUM(C1464:N1464)/12</f>
        <v>201.16666666666666</v>
      </c>
      <c r="P1464" s="173"/>
    </row>
    <row r="1465" spans="1:17" x14ac:dyDescent="0.2">
      <c r="B1465" t="s">
        <v>435</v>
      </c>
      <c r="C1465">
        <v>191</v>
      </c>
      <c r="D1465">
        <v>194</v>
      </c>
      <c r="E1465">
        <v>194</v>
      </c>
      <c r="F1465">
        <v>191</v>
      </c>
      <c r="G1465">
        <v>191</v>
      </c>
      <c r="H1465">
        <v>198</v>
      </c>
      <c r="I1465">
        <v>185</v>
      </c>
      <c r="J1465">
        <v>192</v>
      </c>
      <c r="K1465">
        <v>188</v>
      </c>
      <c r="L1465">
        <v>198</v>
      </c>
      <c r="M1465">
        <v>203</v>
      </c>
      <c r="N1465">
        <v>203</v>
      </c>
      <c r="O1465" s="173">
        <f t="shared" si="325"/>
        <v>194</v>
      </c>
      <c r="P1465" s="173">
        <f t="shared" ref="P1465:P1472" si="326">SUM(O1465-O1464)</f>
        <v>-7.1666666666666572</v>
      </c>
      <c r="Q1465" s="177">
        <f t="shared" ref="Q1465:Q1471" si="327">SUM(P1465/O1464)</f>
        <v>-3.5625517812758863E-2</v>
      </c>
    </row>
    <row r="1466" spans="1:17" x14ac:dyDescent="0.2">
      <c r="B1466" t="s">
        <v>436</v>
      </c>
      <c r="C1466">
        <v>201</v>
      </c>
      <c r="D1466">
        <v>196</v>
      </c>
      <c r="E1466">
        <v>198</v>
      </c>
      <c r="F1466">
        <v>188</v>
      </c>
      <c r="G1466">
        <v>188</v>
      </c>
      <c r="H1466">
        <v>192</v>
      </c>
      <c r="I1466">
        <v>189</v>
      </c>
      <c r="J1466">
        <v>200</v>
      </c>
      <c r="K1466">
        <v>219</v>
      </c>
      <c r="L1466">
        <v>228</v>
      </c>
      <c r="M1466">
        <v>234</v>
      </c>
      <c r="N1466">
        <v>237</v>
      </c>
      <c r="O1466" s="173">
        <f t="shared" si="325"/>
        <v>205.83333333333334</v>
      </c>
      <c r="P1466" s="173">
        <f t="shared" si="326"/>
        <v>11.833333333333343</v>
      </c>
      <c r="Q1466" s="177">
        <f t="shared" si="327"/>
        <v>6.0996563573883208E-2</v>
      </c>
    </row>
    <row r="1467" spans="1:17" x14ac:dyDescent="0.2">
      <c r="B1467" t="s">
        <v>260</v>
      </c>
      <c r="C1467">
        <v>246</v>
      </c>
      <c r="D1467">
        <v>242</v>
      </c>
      <c r="E1467">
        <v>245</v>
      </c>
      <c r="F1467">
        <v>245</v>
      </c>
      <c r="G1467">
        <v>245</v>
      </c>
      <c r="H1467">
        <v>245</v>
      </c>
      <c r="I1467">
        <v>245</v>
      </c>
      <c r="J1467">
        <v>245</v>
      </c>
      <c r="K1467">
        <v>245</v>
      </c>
      <c r="L1467">
        <v>245</v>
      </c>
      <c r="M1467">
        <v>245</v>
      </c>
      <c r="N1467">
        <v>245</v>
      </c>
      <c r="O1467" s="173">
        <f t="shared" si="325"/>
        <v>244.83333333333334</v>
      </c>
      <c r="P1467" s="173">
        <f t="shared" si="326"/>
        <v>39</v>
      </c>
      <c r="Q1467" s="177">
        <f t="shared" si="327"/>
        <v>0.18947368421052629</v>
      </c>
    </row>
    <row r="1468" spans="1:17" x14ac:dyDescent="0.2">
      <c r="B1468" t="s">
        <v>259</v>
      </c>
      <c r="C1468">
        <v>219</v>
      </c>
      <c r="D1468">
        <v>239</v>
      </c>
      <c r="E1468">
        <v>239</v>
      </c>
      <c r="F1468">
        <v>242</v>
      </c>
      <c r="G1468">
        <v>237</v>
      </c>
      <c r="H1468">
        <v>248</v>
      </c>
      <c r="I1468">
        <v>255</v>
      </c>
      <c r="J1468">
        <v>262</v>
      </c>
      <c r="K1468">
        <v>263</v>
      </c>
      <c r="L1468">
        <v>274</v>
      </c>
      <c r="M1468">
        <v>266</v>
      </c>
      <c r="N1468">
        <v>278</v>
      </c>
      <c r="O1468" s="173">
        <f t="shared" si="325"/>
        <v>251.83333333333334</v>
      </c>
      <c r="P1468" s="173">
        <f t="shared" si="326"/>
        <v>7</v>
      </c>
      <c r="Q1468" s="177">
        <f t="shared" si="327"/>
        <v>2.8590878148400271E-2</v>
      </c>
    </row>
    <row r="1469" spans="1:17" x14ac:dyDescent="0.2">
      <c r="B1469" t="s">
        <v>280</v>
      </c>
      <c r="C1469">
        <v>278</v>
      </c>
      <c r="D1469">
        <v>279</v>
      </c>
      <c r="E1469">
        <v>277</v>
      </c>
      <c r="F1469">
        <v>279</v>
      </c>
      <c r="G1469">
        <v>282</v>
      </c>
      <c r="H1469">
        <v>282</v>
      </c>
      <c r="I1469">
        <v>287</v>
      </c>
      <c r="J1469">
        <v>293</v>
      </c>
      <c r="K1469">
        <v>299</v>
      </c>
      <c r="L1469">
        <v>299</v>
      </c>
      <c r="M1469">
        <v>316</v>
      </c>
      <c r="N1469">
        <v>325</v>
      </c>
      <c r="O1469" s="173">
        <f t="shared" si="325"/>
        <v>291.33333333333331</v>
      </c>
      <c r="P1469" s="173">
        <f t="shared" si="326"/>
        <v>39.499999999999972</v>
      </c>
      <c r="Q1469" s="177">
        <f t="shared" si="327"/>
        <v>0.15684976836532086</v>
      </c>
    </row>
    <row r="1470" spans="1:17" x14ac:dyDescent="0.2">
      <c r="B1470" t="s">
        <v>290</v>
      </c>
      <c r="C1470">
        <v>335</v>
      </c>
      <c r="D1470">
        <v>349</v>
      </c>
      <c r="E1470">
        <v>352</v>
      </c>
      <c r="F1470">
        <v>352</v>
      </c>
      <c r="G1470">
        <v>348</v>
      </c>
      <c r="H1470">
        <v>363</v>
      </c>
      <c r="I1470">
        <v>362</v>
      </c>
      <c r="J1470">
        <v>370</v>
      </c>
      <c r="K1470">
        <v>376</v>
      </c>
      <c r="L1470">
        <v>393</v>
      </c>
      <c r="M1470">
        <v>401</v>
      </c>
      <c r="N1470">
        <v>400</v>
      </c>
      <c r="O1470" s="173">
        <f t="shared" si="325"/>
        <v>366.75</v>
      </c>
      <c r="P1470" s="173">
        <f t="shared" si="326"/>
        <v>75.416666666666686</v>
      </c>
      <c r="Q1470" s="177">
        <f t="shared" si="327"/>
        <v>0.25886727688787192</v>
      </c>
    </row>
    <row r="1471" spans="1:17" x14ac:dyDescent="0.2">
      <c r="B1471" t="s">
        <v>293</v>
      </c>
      <c r="C1471">
        <v>397</v>
      </c>
      <c r="D1471">
        <v>402</v>
      </c>
      <c r="E1471">
        <v>398</v>
      </c>
      <c r="F1471">
        <v>408</v>
      </c>
      <c r="G1471">
        <v>409</v>
      </c>
      <c r="H1471">
        <v>416</v>
      </c>
      <c r="I1471">
        <v>415</v>
      </c>
      <c r="J1471">
        <v>414</v>
      </c>
      <c r="K1471">
        <v>405</v>
      </c>
      <c r="L1471">
        <v>486</v>
      </c>
      <c r="M1471">
        <v>472</v>
      </c>
      <c r="N1471">
        <v>409</v>
      </c>
      <c r="O1471" s="173">
        <f t="shared" si="325"/>
        <v>419.25</v>
      </c>
      <c r="P1471" s="173">
        <f t="shared" si="326"/>
        <v>52.5</v>
      </c>
      <c r="Q1471" s="177">
        <f t="shared" si="327"/>
        <v>0.14314928425357873</v>
      </c>
    </row>
    <row r="1472" spans="1:17" x14ac:dyDescent="0.2">
      <c r="B1472" t="s">
        <v>294</v>
      </c>
      <c r="C1472">
        <v>426</v>
      </c>
      <c r="D1472">
        <v>431</v>
      </c>
      <c r="E1472">
        <v>506</v>
      </c>
      <c r="F1472">
        <v>455</v>
      </c>
      <c r="G1472">
        <v>489</v>
      </c>
      <c r="H1472">
        <v>513</v>
      </c>
      <c r="I1472">
        <v>514</v>
      </c>
      <c r="J1472">
        <v>518</v>
      </c>
      <c r="K1472">
        <v>505</v>
      </c>
      <c r="L1472">
        <v>502</v>
      </c>
      <c r="M1472">
        <v>516</v>
      </c>
      <c r="N1472">
        <v>530</v>
      </c>
      <c r="O1472" s="173">
        <f t="shared" si="325"/>
        <v>492.08333333333331</v>
      </c>
      <c r="P1472" s="173">
        <f t="shared" si="326"/>
        <v>72.833333333333314</v>
      </c>
      <c r="Q1472" s="177">
        <f>SUM(P1472/O1471)</f>
        <v>0.17372291790896438</v>
      </c>
    </row>
    <row r="1473" spans="1:17" x14ac:dyDescent="0.2">
      <c r="B1473" t="s">
        <v>295</v>
      </c>
      <c r="C1473">
        <v>482</v>
      </c>
      <c r="D1473">
        <v>466</v>
      </c>
      <c r="E1473">
        <v>463</v>
      </c>
      <c r="F1473">
        <v>466</v>
      </c>
      <c r="G1473">
        <v>455</v>
      </c>
      <c r="H1473">
        <v>458</v>
      </c>
      <c r="I1473">
        <v>448</v>
      </c>
      <c r="J1473">
        <v>451</v>
      </c>
      <c r="K1473">
        <v>454</v>
      </c>
      <c r="L1473">
        <v>449</v>
      </c>
      <c r="M1473">
        <v>443</v>
      </c>
      <c r="N1473">
        <v>447</v>
      </c>
      <c r="O1473" s="173">
        <f>SUM(C1473:N1473)/12</f>
        <v>456.83333333333331</v>
      </c>
      <c r="P1473" s="173">
        <f>SUM(O1473-O1472)</f>
        <v>-35.25</v>
      </c>
      <c r="Q1473" s="177">
        <f>SUM(P1473/O1472)</f>
        <v>-7.1634208298052504E-2</v>
      </c>
    </row>
    <row r="1474" spans="1:17" x14ac:dyDescent="0.2">
      <c r="B1474" t="s">
        <v>335</v>
      </c>
      <c r="C1474">
        <v>441</v>
      </c>
      <c r="D1474">
        <v>439</v>
      </c>
      <c r="E1474">
        <v>439</v>
      </c>
      <c r="F1474">
        <v>426</v>
      </c>
      <c r="G1474">
        <v>432</v>
      </c>
      <c r="H1474">
        <v>465</v>
      </c>
      <c r="I1474">
        <v>452</v>
      </c>
      <c r="J1474">
        <v>441</v>
      </c>
      <c r="K1474">
        <v>443</v>
      </c>
      <c r="L1474">
        <v>462</v>
      </c>
      <c r="M1474">
        <v>480</v>
      </c>
      <c r="N1474">
        <v>467</v>
      </c>
      <c r="O1474" s="173">
        <f>SUM(C1474:N1474)/12</f>
        <v>448.91666666666669</v>
      </c>
      <c r="P1474" s="173">
        <f>SUM(O1474-O1473)</f>
        <v>-7.9166666666666288</v>
      </c>
      <c r="Q1474" s="177">
        <f>SUM(P1474/O1473)</f>
        <v>-1.7329441809558473E-2</v>
      </c>
    </row>
    <row r="1475" spans="1:17" x14ac:dyDescent="0.2">
      <c r="B1475" t="s">
        <v>358</v>
      </c>
      <c r="C1475">
        <v>465</v>
      </c>
      <c r="D1475">
        <v>456</v>
      </c>
      <c r="E1475">
        <v>455</v>
      </c>
      <c r="F1475">
        <v>464</v>
      </c>
      <c r="G1475">
        <v>461</v>
      </c>
      <c r="H1475">
        <v>470</v>
      </c>
      <c r="I1475">
        <v>443</v>
      </c>
      <c r="J1475">
        <v>469</v>
      </c>
      <c r="K1475">
        <v>478</v>
      </c>
      <c r="L1475">
        <v>471</v>
      </c>
      <c r="M1475">
        <v>457</v>
      </c>
      <c r="N1475">
        <v>468</v>
      </c>
      <c r="O1475" s="173">
        <f>SUM(C1475:N1475)/12</f>
        <v>463.08333333333331</v>
      </c>
      <c r="P1475" s="173">
        <f>SUM(O1475-O1474)</f>
        <v>14.166666666666629</v>
      </c>
      <c r="Q1475" s="177">
        <f>SUM(P1475/O1474)</f>
        <v>3.1557453127900419E-2</v>
      </c>
    </row>
    <row r="1476" spans="1:17" x14ac:dyDescent="0.2">
      <c r="B1476" t="s">
        <v>437</v>
      </c>
      <c r="C1476">
        <v>486</v>
      </c>
      <c r="D1476">
        <v>496</v>
      </c>
      <c r="E1476">
        <v>489</v>
      </c>
      <c r="F1476">
        <v>495</v>
      </c>
      <c r="G1476">
        <v>495</v>
      </c>
      <c r="H1476">
        <v>495</v>
      </c>
      <c r="I1476">
        <v>495</v>
      </c>
      <c r="J1476">
        <v>500</v>
      </c>
      <c r="K1476">
        <v>502</v>
      </c>
      <c r="L1476">
        <v>508</v>
      </c>
      <c r="M1476">
        <v>497</v>
      </c>
      <c r="N1476">
        <v>504</v>
      </c>
      <c r="O1476" s="173">
        <f>SUM(C1476:N1476)/12</f>
        <v>496.83333333333331</v>
      </c>
      <c r="P1476" s="173">
        <f>SUM(O1476-O1475)</f>
        <v>33.75</v>
      </c>
      <c r="Q1476" s="177">
        <f>SUM(P1476/O1475)</f>
        <v>7.2881050926759047E-2</v>
      </c>
    </row>
    <row r="1477" spans="1:17" x14ac:dyDescent="0.2">
      <c r="B1477" t="s">
        <v>471</v>
      </c>
      <c r="O1477" s="173"/>
      <c r="P1477" s="173"/>
      <c r="Q1477" s="177"/>
    </row>
    <row r="1478" spans="1:17" ht="25.5" x14ac:dyDescent="0.2">
      <c r="A1478" s="175" t="s">
        <v>445</v>
      </c>
      <c r="B1478" s="176" t="s">
        <v>418</v>
      </c>
      <c r="C1478" s="179" t="s">
        <v>419</v>
      </c>
      <c r="D1478" s="179" t="s">
        <v>420</v>
      </c>
      <c r="E1478" s="179" t="s">
        <v>421</v>
      </c>
      <c r="F1478" s="179" t="s">
        <v>422</v>
      </c>
      <c r="G1478" s="179" t="s">
        <v>423</v>
      </c>
      <c r="H1478" s="179" t="s">
        <v>424</v>
      </c>
      <c r="I1478" s="179" t="s">
        <v>425</v>
      </c>
      <c r="J1478" s="179" t="s">
        <v>426</v>
      </c>
      <c r="K1478" s="179" t="s">
        <v>427</v>
      </c>
      <c r="L1478" s="179" t="s">
        <v>428</v>
      </c>
      <c r="M1478" s="179" t="s">
        <v>429</v>
      </c>
      <c r="N1478" s="179" t="s">
        <v>430</v>
      </c>
    </row>
    <row r="1479" spans="1:17" x14ac:dyDescent="0.2">
      <c r="B1479" t="s">
        <v>434</v>
      </c>
      <c r="C1479">
        <v>173</v>
      </c>
      <c r="D1479">
        <v>167</v>
      </c>
      <c r="E1479">
        <v>163</v>
      </c>
      <c r="F1479">
        <v>169</v>
      </c>
      <c r="G1479">
        <v>161</v>
      </c>
      <c r="H1479">
        <v>164</v>
      </c>
      <c r="I1479">
        <v>156</v>
      </c>
      <c r="J1479">
        <v>157</v>
      </c>
      <c r="K1479">
        <v>148</v>
      </c>
      <c r="L1479">
        <v>156</v>
      </c>
      <c r="M1479">
        <v>171</v>
      </c>
      <c r="N1479">
        <v>177</v>
      </c>
      <c r="O1479" s="173">
        <f t="shared" ref="O1479:O1487" si="328">SUM(C1479:N1479)/12</f>
        <v>163.5</v>
      </c>
      <c r="P1479" s="173"/>
    </row>
    <row r="1480" spans="1:17" x14ac:dyDescent="0.2">
      <c r="B1480" t="s">
        <v>435</v>
      </c>
      <c r="C1480">
        <v>169</v>
      </c>
      <c r="D1480">
        <v>160</v>
      </c>
      <c r="E1480">
        <v>150</v>
      </c>
      <c r="F1480">
        <v>143</v>
      </c>
      <c r="G1480">
        <v>143</v>
      </c>
      <c r="H1480">
        <v>140</v>
      </c>
      <c r="I1480">
        <v>144</v>
      </c>
      <c r="J1480">
        <v>152</v>
      </c>
      <c r="K1480">
        <v>152</v>
      </c>
      <c r="L1480">
        <v>143</v>
      </c>
      <c r="M1480">
        <v>151</v>
      </c>
      <c r="N1480">
        <v>152</v>
      </c>
      <c r="O1480" s="173">
        <f t="shared" si="328"/>
        <v>149.91666666666666</v>
      </c>
      <c r="P1480" s="173">
        <f t="shared" ref="P1480:P1487" si="329">SUM(O1480-O1479)</f>
        <v>-13.583333333333343</v>
      </c>
      <c r="Q1480" s="177">
        <f t="shared" ref="Q1480:Q1486" si="330">SUM(P1480/O1479)</f>
        <v>-8.3078491335372123E-2</v>
      </c>
    </row>
    <row r="1481" spans="1:17" x14ac:dyDescent="0.2">
      <c r="B1481" t="s">
        <v>436</v>
      </c>
      <c r="C1481">
        <v>144</v>
      </c>
      <c r="D1481">
        <v>141</v>
      </c>
      <c r="E1481">
        <v>140</v>
      </c>
      <c r="F1481">
        <v>142</v>
      </c>
      <c r="G1481">
        <v>138</v>
      </c>
      <c r="H1481">
        <v>143</v>
      </c>
      <c r="I1481">
        <v>143</v>
      </c>
      <c r="J1481">
        <v>152</v>
      </c>
      <c r="K1481">
        <v>157</v>
      </c>
      <c r="L1481">
        <v>162</v>
      </c>
      <c r="M1481">
        <v>167</v>
      </c>
      <c r="N1481">
        <v>172</v>
      </c>
      <c r="O1481" s="173">
        <f t="shared" si="328"/>
        <v>150.08333333333334</v>
      </c>
      <c r="P1481" s="173">
        <f t="shared" si="329"/>
        <v>0.16666666666668561</v>
      </c>
      <c r="Q1481" s="177">
        <f t="shared" si="330"/>
        <v>1.1117287381880085E-3</v>
      </c>
    </row>
    <row r="1482" spans="1:17" x14ac:dyDescent="0.2">
      <c r="B1482" t="s">
        <v>260</v>
      </c>
      <c r="C1482">
        <v>175</v>
      </c>
      <c r="D1482">
        <v>144</v>
      </c>
      <c r="E1482">
        <v>144</v>
      </c>
      <c r="F1482">
        <v>144</v>
      </c>
      <c r="G1482">
        <v>153</v>
      </c>
      <c r="H1482">
        <v>153</v>
      </c>
      <c r="I1482">
        <v>153</v>
      </c>
      <c r="J1482">
        <v>153</v>
      </c>
      <c r="K1482">
        <v>153</v>
      </c>
      <c r="L1482">
        <v>162</v>
      </c>
      <c r="M1482">
        <v>167</v>
      </c>
      <c r="N1482">
        <v>172</v>
      </c>
      <c r="O1482" s="173">
        <f t="shared" si="328"/>
        <v>156.08333333333334</v>
      </c>
      <c r="P1482" s="173">
        <f t="shared" si="329"/>
        <v>6</v>
      </c>
      <c r="Q1482" s="177">
        <f t="shared" si="330"/>
        <v>3.9977790116601887E-2</v>
      </c>
    </row>
    <row r="1483" spans="1:17" x14ac:dyDescent="0.2">
      <c r="B1483" t="s">
        <v>259</v>
      </c>
      <c r="C1483">
        <v>189</v>
      </c>
      <c r="D1483">
        <v>147</v>
      </c>
      <c r="E1483">
        <v>150</v>
      </c>
      <c r="F1483">
        <v>149</v>
      </c>
      <c r="G1483">
        <v>143</v>
      </c>
      <c r="H1483">
        <v>144</v>
      </c>
      <c r="I1483">
        <v>145</v>
      </c>
      <c r="J1483">
        <v>150</v>
      </c>
      <c r="K1483">
        <v>156</v>
      </c>
      <c r="L1483">
        <v>156</v>
      </c>
      <c r="M1483">
        <v>137</v>
      </c>
      <c r="N1483">
        <v>137</v>
      </c>
      <c r="O1483" s="173">
        <f t="shared" si="328"/>
        <v>150.25</v>
      </c>
      <c r="P1483" s="173">
        <f t="shared" si="329"/>
        <v>-5.8333333333333428</v>
      </c>
      <c r="Q1483" s="177">
        <f t="shared" si="330"/>
        <v>-3.7373198077949872E-2</v>
      </c>
    </row>
    <row r="1484" spans="1:17" x14ac:dyDescent="0.2">
      <c r="B1484" t="s">
        <v>280</v>
      </c>
      <c r="C1484">
        <v>121</v>
      </c>
      <c r="D1484">
        <v>120</v>
      </c>
      <c r="E1484">
        <v>127</v>
      </c>
      <c r="F1484">
        <v>130</v>
      </c>
      <c r="G1484">
        <v>134</v>
      </c>
      <c r="H1484">
        <v>143</v>
      </c>
      <c r="I1484">
        <v>142</v>
      </c>
      <c r="J1484">
        <v>138</v>
      </c>
      <c r="K1484">
        <v>139</v>
      </c>
      <c r="L1484">
        <v>146</v>
      </c>
      <c r="M1484">
        <v>148</v>
      </c>
      <c r="N1484">
        <v>147</v>
      </c>
      <c r="O1484" s="173">
        <f t="shared" si="328"/>
        <v>136.25</v>
      </c>
      <c r="P1484" s="173">
        <f t="shared" si="329"/>
        <v>-14</v>
      </c>
      <c r="Q1484" s="177">
        <f t="shared" si="330"/>
        <v>-9.3178036605657238E-2</v>
      </c>
    </row>
    <row r="1485" spans="1:17" x14ac:dyDescent="0.2">
      <c r="B1485" t="s">
        <v>290</v>
      </c>
      <c r="C1485">
        <v>146</v>
      </c>
      <c r="D1485">
        <v>146</v>
      </c>
      <c r="E1485">
        <v>146</v>
      </c>
      <c r="F1485">
        <v>152</v>
      </c>
      <c r="G1485">
        <v>150</v>
      </c>
      <c r="H1485">
        <v>141</v>
      </c>
      <c r="I1485">
        <v>136</v>
      </c>
      <c r="J1485">
        <v>139</v>
      </c>
      <c r="K1485">
        <v>141</v>
      </c>
      <c r="L1485">
        <v>149</v>
      </c>
      <c r="M1485">
        <v>155</v>
      </c>
      <c r="N1485">
        <v>142</v>
      </c>
      <c r="O1485" s="173">
        <f t="shared" si="328"/>
        <v>145.25</v>
      </c>
      <c r="P1485" s="173">
        <f t="shared" si="329"/>
        <v>9</v>
      </c>
      <c r="Q1485" s="177">
        <f t="shared" si="330"/>
        <v>6.6055045871559637E-2</v>
      </c>
    </row>
    <row r="1486" spans="1:17" x14ac:dyDescent="0.2">
      <c r="B1486" t="s">
        <v>293</v>
      </c>
      <c r="C1486">
        <v>148</v>
      </c>
      <c r="D1486">
        <v>149</v>
      </c>
      <c r="E1486">
        <v>149</v>
      </c>
      <c r="F1486">
        <v>151</v>
      </c>
      <c r="G1486">
        <v>139</v>
      </c>
      <c r="H1486">
        <v>141</v>
      </c>
      <c r="I1486">
        <v>136</v>
      </c>
      <c r="J1486">
        <v>148</v>
      </c>
      <c r="K1486">
        <v>146</v>
      </c>
      <c r="L1486">
        <v>210</v>
      </c>
      <c r="M1486">
        <v>211</v>
      </c>
      <c r="N1486">
        <v>152</v>
      </c>
      <c r="O1486" s="173">
        <f t="shared" si="328"/>
        <v>156.66666666666666</v>
      </c>
      <c r="P1486" s="173">
        <f t="shared" si="329"/>
        <v>11.416666666666657</v>
      </c>
      <c r="Q1486" s="177">
        <f t="shared" si="330"/>
        <v>7.8600114744692987E-2</v>
      </c>
    </row>
    <row r="1487" spans="1:17" x14ac:dyDescent="0.2">
      <c r="B1487" t="s">
        <v>294</v>
      </c>
      <c r="C1487">
        <v>146</v>
      </c>
      <c r="D1487">
        <v>150</v>
      </c>
      <c r="E1487">
        <v>146</v>
      </c>
      <c r="F1487">
        <v>146</v>
      </c>
      <c r="G1487">
        <v>114</v>
      </c>
      <c r="H1487">
        <v>99</v>
      </c>
      <c r="I1487">
        <v>169</v>
      </c>
      <c r="J1487">
        <v>145</v>
      </c>
      <c r="K1487">
        <v>145</v>
      </c>
      <c r="L1487">
        <v>145</v>
      </c>
      <c r="M1487">
        <v>139</v>
      </c>
      <c r="N1487">
        <v>138</v>
      </c>
      <c r="O1487" s="173">
        <f t="shared" si="328"/>
        <v>140.16666666666666</v>
      </c>
      <c r="P1487" s="173">
        <f t="shared" si="329"/>
        <v>-16.5</v>
      </c>
      <c r="Q1487" s="177">
        <f>SUM(P1487/O1486)</f>
        <v>-0.10531914893617023</v>
      </c>
    </row>
    <row r="1488" spans="1:17" x14ac:dyDescent="0.2">
      <c r="B1488" t="s">
        <v>295</v>
      </c>
      <c r="C1488">
        <v>133</v>
      </c>
      <c r="D1488">
        <v>135</v>
      </c>
      <c r="E1488">
        <v>136</v>
      </c>
      <c r="F1488">
        <v>143</v>
      </c>
      <c r="G1488">
        <v>140</v>
      </c>
      <c r="H1488">
        <v>144</v>
      </c>
      <c r="I1488">
        <v>145</v>
      </c>
      <c r="J1488">
        <v>144</v>
      </c>
      <c r="K1488">
        <v>166</v>
      </c>
      <c r="L1488">
        <v>162</v>
      </c>
      <c r="M1488">
        <v>166</v>
      </c>
      <c r="N1488">
        <v>161</v>
      </c>
      <c r="O1488" s="173">
        <f>SUM(C1488:N1488)/12</f>
        <v>147.91666666666666</v>
      </c>
      <c r="P1488" s="173">
        <f>SUM(O1488-O1487)</f>
        <v>7.75</v>
      </c>
      <c r="Q1488" s="177">
        <f>SUM(P1488/O1487)</f>
        <v>5.5291319857312726E-2</v>
      </c>
    </row>
    <row r="1489" spans="1:17" x14ac:dyDescent="0.2">
      <c r="B1489" t="s">
        <v>335</v>
      </c>
      <c r="C1489">
        <v>159</v>
      </c>
      <c r="D1489">
        <v>157</v>
      </c>
      <c r="E1489">
        <v>154</v>
      </c>
      <c r="F1489">
        <v>156</v>
      </c>
      <c r="G1489">
        <v>155</v>
      </c>
      <c r="H1489">
        <v>151</v>
      </c>
      <c r="I1489">
        <v>152</v>
      </c>
      <c r="J1489">
        <v>148</v>
      </c>
      <c r="K1489">
        <v>152</v>
      </c>
      <c r="L1489">
        <v>155</v>
      </c>
      <c r="M1489">
        <v>161</v>
      </c>
      <c r="N1489">
        <v>156</v>
      </c>
      <c r="O1489" s="173">
        <f>SUM(C1489:N1489)/12</f>
        <v>154.66666666666666</v>
      </c>
      <c r="P1489" s="173">
        <f>SUM(O1489-O1488)</f>
        <v>6.75</v>
      </c>
      <c r="Q1489" s="177">
        <f>SUM(P1489/O1488)</f>
        <v>4.5633802816901409E-2</v>
      </c>
    </row>
    <row r="1490" spans="1:17" x14ac:dyDescent="0.2">
      <c r="B1490" t="s">
        <v>358</v>
      </c>
      <c r="C1490">
        <v>150</v>
      </c>
      <c r="D1490">
        <v>158</v>
      </c>
      <c r="E1490">
        <v>160</v>
      </c>
      <c r="F1490">
        <v>142</v>
      </c>
      <c r="G1490">
        <v>141</v>
      </c>
      <c r="H1490">
        <v>138</v>
      </c>
      <c r="I1490">
        <v>139</v>
      </c>
      <c r="J1490">
        <v>136</v>
      </c>
      <c r="K1490">
        <v>134</v>
      </c>
      <c r="L1490">
        <v>142</v>
      </c>
      <c r="M1490">
        <v>143</v>
      </c>
      <c r="N1490">
        <v>135</v>
      </c>
      <c r="O1490" s="173">
        <f>SUM(C1490:N1490)/12</f>
        <v>143.16666666666666</v>
      </c>
      <c r="P1490" s="173">
        <f>SUM(O1490-O1489)</f>
        <v>-11.5</v>
      </c>
      <c r="Q1490" s="177">
        <f>SUM(P1490/O1489)</f>
        <v>-7.4353448275862072E-2</v>
      </c>
    </row>
    <row r="1491" spans="1:17" x14ac:dyDescent="0.2">
      <c r="B1491" t="s">
        <v>437</v>
      </c>
      <c r="C1491">
        <v>137</v>
      </c>
      <c r="D1491">
        <v>145</v>
      </c>
      <c r="E1491">
        <v>146</v>
      </c>
      <c r="F1491">
        <v>150</v>
      </c>
      <c r="G1491">
        <v>146</v>
      </c>
      <c r="H1491">
        <v>138</v>
      </c>
      <c r="I1491">
        <v>137</v>
      </c>
      <c r="J1491">
        <v>135</v>
      </c>
      <c r="K1491">
        <v>138</v>
      </c>
      <c r="L1491">
        <v>141</v>
      </c>
      <c r="M1491">
        <v>147</v>
      </c>
      <c r="N1491">
        <v>140</v>
      </c>
      <c r="O1491" s="173">
        <f>SUM(C1491:N1491)/12</f>
        <v>141.66666666666666</v>
      </c>
      <c r="P1491" s="173">
        <f>SUM(O1491-O1490)</f>
        <v>-1.5</v>
      </c>
      <c r="Q1491" s="177">
        <f>SUM(P1491/O1490)</f>
        <v>-1.0477299185098952E-2</v>
      </c>
    </row>
    <row r="1492" spans="1:17" x14ac:dyDescent="0.2">
      <c r="B1492" t="s">
        <v>471</v>
      </c>
      <c r="O1492" s="173"/>
      <c r="P1492" s="173"/>
      <c r="Q1492" s="177"/>
    </row>
    <row r="1493" spans="1:17" ht="25.5" x14ac:dyDescent="0.2">
      <c r="A1493" s="175" t="s">
        <v>446</v>
      </c>
      <c r="B1493" s="176" t="s">
        <v>418</v>
      </c>
      <c r="C1493" s="179" t="s">
        <v>419</v>
      </c>
      <c r="D1493" s="179" t="s">
        <v>420</v>
      </c>
      <c r="E1493" s="179" t="s">
        <v>421</v>
      </c>
      <c r="F1493" s="179" t="s">
        <v>422</v>
      </c>
      <c r="G1493" s="179" t="s">
        <v>423</v>
      </c>
      <c r="H1493" s="179" t="s">
        <v>424</v>
      </c>
      <c r="I1493" s="179" t="s">
        <v>425</v>
      </c>
      <c r="J1493" s="179" t="s">
        <v>426</v>
      </c>
      <c r="K1493" s="179" t="s">
        <v>427</v>
      </c>
      <c r="L1493" s="179" t="s">
        <v>428</v>
      </c>
      <c r="M1493" s="179" t="s">
        <v>429</v>
      </c>
      <c r="N1493" s="179" t="s">
        <v>430</v>
      </c>
    </row>
    <row r="1494" spans="1:17" x14ac:dyDescent="0.2">
      <c r="B1494" t="s">
        <v>434</v>
      </c>
      <c r="C1494">
        <v>88</v>
      </c>
      <c r="D1494">
        <v>88</v>
      </c>
      <c r="E1494">
        <v>91</v>
      </c>
      <c r="F1494">
        <v>89</v>
      </c>
      <c r="G1494">
        <v>92</v>
      </c>
      <c r="H1494">
        <v>87</v>
      </c>
      <c r="I1494">
        <v>92</v>
      </c>
      <c r="J1494">
        <v>98</v>
      </c>
      <c r="K1494">
        <v>100</v>
      </c>
      <c r="L1494">
        <v>101</v>
      </c>
      <c r="M1494">
        <v>101</v>
      </c>
      <c r="N1494">
        <v>103</v>
      </c>
      <c r="O1494" s="173">
        <f t="shared" ref="O1494:O1502" si="331">SUM(C1494:N1494)/12</f>
        <v>94.166666666666671</v>
      </c>
      <c r="P1494" s="173"/>
    </row>
    <row r="1495" spans="1:17" x14ac:dyDescent="0.2">
      <c r="B1495" t="s">
        <v>435</v>
      </c>
      <c r="C1495">
        <v>99</v>
      </c>
      <c r="D1495">
        <v>99</v>
      </c>
      <c r="E1495">
        <v>93</v>
      </c>
      <c r="F1495">
        <v>96</v>
      </c>
      <c r="G1495">
        <v>87</v>
      </c>
      <c r="H1495">
        <v>98</v>
      </c>
      <c r="I1495">
        <v>92</v>
      </c>
      <c r="J1495">
        <v>97</v>
      </c>
      <c r="K1495">
        <v>96</v>
      </c>
      <c r="L1495">
        <v>96</v>
      </c>
      <c r="M1495">
        <v>99</v>
      </c>
      <c r="N1495">
        <v>104</v>
      </c>
      <c r="O1495" s="173">
        <f t="shared" si="331"/>
        <v>96.333333333333329</v>
      </c>
      <c r="P1495" s="173">
        <f t="shared" ref="P1495:P1502" si="332">SUM(O1495-O1494)</f>
        <v>2.1666666666666572</v>
      </c>
      <c r="Q1495" s="177">
        <f t="shared" ref="Q1495:Q1501" si="333">SUM(P1495/O1494)</f>
        <v>2.3008849557522023E-2</v>
      </c>
    </row>
    <row r="1496" spans="1:17" x14ac:dyDescent="0.2">
      <c r="B1496" t="s">
        <v>436</v>
      </c>
      <c r="C1496">
        <v>103</v>
      </c>
      <c r="D1496">
        <v>108</v>
      </c>
      <c r="E1496">
        <v>99</v>
      </c>
      <c r="F1496">
        <v>108</v>
      </c>
      <c r="G1496">
        <v>104</v>
      </c>
      <c r="H1496">
        <v>89</v>
      </c>
      <c r="I1496">
        <v>81</v>
      </c>
      <c r="J1496">
        <v>73</v>
      </c>
      <c r="K1496">
        <v>71</v>
      </c>
      <c r="L1496">
        <v>75</v>
      </c>
      <c r="M1496">
        <v>110</v>
      </c>
      <c r="N1496">
        <v>120</v>
      </c>
      <c r="O1496" s="173">
        <f t="shared" si="331"/>
        <v>95.083333333333329</v>
      </c>
      <c r="P1496" s="173">
        <f t="shared" si="332"/>
        <v>-1.25</v>
      </c>
      <c r="Q1496" s="177">
        <f t="shared" si="333"/>
        <v>-1.2975778546712804E-2</v>
      </c>
    </row>
    <row r="1497" spans="1:17" x14ac:dyDescent="0.2">
      <c r="B1497" t="s">
        <v>260</v>
      </c>
      <c r="C1497">
        <v>75</v>
      </c>
      <c r="D1497">
        <v>134</v>
      </c>
      <c r="E1497">
        <v>85</v>
      </c>
      <c r="F1497">
        <v>85</v>
      </c>
      <c r="G1497">
        <v>86</v>
      </c>
      <c r="H1497">
        <v>89</v>
      </c>
      <c r="I1497">
        <v>85</v>
      </c>
      <c r="J1497">
        <v>85</v>
      </c>
      <c r="K1497">
        <v>85</v>
      </c>
      <c r="L1497">
        <v>85</v>
      </c>
      <c r="M1497">
        <v>85</v>
      </c>
      <c r="N1497">
        <v>85</v>
      </c>
      <c r="O1497" s="173">
        <f t="shared" si="331"/>
        <v>88.666666666666671</v>
      </c>
      <c r="P1497" s="173">
        <f t="shared" si="332"/>
        <v>-6.4166666666666572</v>
      </c>
      <c r="Q1497" s="177">
        <f t="shared" si="333"/>
        <v>-6.7484662576687018E-2</v>
      </c>
    </row>
    <row r="1498" spans="1:17" x14ac:dyDescent="0.2">
      <c r="B1498" t="s">
        <v>259</v>
      </c>
      <c r="C1498">
        <v>107</v>
      </c>
      <c r="D1498">
        <v>90</v>
      </c>
      <c r="E1498">
        <v>90</v>
      </c>
      <c r="F1498">
        <v>91</v>
      </c>
      <c r="G1498">
        <v>89</v>
      </c>
      <c r="H1498">
        <v>89</v>
      </c>
      <c r="I1498">
        <v>87</v>
      </c>
      <c r="J1498">
        <v>83</v>
      </c>
      <c r="K1498">
        <v>79</v>
      </c>
      <c r="L1498">
        <v>83</v>
      </c>
      <c r="M1498">
        <v>84</v>
      </c>
      <c r="N1498">
        <v>86</v>
      </c>
      <c r="O1498" s="173">
        <f t="shared" si="331"/>
        <v>88.166666666666671</v>
      </c>
      <c r="P1498" s="173">
        <f t="shared" si="332"/>
        <v>-0.5</v>
      </c>
      <c r="Q1498" s="177">
        <f t="shared" si="333"/>
        <v>-5.6390977443609019E-3</v>
      </c>
    </row>
    <row r="1499" spans="1:17" x14ac:dyDescent="0.2">
      <c r="B1499" t="s">
        <v>280</v>
      </c>
      <c r="C1499">
        <v>94</v>
      </c>
      <c r="D1499">
        <v>94</v>
      </c>
      <c r="E1499">
        <v>95</v>
      </c>
      <c r="F1499">
        <v>92</v>
      </c>
      <c r="G1499">
        <v>92</v>
      </c>
      <c r="H1499">
        <v>91</v>
      </c>
      <c r="I1499">
        <v>93</v>
      </c>
      <c r="J1499">
        <v>90</v>
      </c>
      <c r="K1499">
        <v>87</v>
      </c>
      <c r="L1499">
        <v>86</v>
      </c>
      <c r="M1499">
        <v>86</v>
      </c>
      <c r="N1499">
        <v>85</v>
      </c>
      <c r="O1499" s="173">
        <f t="shared" si="331"/>
        <v>90.416666666666671</v>
      </c>
      <c r="P1499" s="173">
        <f t="shared" si="332"/>
        <v>2.25</v>
      </c>
      <c r="Q1499" s="177">
        <f t="shared" si="333"/>
        <v>2.5519848771266538E-2</v>
      </c>
    </row>
    <row r="1500" spans="1:17" x14ac:dyDescent="0.2">
      <c r="B1500" t="s">
        <v>290</v>
      </c>
      <c r="C1500">
        <v>88</v>
      </c>
      <c r="D1500">
        <v>90</v>
      </c>
      <c r="E1500">
        <v>90</v>
      </c>
      <c r="F1500">
        <v>93</v>
      </c>
      <c r="G1500">
        <v>90</v>
      </c>
      <c r="H1500">
        <v>89</v>
      </c>
      <c r="I1500">
        <v>112</v>
      </c>
      <c r="J1500">
        <v>108</v>
      </c>
      <c r="K1500">
        <v>112</v>
      </c>
      <c r="L1500">
        <v>113</v>
      </c>
      <c r="M1500">
        <v>109</v>
      </c>
      <c r="N1500">
        <v>108</v>
      </c>
      <c r="O1500" s="173">
        <f t="shared" si="331"/>
        <v>100.16666666666667</v>
      </c>
      <c r="P1500" s="173">
        <f t="shared" si="332"/>
        <v>9.75</v>
      </c>
      <c r="Q1500" s="177">
        <f t="shared" si="333"/>
        <v>0.10783410138248847</v>
      </c>
    </row>
    <row r="1501" spans="1:17" x14ac:dyDescent="0.2">
      <c r="B1501" t="s">
        <v>293</v>
      </c>
      <c r="C1501">
        <v>107</v>
      </c>
      <c r="D1501">
        <v>106</v>
      </c>
      <c r="E1501">
        <v>105</v>
      </c>
      <c r="F1501">
        <v>96</v>
      </c>
      <c r="G1501">
        <v>99</v>
      </c>
      <c r="H1501">
        <v>101</v>
      </c>
      <c r="I1501">
        <v>103</v>
      </c>
      <c r="J1501">
        <v>103</v>
      </c>
      <c r="K1501">
        <v>100</v>
      </c>
      <c r="L1501">
        <v>113</v>
      </c>
      <c r="M1501">
        <v>118</v>
      </c>
      <c r="N1501">
        <v>104</v>
      </c>
      <c r="O1501" s="173">
        <f t="shared" si="331"/>
        <v>104.58333333333333</v>
      </c>
      <c r="P1501" s="173">
        <f t="shared" si="332"/>
        <v>4.4166666666666572</v>
      </c>
      <c r="Q1501" s="177">
        <f t="shared" si="333"/>
        <v>4.4093178036605563E-2</v>
      </c>
    </row>
    <row r="1502" spans="1:17" x14ac:dyDescent="0.2">
      <c r="B1502" t="s">
        <v>294</v>
      </c>
      <c r="C1502">
        <v>106</v>
      </c>
      <c r="D1502">
        <v>102</v>
      </c>
      <c r="E1502">
        <v>105</v>
      </c>
      <c r="F1502">
        <v>103</v>
      </c>
      <c r="G1502">
        <v>103</v>
      </c>
      <c r="H1502">
        <v>103</v>
      </c>
      <c r="I1502">
        <v>99</v>
      </c>
      <c r="J1502">
        <v>98</v>
      </c>
      <c r="K1502">
        <v>100</v>
      </c>
      <c r="L1502">
        <v>101</v>
      </c>
      <c r="M1502">
        <v>100</v>
      </c>
      <c r="N1502">
        <v>103</v>
      </c>
      <c r="O1502" s="173">
        <f t="shared" si="331"/>
        <v>101.91666666666667</v>
      </c>
      <c r="P1502" s="173">
        <f t="shared" si="332"/>
        <v>-2.6666666666666572</v>
      </c>
      <c r="Q1502" s="177">
        <f>SUM(P1502/O1501)</f>
        <v>-2.5498007968127401E-2</v>
      </c>
    </row>
    <row r="1503" spans="1:17" x14ac:dyDescent="0.2">
      <c r="B1503" t="s">
        <v>295</v>
      </c>
      <c r="C1503">
        <v>96</v>
      </c>
      <c r="D1503">
        <v>95</v>
      </c>
      <c r="E1503">
        <v>92</v>
      </c>
      <c r="F1503">
        <v>93</v>
      </c>
      <c r="G1503">
        <v>90</v>
      </c>
      <c r="H1503">
        <v>90</v>
      </c>
      <c r="I1503">
        <v>90</v>
      </c>
      <c r="J1503">
        <v>90</v>
      </c>
      <c r="K1503">
        <v>91</v>
      </c>
      <c r="L1503">
        <v>90</v>
      </c>
      <c r="M1503">
        <v>75</v>
      </c>
      <c r="N1503">
        <v>74</v>
      </c>
      <c r="O1503" s="173">
        <f>SUM(C1503:N1503)/12</f>
        <v>88.833333333333329</v>
      </c>
      <c r="P1503" s="173">
        <f>SUM(O1503-O1502)</f>
        <v>-13.083333333333343</v>
      </c>
      <c r="Q1503" s="177">
        <f>SUM(P1503/O1502)</f>
        <v>-0.12837285363859371</v>
      </c>
    </row>
    <row r="1504" spans="1:17" x14ac:dyDescent="0.2">
      <c r="B1504" t="s">
        <v>335</v>
      </c>
      <c r="C1504">
        <v>73</v>
      </c>
      <c r="D1504">
        <v>73</v>
      </c>
      <c r="E1504">
        <v>68</v>
      </c>
      <c r="F1504">
        <v>69</v>
      </c>
      <c r="G1504">
        <v>70</v>
      </c>
      <c r="H1504">
        <v>77</v>
      </c>
      <c r="I1504">
        <v>71</v>
      </c>
      <c r="J1504">
        <v>74</v>
      </c>
      <c r="K1504">
        <v>74</v>
      </c>
      <c r="L1504">
        <v>72</v>
      </c>
      <c r="N1504">
        <v>93</v>
      </c>
      <c r="O1504" s="173">
        <f>SUM(C1504:N1504)/11</f>
        <v>74</v>
      </c>
      <c r="P1504" s="173">
        <f>SUM(O1504-O1503)</f>
        <v>-14.833333333333329</v>
      </c>
      <c r="Q1504" s="177">
        <f>SUM(P1504/O1503)</f>
        <v>-0.16697936210131328</v>
      </c>
    </row>
    <row r="1505" spans="1:17" x14ac:dyDescent="0.2">
      <c r="B1505" t="s">
        <v>358</v>
      </c>
      <c r="C1505">
        <v>95</v>
      </c>
      <c r="D1505">
        <v>93</v>
      </c>
      <c r="E1505">
        <v>89</v>
      </c>
      <c r="F1505">
        <v>84</v>
      </c>
      <c r="G1505">
        <v>84</v>
      </c>
      <c r="H1505">
        <v>86</v>
      </c>
      <c r="I1505">
        <v>87</v>
      </c>
      <c r="J1505">
        <v>84</v>
      </c>
      <c r="K1505">
        <v>86</v>
      </c>
      <c r="L1505">
        <v>89</v>
      </c>
      <c r="M1505">
        <v>91</v>
      </c>
      <c r="N1505">
        <v>96</v>
      </c>
      <c r="O1505" s="173">
        <f>SUM(C1505:N1505)/12</f>
        <v>88.666666666666671</v>
      </c>
      <c r="P1505" s="173">
        <f>SUM(O1505-O1504)</f>
        <v>14.666666666666671</v>
      </c>
      <c r="Q1505" s="177">
        <f>SUM(P1505/O1504)</f>
        <v>0.19819819819819826</v>
      </c>
    </row>
    <row r="1506" spans="1:17" x14ac:dyDescent="0.2">
      <c r="B1506" t="s">
        <v>437</v>
      </c>
      <c r="C1506">
        <v>100</v>
      </c>
      <c r="D1506">
        <v>99</v>
      </c>
      <c r="E1506">
        <v>98</v>
      </c>
      <c r="F1506">
        <v>99</v>
      </c>
      <c r="G1506">
        <v>98</v>
      </c>
      <c r="H1506">
        <v>99</v>
      </c>
      <c r="I1506">
        <v>101</v>
      </c>
      <c r="J1506">
        <v>102</v>
      </c>
      <c r="K1506">
        <v>101</v>
      </c>
      <c r="L1506">
        <v>102</v>
      </c>
      <c r="M1506">
        <v>103</v>
      </c>
      <c r="N1506">
        <v>107</v>
      </c>
      <c r="O1506" s="173">
        <f>SUM(C1506:N1506)/12</f>
        <v>100.75</v>
      </c>
      <c r="P1506" s="173">
        <f>SUM(O1506-O1505)</f>
        <v>12.083333333333329</v>
      </c>
      <c r="Q1506" s="177">
        <f>SUM(P1506/O1505)</f>
        <v>0.13627819548872175</v>
      </c>
    </row>
    <row r="1507" spans="1:17" x14ac:dyDescent="0.2">
      <c r="B1507" t="s">
        <v>471</v>
      </c>
      <c r="O1507" s="173"/>
      <c r="P1507" s="173"/>
      <c r="Q1507" s="177"/>
    </row>
    <row r="1508" spans="1:17" x14ac:dyDescent="0.2">
      <c r="A1508" s="178"/>
      <c r="B1508" s="178"/>
      <c r="C1508" s="178"/>
      <c r="D1508" s="178"/>
      <c r="E1508" s="178"/>
      <c r="F1508" s="178"/>
      <c r="G1508" s="178"/>
      <c r="H1508" s="178"/>
      <c r="I1508" s="178"/>
      <c r="J1508" s="178"/>
      <c r="K1508" s="178"/>
      <c r="L1508" s="178"/>
      <c r="M1508" s="178"/>
      <c r="N1508" s="178"/>
      <c r="O1508" s="178"/>
      <c r="P1508" s="178"/>
      <c r="Q1508" s="178"/>
    </row>
    <row r="1509" spans="1:17" ht="25.5" x14ac:dyDescent="0.2">
      <c r="A1509" s="175" t="s">
        <v>447</v>
      </c>
      <c r="B1509" s="176" t="s">
        <v>418</v>
      </c>
      <c r="C1509" s="179" t="s">
        <v>419</v>
      </c>
      <c r="D1509" s="179" t="s">
        <v>420</v>
      </c>
      <c r="E1509" s="179" t="s">
        <v>421</v>
      </c>
      <c r="F1509" s="179" t="s">
        <v>422</v>
      </c>
      <c r="G1509" s="179" t="s">
        <v>423</v>
      </c>
      <c r="H1509" s="179" t="s">
        <v>424</v>
      </c>
      <c r="I1509" s="179" t="s">
        <v>425</v>
      </c>
      <c r="J1509" s="179" t="s">
        <v>426</v>
      </c>
      <c r="K1509" s="179" t="s">
        <v>427</v>
      </c>
      <c r="L1509" s="179" t="s">
        <v>428</v>
      </c>
      <c r="M1509" s="179" t="s">
        <v>429</v>
      </c>
      <c r="N1509" s="179" t="s">
        <v>430</v>
      </c>
    </row>
    <row r="1510" spans="1:17" x14ac:dyDescent="0.2">
      <c r="B1510" t="s">
        <v>434</v>
      </c>
      <c r="C1510">
        <v>69</v>
      </c>
      <c r="D1510">
        <v>69</v>
      </c>
      <c r="E1510">
        <v>69</v>
      </c>
      <c r="F1510">
        <v>69</v>
      </c>
      <c r="G1510">
        <v>56</v>
      </c>
      <c r="H1510">
        <v>58</v>
      </c>
      <c r="I1510">
        <v>57</v>
      </c>
      <c r="J1510">
        <v>58</v>
      </c>
      <c r="K1510">
        <v>56</v>
      </c>
      <c r="L1510">
        <v>62</v>
      </c>
      <c r="M1510">
        <v>57</v>
      </c>
      <c r="N1510">
        <v>58</v>
      </c>
      <c r="O1510" s="173">
        <f t="shared" ref="O1510:O1518" si="334">SUM(C1510:N1510)/12</f>
        <v>61.5</v>
      </c>
      <c r="P1510" s="173"/>
    </row>
    <row r="1511" spans="1:17" x14ac:dyDescent="0.2">
      <c r="B1511" t="s">
        <v>435</v>
      </c>
      <c r="C1511">
        <v>52</v>
      </c>
      <c r="D1511">
        <v>56</v>
      </c>
      <c r="E1511">
        <v>51</v>
      </c>
      <c r="F1511">
        <v>57</v>
      </c>
      <c r="G1511">
        <v>60</v>
      </c>
      <c r="H1511">
        <v>58</v>
      </c>
      <c r="I1511">
        <v>62</v>
      </c>
      <c r="J1511">
        <v>63</v>
      </c>
      <c r="K1511">
        <v>59</v>
      </c>
      <c r="L1511">
        <v>59</v>
      </c>
      <c r="M1511">
        <v>62</v>
      </c>
      <c r="N1511">
        <v>60</v>
      </c>
      <c r="O1511" s="173">
        <f t="shared" si="334"/>
        <v>58.25</v>
      </c>
      <c r="P1511" s="173">
        <f t="shared" ref="P1511:P1518" si="335">SUM(O1511-O1510)</f>
        <v>-3.25</v>
      </c>
      <c r="Q1511" s="177">
        <f t="shared" ref="Q1511:Q1517" si="336">SUM(P1511/O1510)</f>
        <v>-5.2845528455284556E-2</v>
      </c>
    </row>
    <row r="1512" spans="1:17" x14ac:dyDescent="0.2">
      <c r="B1512" t="s">
        <v>436</v>
      </c>
      <c r="C1512">
        <v>60</v>
      </c>
      <c r="D1512">
        <v>55</v>
      </c>
      <c r="E1512">
        <v>57</v>
      </c>
      <c r="F1512">
        <v>55</v>
      </c>
      <c r="G1512">
        <v>55</v>
      </c>
      <c r="H1512">
        <v>52</v>
      </c>
      <c r="I1512">
        <v>60</v>
      </c>
      <c r="J1512">
        <v>72</v>
      </c>
      <c r="K1512">
        <v>77</v>
      </c>
      <c r="L1512">
        <v>82</v>
      </c>
      <c r="M1512">
        <v>87</v>
      </c>
      <c r="N1512">
        <v>92</v>
      </c>
      <c r="O1512" s="173">
        <f t="shared" si="334"/>
        <v>67</v>
      </c>
      <c r="P1512" s="173">
        <f t="shared" si="335"/>
        <v>8.75</v>
      </c>
      <c r="Q1512" s="177">
        <f t="shared" si="336"/>
        <v>0.15021459227467812</v>
      </c>
    </row>
    <row r="1513" spans="1:17" x14ac:dyDescent="0.2">
      <c r="B1513" t="s">
        <v>260</v>
      </c>
      <c r="C1513">
        <v>87</v>
      </c>
      <c r="D1513">
        <v>86</v>
      </c>
      <c r="E1513">
        <v>88</v>
      </c>
      <c r="F1513">
        <v>86</v>
      </c>
      <c r="G1513">
        <v>86</v>
      </c>
      <c r="H1513">
        <v>86</v>
      </c>
      <c r="I1513">
        <v>86</v>
      </c>
      <c r="J1513">
        <v>86</v>
      </c>
      <c r="K1513">
        <v>86</v>
      </c>
      <c r="L1513">
        <v>86</v>
      </c>
      <c r="M1513">
        <v>86</v>
      </c>
      <c r="N1513">
        <v>86</v>
      </c>
      <c r="O1513" s="173">
        <f t="shared" si="334"/>
        <v>86.25</v>
      </c>
      <c r="P1513" s="173">
        <f t="shared" si="335"/>
        <v>19.25</v>
      </c>
      <c r="Q1513" s="177">
        <f t="shared" si="336"/>
        <v>0.28731343283582089</v>
      </c>
    </row>
    <row r="1514" spans="1:17" x14ac:dyDescent="0.2">
      <c r="B1514" t="s">
        <v>259</v>
      </c>
      <c r="C1514">
        <v>93</v>
      </c>
      <c r="D1514">
        <v>80</v>
      </c>
      <c r="E1514">
        <v>78</v>
      </c>
      <c r="F1514">
        <v>78</v>
      </c>
      <c r="G1514">
        <v>84</v>
      </c>
      <c r="H1514">
        <v>90</v>
      </c>
      <c r="I1514">
        <v>88</v>
      </c>
      <c r="J1514">
        <v>92</v>
      </c>
      <c r="K1514">
        <v>94</v>
      </c>
      <c r="L1514">
        <v>84</v>
      </c>
      <c r="M1514">
        <v>84</v>
      </c>
      <c r="N1514">
        <v>85</v>
      </c>
      <c r="O1514" s="173">
        <f t="shared" si="334"/>
        <v>85.833333333333329</v>
      </c>
      <c r="P1514" s="173">
        <f t="shared" si="335"/>
        <v>-0.4166666666666714</v>
      </c>
      <c r="Q1514" s="177">
        <f t="shared" si="336"/>
        <v>-4.8309178743961905E-3</v>
      </c>
    </row>
    <row r="1515" spans="1:17" x14ac:dyDescent="0.2">
      <c r="B1515" t="s">
        <v>280</v>
      </c>
      <c r="C1515">
        <v>80</v>
      </c>
      <c r="D1515">
        <v>84</v>
      </c>
      <c r="E1515">
        <v>85</v>
      </c>
      <c r="F1515">
        <v>88</v>
      </c>
      <c r="G1515">
        <v>90</v>
      </c>
      <c r="H1515">
        <v>95</v>
      </c>
      <c r="I1515">
        <v>101</v>
      </c>
      <c r="J1515">
        <v>94</v>
      </c>
      <c r="K1515">
        <v>90</v>
      </c>
      <c r="L1515">
        <v>93</v>
      </c>
      <c r="M1515">
        <v>101</v>
      </c>
      <c r="N1515">
        <v>107</v>
      </c>
      <c r="O1515" s="173">
        <f t="shared" si="334"/>
        <v>92.333333333333329</v>
      </c>
      <c r="P1515" s="173">
        <f t="shared" si="335"/>
        <v>6.5</v>
      </c>
      <c r="Q1515" s="177">
        <f t="shared" si="336"/>
        <v>7.5728155339805828E-2</v>
      </c>
    </row>
    <row r="1516" spans="1:17" x14ac:dyDescent="0.2">
      <c r="B1516" t="s">
        <v>290</v>
      </c>
      <c r="C1516">
        <v>112</v>
      </c>
      <c r="D1516">
        <v>110</v>
      </c>
      <c r="E1516">
        <v>108</v>
      </c>
      <c r="F1516">
        <v>113</v>
      </c>
      <c r="G1516">
        <v>112</v>
      </c>
      <c r="H1516">
        <v>108</v>
      </c>
      <c r="I1516">
        <v>107</v>
      </c>
      <c r="J1516">
        <v>123</v>
      </c>
      <c r="K1516">
        <v>114</v>
      </c>
      <c r="L1516">
        <v>116</v>
      </c>
      <c r="M1516">
        <v>117</v>
      </c>
      <c r="N1516">
        <v>121</v>
      </c>
      <c r="O1516" s="173">
        <f t="shared" si="334"/>
        <v>113.41666666666667</v>
      </c>
      <c r="P1516" s="173">
        <f t="shared" si="335"/>
        <v>21.083333333333343</v>
      </c>
      <c r="Q1516" s="177">
        <f t="shared" si="336"/>
        <v>0.22833935018050552</v>
      </c>
    </row>
    <row r="1517" spans="1:17" x14ac:dyDescent="0.2">
      <c r="B1517" t="s">
        <v>293</v>
      </c>
      <c r="C1517">
        <v>121</v>
      </c>
      <c r="D1517">
        <v>122</v>
      </c>
      <c r="E1517">
        <v>122</v>
      </c>
      <c r="F1517">
        <v>126</v>
      </c>
      <c r="G1517">
        <v>124</v>
      </c>
      <c r="H1517">
        <v>122</v>
      </c>
      <c r="I1517">
        <v>124</v>
      </c>
      <c r="J1517">
        <v>122</v>
      </c>
      <c r="K1517">
        <v>121</v>
      </c>
      <c r="L1517">
        <v>115</v>
      </c>
      <c r="M1517">
        <v>114</v>
      </c>
      <c r="N1517">
        <v>121</v>
      </c>
      <c r="O1517" s="173">
        <f t="shared" si="334"/>
        <v>121.16666666666667</v>
      </c>
      <c r="P1517" s="173">
        <f t="shared" si="335"/>
        <v>7.75</v>
      </c>
      <c r="Q1517" s="177">
        <f t="shared" si="336"/>
        <v>6.8332108743570902E-2</v>
      </c>
    </row>
    <row r="1518" spans="1:17" x14ac:dyDescent="0.2">
      <c r="B1518" t="s">
        <v>294</v>
      </c>
      <c r="C1518">
        <v>99</v>
      </c>
      <c r="D1518">
        <v>100</v>
      </c>
      <c r="E1518">
        <v>107</v>
      </c>
      <c r="F1518">
        <v>104</v>
      </c>
      <c r="G1518">
        <v>103</v>
      </c>
      <c r="H1518">
        <v>100</v>
      </c>
      <c r="I1518">
        <v>101</v>
      </c>
      <c r="J1518">
        <v>98</v>
      </c>
      <c r="K1518">
        <v>92</v>
      </c>
      <c r="L1518">
        <v>85</v>
      </c>
      <c r="M1518">
        <v>92</v>
      </c>
      <c r="N1518">
        <v>88</v>
      </c>
      <c r="O1518" s="173">
        <f t="shared" si="334"/>
        <v>97.416666666666671</v>
      </c>
      <c r="P1518" s="173">
        <f t="shared" si="335"/>
        <v>-23.75</v>
      </c>
      <c r="Q1518" s="177">
        <f>SUM(P1518/O1517)</f>
        <v>-0.19601100412654746</v>
      </c>
    </row>
    <row r="1519" spans="1:17" x14ac:dyDescent="0.2">
      <c r="B1519" t="s">
        <v>295</v>
      </c>
      <c r="C1519">
        <v>79</v>
      </c>
      <c r="D1519">
        <v>82</v>
      </c>
      <c r="E1519">
        <v>82</v>
      </c>
      <c r="F1519">
        <v>78</v>
      </c>
      <c r="G1519">
        <v>79</v>
      </c>
      <c r="H1519">
        <v>83</v>
      </c>
      <c r="I1519">
        <v>84</v>
      </c>
      <c r="J1519">
        <v>90</v>
      </c>
      <c r="K1519">
        <v>95</v>
      </c>
      <c r="L1519">
        <v>94</v>
      </c>
      <c r="M1519">
        <v>94</v>
      </c>
      <c r="N1519">
        <v>72</v>
      </c>
      <c r="O1519" s="173">
        <f>SUM(C1519:N1519)/12</f>
        <v>84.333333333333329</v>
      </c>
      <c r="P1519" s="173">
        <f>SUM(O1519-O1518)</f>
        <v>-13.083333333333343</v>
      </c>
      <c r="Q1519" s="177">
        <f>SUM(P1519/O1518)</f>
        <v>-0.13430282292557752</v>
      </c>
    </row>
    <row r="1520" spans="1:17" x14ac:dyDescent="0.2">
      <c r="B1520" t="s">
        <v>335</v>
      </c>
      <c r="C1520">
        <v>84</v>
      </c>
      <c r="D1520">
        <v>87</v>
      </c>
      <c r="E1520">
        <v>92</v>
      </c>
      <c r="F1520">
        <v>97</v>
      </c>
      <c r="G1520">
        <v>101</v>
      </c>
      <c r="H1520">
        <v>100</v>
      </c>
      <c r="I1520">
        <v>85</v>
      </c>
      <c r="J1520">
        <v>86</v>
      </c>
      <c r="K1520">
        <v>90</v>
      </c>
      <c r="L1520">
        <v>89</v>
      </c>
      <c r="M1520">
        <v>83</v>
      </c>
      <c r="N1520">
        <v>82</v>
      </c>
      <c r="O1520" s="173">
        <f>SUM(C1520:N1520)/12</f>
        <v>89.666666666666671</v>
      </c>
      <c r="P1520" s="173">
        <f>SUM(O1520-O1519)</f>
        <v>5.3333333333333428</v>
      </c>
      <c r="Q1520" s="177">
        <f>SUM(P1520/O1519)</f>
        <v>6.324110671936771E-2</v>
      </c>
    </row>
    <row r="1521" spans="1:17" x14ac:dyDescent="0.2">
      <c r="B1521" t="s">
        <v>358</v>
      </c>
      <c r="C1521">
        <v>87</v>
      </c>
      <c r="D1521">
        <v>86</v>
      </c>
      <c r="E1521">
        <v>87</v>
      </c>
      <c r="F1521">
        <v>77</v>
      </c>
      <c r="G1521">
        <v>76</v>
      </c>
      <c r="H1521">
        <v>73</v>
      </c>
      <c r="I1521">
        <v>69</v>
      </c>
      <c r="J1521">
        <v>75</v>
      </c>
      <c r="K1521">
        <v>74</v>
      </c>
      <c r="L1521">
        <v>74</v>
      </c>
      <c r="M1521">
        <v>72</v>
      </c>
      <c r="N1521">
        <v>73</v>
      </c>
      <c r="O1521" s="173">
        <f>SUM(C1521:N1521)/12</f>
        <v>76.916666666666671</v>
      </c>
      <c r="P1521" s="173">
        <f>SUM(O1521-O1520)</f>
        <v>-12.75</v>
      </c>
      <c r="Q1521" s="177">
        <f>SUM(P1521/O1520)</f>
        <v>-0.14219330855018586</v>
      </c>
    </row>
    <row r="1522" spans="1:17" x14ac:dyDescent="0.2">
      <c r="B1522" t="s">
        <v>437</v>
      </c>
      <c r="C1522">
        <v>74</v>
      </c>
      <c r="D1522">
        <v>71</v>
      </c>
      <c r="E1522">
        <v>77</v>
      </c>
      <c r="F1522">
        <v>76</v>
      </c>
      <c r="G1522">
        <v>78</v>
      </c>
      <c r="H1522">
        <v>71</v>
      </c>
      <c r="I1522">
        <v>69</v>
      </c>
      <c r="J1522">
        <v>64</v>
      </c>
      <c r="K1522">
        <v>62</v>
      </c>
      <c r="L1522">
        <v>55</v>
      </c>
      <c r="M1522">
        <v>55</v>
      </c>
      <c r="N1522">
        <v>54</v>
      </c>
      <c r="O1522" s="173">
        <f>SUM(C1522:N1522)/12</f>
        <v>67.166666666666671</v>
      </c>
      <c r="P1522" s="173">
        <f>SUM(O1522-O1521)</f>
        <v>-9.75</v>
      </c>
      <c r="Q1522" s="177">
        <f>SUM(P1522/O1521)</f>
        <v>-0.12676056338028169</v>
      </c>
    </row>
    <row r="1523" spans="1:17" x14ac:dyDescent="0.2">
      <c r="B1523" t="s">
        <v>471</v>
      </c>
      <c r="O1523" s="173"/>
      <c r="P1523" s="173"/>
      <c r="Q1523" s="177"/>
    </row>
    <row r="1524" spans="1:17" ht="25.5" x14ac:dyDescent="0.2">
      <c r="A1524" s="175" t="s">
        <v>448</v>
      </c>
      <c r="B1524" s="176" t="s">
        <v>418</v>
      </c>
      <c r="C1524" s="179" t="s">
        <v>419</v>
      </c>
      <c r="D1524" s="179" t="s">
        <v>420</v>
      </c>
      <c r="E1524" s="179" t="s">
        <v>421</v>
      </c>
      <c r="F1524" s="179" t="s">
        <v>422</v>
      </c>
      <c r="G1524" s="179" t="s">
        <v>423</v>
      </c>
      <c r="H1524" s="179" t="s">
        <v>424</v>
      </c>
      <c r="I1524" s="179" t="s">
        <v>425</v>
      </c>
      <c r="J1524" s="179" t="s">
        <v>426</v>
      </c>
      <c r="K1524" s="179" t="s">
        <v>427</v>
      </c>
      <c r="L1524" s="179" t="s">
        <v>428</v>
      </c>
      <c r="M1524" s="179" t="s">
        <v>429</v>
      </c>
      <c r="N1524" s="179" t="s">
        <v>430</v>
      </c>
    </row>
    <row r="1525" spans="1:17" x14ac:dyDescent="0.2">
      <c r="B1525" t="s">
        <v>434</v>
      </c>
      <c r="C1525">
        <v>92</v>
      </c>
      <c r="D1525">
        <v>91</v>
      </c>
      <c r="E1525">
        <v>97</v>
      </c>
      <c r="F1525">
        <v>94</v>
      </c>
      <c r="G1525">
        <v>87</v>
      </c>
      <c r="H1525">
        <v>85</v>
      </c>
      <c r="I1525">
        <v>91</v>
      </c>
      <c r="J1525">
        <v>89</v>
      </c>
      <c r="K1525">
        <v>92</v>
      </c>
      <c r="L1525">
        <v>92</v>
      </c>
      <c r="M1525">
        <v>94</v>
      </c>
      <c r="N1525">
        <v>92</v>
      </c>
      <c r="O1525" s="173">
        <f t="shared" ref="O1525:O1533" si="337">SUM(C1525:N1525)/12</f>
        <v>91.333333333333329</v>
      </c>
      <c r="P1525" s="173"/>
    </row>
    <row r="1526" spans="1:17" x14ac:dyDescent="0.2">
      <c r="B1526" t="s">
        <v>435</v>
      </c>
      <c r="C1526">
        <v>90</v>
      </c>
      <c r="D1526">
        <v>98</v>
      </c>
      <c r="E1526">
        <v>89</v>
      </c>
      <c r="F1526">
        <v>84</v>
      </c>
      <c r="G1526">
        <v>84</v>
      </c>
      <c r="H1526">
        <v>78</v>
      </c>
      <c r="I1526">
        <v>83</v>
      </c>
      <c r="J1526">
        <v>87</v>
      </c>
      <c r="K1526">
        <v>81</v>
      </c>
      <c r="L1526">
        <v>81</v>
      </c>
      <c r="M1526">
        <v>77</v>
      </c>
      <c r="N1526">
        <v>79</v>
      </c>
      <c r="O1526" s="173">
        <f t="shared" si="337"/>
        <v>84.25</v>
      </c>
      <c r="P1526" s="173">
        <f t="shared" ref="P1526:P1533" si="338">SUM(O1526-O1525)</f>
        <v>-7.0833333333333286</v>
      </c>
      <c r="Q1526" s="177">
        <f t="shared" ref="Q1526:Q1532" si="339">SUM(P1526/O1525)</f>
        <v>-7.7554744525547392E-2</v>
      </c>
    </row>
    <row r="1527" spans="1:17" x14ac:dyDescent="0.2">
      <c r="B1527" t="s">
        <v>436</v>
      </c>
      <c r="C1527">
        <v>81</v>
      </c>
      <c r="D1527">
        <v>78</v>
      </c>
      <c r="E1527">
        <v>73</v>
      </c>
      <c r="F1527">
        <v>77</v>
      </c>
      <c r="G1527">
        <v>86</v>
      </c>
      <c r="H1527">
        <v>96</v>
      </c>
      <c r="I1527">
        <v>84</v>
      </c>
      <c r="J1527">
        <v>72</v>
      </c>
      <c r="K1527">
        <v>74</v>
      </c>
      <c r="L1527">
        <v>76</v>
      </c>
      <c r="M1527">
        <v>78</v>
      </c>
      <c r="N1527">
        <v>88</v>
      </c>
      <c r="O1527" s="173">
        <f t="shared" si="337"/>
        <v>80.25</v>
      </c>
      <c r="P1527" s="173">
        <f t="shared" si="338"/>
        <v>-4</v>
      </c>
      <c r="Q1527" s="177">
        <f t="shared" si="339"/>
        <v>-4.7477744807121663E-2</v>
      </c>
    </row>
    <row r="1528" spans="1:17" x14ac:dyDescent="0.2">
      <c r="B1528" t="s">
        <v>260</v>
      </c>
      <c r="C1528">
        <v>98</v>
      </c>
      <c r="D1528">
        <v>98</v>
      </c>
      <c r="E1528">
        <v>100</v>
      </c>
      <c r="F1528">
        <v>93</v>
      </c>
      <c r="G1528">
        <v>93</v>
      </c>
      <c r="H1528">
        <v>93</v>
      </c>
      <c r="I1528">
        <v>93</v>
      </c>
      <c r="J1528">
        <v>93</v>
      </c>
      <c r="K1528">
        <v>93</v>
      </c>
      <c r="L1528">
        <v>93</v>
      </c>
      <c r="M1528">
        <v>93</v>
      </c>
      <c r="N1528">
        <v>93</v>
      </c>
      <c r="O1528" s="173">
        <f t="shared" si="337"/>
        <v>94.416666666666671</v>
      </c>
      <c r="P1528" s="173">
        <f t="shared" si="338"/>
        <v>14.166666666666671</v>
      </c>
      <c r="Q1528" s="177">
        <f t="shared" si="339"/>
        <v>0.17653167185877472</v>
      </c>
    </row>
    <row r="1529" spans="1:17" x14ac:dyDescent="0.2">
      <c r="B1529" t="s">
        <v>259</v>
      </c>
      <c r="C1529">
        <v>106</v>
      </c>
      <c r="D1529">
        <v>90</v>
      </c>
      <c r="E1529">
        <v>91</v>
      </c>
      <c r="F1529">
        <v>91</v>
      </c>
      <c r="G1529">
        <v>87</v>
      </c>
      <c r="H1529">
        <v>80</v>
      </c>
      <c r="I1529">
        <v>76</v>
      </c>
      <c r="J1529">
        <v>78</v>
      </c>
      <c r="K1529">
        <v>83</v>
      </c>
      <c r="L1529">
        <v>92</v>
      </c>
      <c r="M1529">
        <v>99</v>
      </c>
      <c r="N1529">
        <v>101</v>
      </c>
      <c r="O1529" s="173">
        <f t="shared" si="337"/>
        <v>89.5</v>
      </c>
      <c r="P1529" s="173">
        <f t="shared" si="338"/>
        <v>-4.9166666666666714</v>
      </c>
      <c r="Q1529" s="177">
        <f t="shared" si="339"/>
        <v>-5.2074139452780277E-2</v>
      </c>
    </row>
    <row r="1530" spans="1:17" x14ac:dyDescent="0.2">
      <c r="B1530" t="s">
        <v>280</v>
      </c>
      <c r="C1530">
        <v>93</v>
      </c>
      <c r="D1530">
        <v>90</v>
      </c>
      <c r="E1530">
        <v>91</v>
      </c>
      <c r="F1530">
        <v>94</v>
      </c>
      <c r="G1530">
        <v>91</v>
      </c>
      <c r="H1530">
        <v>91</v>
      </c>
      <c r="I1530">
        <v>93</v>
      </c>
      <c r="J1530">
        <v>90</v>
      </c>
      <c r="K1530">
        <v>83</v>
      </c>
      <c r="L1530">
        <v>84</v>
      </c>
      <c r="M1530">
        <v>79</v>
      </c>
      <c r="N1530">
        <v>77</v>
      </c>
      <c r="O1530" s="173">
        <f t="shared" si="337"/>
        <v>88</v>
      </c>
      <c r="P1530" s="173">
        <f t="shared" si="338"/>
        <v>-1.5</v>
      </c>
      <c r="Q1530" s="177">
        <f t="shared" si="339"/>
        <v>-1.6759776536312849E-2</v>
      </c>
    </row>
    <row r="1531" spans="1:17" x14ac:dyDescent="0.2">
      <c r="B1531" t="s">
        <v>290</v>
      </c>
      <c r="C1531">
        <v>79</v>
      </c>
      <c r="D1531">
        <v>78</v>
      </c>
      <c r="E1531">
        <v>74</v>
      </c>
      <c r="F1531">
        <v>69</v>
      </c>
      <c r="G1531">
        <v>66</v>
      </c>
      <c r="H1531">
        <v>62</v>
      </c>
      <c r="I1531">
        <v>59</v>
      </c>
      <c r="J1531">
        <v>64</v>
      </c>
      <c r="K1531">
        <v>59</v>
      </c>
      <c r="L1531">
        <v>55</v>
      </c>
      <c r="M1531">
        <v>61</v>
      </c>
      <c r="N1531">
        <v>64</v>
      </c>
      <c r="O1531" s="173">
        <f t="shared" si="337"/>
        <v>65.833333333333329</v>
      </c>
      <c r="P1531" s="173">
        <f t="shared" si="338"/>
        <v>-22.166666666666671</v>
      </c>
      <c r="Q1531" s="177">
        <f t="shared" si="339"/>
        <v>-0.25189393939393945</v>
      </c>
    </row>
    <row r="1532" spans="1:17" x14ac:dyDescent="0.2">
      <c r="B1532" t="s">
        <v>293</v>
      </c>
      <c r="C1532">
        <v>68</v>
      </c>
      <c r="D1532">
        <v>67</v>
      </c>
      <c r="E1532">
        <v>71</v>
      </c>
      <c r="F1532">
        <v>72</v>
      </c>
      <c r="G1532">
        <v>81</v>
      </c>
      <c r="H1532">
        <v>85</v>
      </c>
      <c r="I1532">
        <v>85</v>
      </c>
      <c r="J1532">
        <v>85</v>
      </c>
      <c r="K1532">
        <v>73</v>
      </c>
      <c r="L1532">
        <v>82</v>
      </c>
      <c r="M1532">
        <v>78</v>
      </c>
      <c r="N1532">
        <v>80</v>
      </c>
      <c r="O1532" s="173">
        <f t="shared" si="337"/>
        <v>77.25</v>
      </c>
      <c r="P1532" s="173">
        <f t="shared" si="338"/>
        <v>11.416666666666671</v>
      </c>
      <c r="Q1532" s="177">
        <f t="shared" si="339"/>
        <v>0.17341772151898743</v>
      </c>
    </row>
    <row r="1533" spans="1:17" x14ac:dyDescent="0.2">
      <c r="B1533" t="s">
        <v>294</v>
      </c>
      <c r="C1533">
        <v>77</v>
      </c>
      <c r="D1533">
        <v>75</v>
      </c>
      <c r="E1533">
        <v>74</v>
      </c>
      <c r="F1533">
        <v>75</v>
      </c>
      <c r="G1533">
        <v>75</v>
      </c>
      <c r="H1533">
        <v>77</v>
      </c>
      <c r="I1533">
        <v>81</v>
      </c>
      <c r="J1533">
        <v>79</v>
      </c>
      <c r="K1533">
        <v>79</v>
      </c>
      <c r="L1533">
        <v>79</v>
      </c>
      <c r="M1533">
        <v>80</v>
      </c>
      <c r="N1533">
        <v>76</v>
      </c>
      <c r="O1533" s="173">
        <f t="shared" si="337"/>
        <v>77.25</v>
      </c>
      <c r="P1533" s="173">
        <f t="shared" si="338"/>
        <v>0</v>
      </c>
      <c r="Q1533" s="177">
        <f>SUM(P1533/O1532)</f>
        <v>0</v>
      </c>
    </row>
    <row r="1534" spans="1:17" x14ac:dyDescent="0.2">
      <c r="B1534" t="s">
        <v>295</v>
      </c>
      <c r="C1534">
        <v>68</v>
      </c>
      <c r="D1534">
        <v>66</v>
      </c>
      <c r="E1534">
        <v>65</v>
      </c>
      <c r="F1534">
        <v>61</v>
      </c>
      <c r="G1534">
        <v>59</v>
      </c>
      <c r="H1534">
        <v>57</v>
      </c>
      <c r="I1534">
        <v>55</v>
      </c>
      <c r="J1534">
        <v>56</v>
      </c>
      <c r="K1534">
        <v>58</v>
      </c>
      <c r="L1534">
        <v>60</v>
      </c>
      <c r="M1534">
        <v>61</v>
      </c>
      <c r="N1534">
        <v>62</v>
      </c>
      <c r="O1534" s="173">
        <f>SUM(C1534:N1534)/12</f>
        <v>60.666666666666664</v>
      </c>
      <c r="P1534" s="173">
        <f>SUM(O1534-O1533)</f>
        <v>-16.583333333333336</v>
      </c>
      <c r="Q1534" s="177">
        <f>SUM(P1534/O1533)</f>
        <v>-0.21467098166127296</v>
      </c>
    </row>
    <row r="1535" spans="1:17" x14ac:dyDescent="0.2">
      <c r="B1535" t="s">
        <v>335</v>
      </c>
      <c r="C1535">
        <v>58</v>
      </c>
      <c r="D1535">
        <v>59</v>
      </c>
      <c r="E1535">
        <v>55</v>
      </c>
      <c r="F1535">
        <v>68</v>
      </c>
      <c r="G1535">
        <v>62</v>
      </c>
      <c r="H1535">
        <v>58</v>
      </c>
      <c r="I1535">
        <v>55</v>
      </c>
      <c r="J1535">
        <v>58</v>
      </c>
      <c r="K1535">
        <v>59</v>
      </c>
      <c r="L1535">
        <v>57</v>
      </c>
      <c r="M1535">
        <v>52</v>
      </c>
      <c r="N1535">
        <v>54</v>
      </c>
      <c r="O1535" s="173">
        <f>SUM(C1535:N1535)/12</f>
        <v>57.916666666666664</v>
      </c>
      <c r="P1535" s="173">
        <f>SUM(O1535-O1534)</f>
        <v>-2.75</v>
      </c>
      <c r="Q1535" s="177">
        <f>SUM(P1535/O1534)</f>
        <v>-4.5329670329670328E-2</v>
      </c>
    </row>
    <row r="1536" spans="1:17" x14ac:dyDescent="0.2">
      <c r="B1536" t="s">
        <v>358</v>
      </c>
      <c r="C1536">
        <v>55</v>
      </c>
      <c r="D1536">
        <v>55</v>
      </c>
      <c r="E1536">
        <v>49</v>
      </c>
      <c r="F1536">
        <v>51</v>
      </c>
      <c r="G1536">
        <v>53</v>
      </c>
      <c r="H1536">
        <v>57</v>
      </c>
      <c r="I1536">
        <v>63</v>
      </c>
      <c r="J1536">
        <v>65</v>
      </c>
      <c r="K1536">
        <v>65</v>
      </c>
      <c r="L1536">
        <v>61</v>
      </c>
      <c r="M1536">
        <v>66</v>
      </c>
      <c r="N1536">
        <v>63</v>
      </c>
      <c r="O1536" s="173">
        <f>SUM(C1536:N1536)/12</f>
        <v>58.583333333333336</v>
      </c>
      <c r="P1536" s="173">
        <f>SUM(O1536-O1535)</f>
        <v>0.6666666666666714</v>
      </c>
      <c r="Q1536" s="177">
        <f>SUM(P1536/O1535)</f>
        <v>1.1510791366906557E-2</v>
      </c>
    </row>
    <row r="1537" spans="1:17" x14ac:dyDescent="0.2">
      <c r="B1537" t="s">
        <v>437</v>
      </c>
      <c r="C1537">
        <v>63</v>
      </c>
      <c r="D1537">
        <v>66</v>
      </c>
      <c r="E1537">
        <v>66</v>
      </c>
      <c r="F1537">
        <v>59</v>
      </c>
      <c r="G1537">
        <v>69</v>
      </c>
      <c r="H1537">
        <v>72</v>
      </c>
      <c r="I1537">
        <v>76</v>
      </c>
      <c r="J1537">
        <v>75</v>
      </c>
      <c r="K1537">
        <v>81</v>
      </c>
      <c r="L1537">
        <v>82</v>
      </c>
      <c r="M1537">
        <v>70</v>
      </c>
      <c r="N1537">
        <v>80</v>
      </c>
      <c r="O1537" s="173">
        <f>SUM(C1537:N1537)/12</f>
        <v>71.583333333333329</v>
      </c>
      <c r="P1537" s="173">
        <f>SUM(O1537-O1536)</f>
        <v>12.999999999999993</v>
      </c>
      <c r="Q1537" s="177">
        <f>SUM(P1537/O1536)</f>
        <v>0.22190611664295862</v>
      </c>
    </row>
    <row r="1538" spans="1:17" x14ac:dyDescent="0.2">
      <c r="B1538" t="s">
        <v>471</v>
      </c>
      <c r="O1538" s="173"/>
      <c r="P1538" s="173"/>
      <c r="Q1538" s="177"/>
    </row>
    <row r="1539" spans="1:17" ht="25.5" x14ac:dyDescent="0.2">
      <c r="A1539" s="175" t="s">
        <v>449</v>
      </c>
      <c r="B1539" s="176" t="s">
        <v>418</v>
      </c>
      <c r="C1539" s="179" t="s">
        <v>419</v>
      </c>
      <c r="D1539" s="179" t="s">
        <v>420</v>
      </c>
      <c r="E1539" s="179" t="s">
        <v>421</v>
      </c>
      <c r="F1539" s="179" t="s">
        <v>422</v>
      </c>
      <c r="G1539" s="179" t="s">
        <v>423</v>
      </c>
      <c r="H1539" s="179" t="s">
        <v>424</v>
      </c>
      <c r="I1539" s="179" t="s">
        <v>425</v>
      </c>
      <c r="J1539" s="179" t="s">
        <v>426</v>
      </c>
      <c r="K1539" s="179" t="s">
        <v>427</v>
      </c>
      <c r="L1539" s="179" t="s">
        <v>428</v>
      </c>
      <c r="M1539" s="179" t="s">
        <v>429</v>
      </c>
      <c r="N1539" s="179" t="s">
        <v>430</v>
      </c>
    </row>
    <row r="1540" spans="1:17" x14ac:dyDescent="0.2">
      <c r="B1540" t="s">
        <v>434</v>
      </c>
      <c r="C1540">
        <v>438</v>
      </c>
      <c r="D1540">
        <v>444</v>
      </c>
      <c r="E1540">
        <v>446</v>
      </c>
      <c r="F1540">
        <v>441</v>
      </c>
      <c r="G1540">
        <v>444</v>
      </c>
      <c r="H1540">
        <v>449</v>
      </c>
      <c r="I1540">
        <v>447</v>
      </c>
      <c r="J1540">
        <v>460</v>
      </c>
      <c r="K1540">
        <v>465</v>
      </c>
      <c r="L1540">
        <v>463</v>
      </c>
      <c r="M1540">
        <v>469</v>
      </c>
      <c r="N1540">
        <v>478</v>
      </c>
      <c r="O1540" s="173">
        <f t="shared" ref="O1540:O1548" si="340">SUM(C1540:N1540)/12</f>
        <v>453.66666666666669</v>
      </c>
      <c r="P1540" s="173"/>
    </row>
    <row r="1541" spans="1:17" x14ac:dyDescent="0.2">
      <c r="B1541" t="s">
        <v>435</v>
      </c>
      <c r="C1541">
        <v>474</v>
      </c>
      <c r="D1541">
        <v>481</v>
      </c>
      <c r="E1541">
        <v>491</v>
      </c>
      <c r="F1541">
        <v>478</v>
      </c>
      <c r="G1541">
        <v>472</v>
      </c>
      <c r="H1541">
        <v>477</v>
      </c>
      <c r="I1541">
        <v>476</v>
      </c>
      <c r="J1541">
        <v>470</v>
      </c>
      <c r="K1541">
        <v>467</v>
      </c>
      <c r="L1541">
        <v>480</v>
      </c>
      <c r="M1541">
        <v>461</v>
      </c>
      <c r="N1541">
        <v>449</v>
      </c>
      <c r="O1541" s="173">
        <f t="shared" si="340"/>
        <v>473</v>
      </c>
      <c r="P1541" s="173">
        <f t="shared" ref="P1541:P1548" si="341">SUM(O1541-O1540)</f>
        <v>19.333333333333314</v>
      </c>
      <c r="Q1541" s="177">
        <f t="shared" ref="Q1541:Q1547" si="342">SUM(P1541/O1540)</f>
        <v>4.261572373254955E-2</v>
      </c>
    </row>
    <row r="1542" spans="1:17" x14ac:dyDescent="0.2">
      <c r="B1542" t="s">
        <v>436</v>
      </c>
      <c r="C1542">
        <v>463</v>
      </c>
      <c r="D1542">
        <v>474</v>
      </c>
      <c r="E1542">
        <v>480</v>
      </c>
      <c r="F1542">
        <v>457</v>
      </c>
      <c r="G1542">
        <v>459</v>
      </c>
      <c r="H1542">
        <v>469</v>
      </c>
      <c r="I1542">
        <v>460</v>
      </c>
      <c r="J1542">
        <v>446</v>
      </c>
      <c r="K1542">
        <v>457</v>
      </c>
      <c r="L1542">
        <v>468</v>
      </c>
      <c r="M1542">
        <v>479</v>
      </c>
      <c r="N1542">
        <v>490</v>
      </c>
      <c r="O1542" s="173">
        <f t="shared" si="340"/>
        <v>466.83333333333331</v>
      </c>
      <c r="P1542" s="173">
        <f t="shared" si="341"/>
        <v>-6.1666666666666856</v>
      </c>
      <c r="Q1542" s="177">
        <f t="shared" si="342"/>
        <v>-1.3037350246652613E-2</v>
      </c>
    </row>
    <row r="1543" spans="1:17" x14ac:dyDescent="0.2">
      <c r="B1543" t="s">
        <v>260</v>
      </c>
      <c r="C1543">
        <v>537</v>
      </c>
      <c r="D1543">
        <v>544</v>
      </c>
      <c r="E1543">
        <v>514</v>
      </c>
      <c r="F1543">
        <v>562</v>
      </c>
      <c r="G1543">
        <v>557</v>
      </c>
      <c r="H1543">
        <v>551</v>
      </c>
      <c r="I1543">
        <v>545</v>
      </c>
      <c r="J1543">
        <v>538</v>
      </c>
      <c r="K1543">
        <v>525</v>
      </c>
      <c r="L1543">
        <v>518</v>
      </c>
      <c r="M1543">
        <v>502</v>
      </c>
      <c r="N1543">
        <v>506</v>
      </c>
      <c r="O1543" s="173">
        <f t="shared" si="340"/>
        <v>533.25</v>
      </c>
      <c r="P1543" s="173">
        <f t="shared" si="341"/>
        <v>66.416666666666686</v>
      </c>
      <c r="Q1543" s="177">
        <f t="shared" si="342"/>
        <v>0.14227061763655841</v>
      </c>
    </row>
    <row r="1544" spans="1:17" x14ac:dyDescent="0.2">
      <c r="B1544" t="s">
        <v>259</v>
      </c>
      <c r="C1544">
        <v>519</v>
      </c>
      <c r="D1544">
        <v>507</v>
      </c>
      <c r="E1544">
        <v>516</v>
      </c>
      <c r="F1544">
        <v>509</v>
      </c>
      <c r="G1544">
        <v>495</v>
      </c>
      <c r="H1544">
        <v>503</v>
      </c>
      <c r="I1544">
        <v>484</v>
      </c>
      <c r="J1544">
        <v>484</v>
      </c>
      <c r="K1544">
        <v>477</v>
      </c>
      <c r="L1544">
        <v>470</v>
      </c>
      <c r="M1544">
        <v>474</v>
      </c>
      <c r="N1544">
        <v>464</v>
      </c>
      <c r="O1544" s="173">
        <f t="shared" si="340"/>
        <v>491.83333333333331</v>
      </c>
      <c r="P1544" s="173">
        <f t="shared" si="341"/>
        <v>-41.416666666666686</v>
      </c>
      <c r="Q1544" s="177">
        <f t="shared" si="342"/>
        <v>-7.7668385685263353E-2</v>
      </c>
    </row>
    <row r="1545" spans="1:17" x14ac:dyDescent="0.2">
      <c r="B1545" t="s">
        <v>280</v>
      </c>
      <c r="C1545">
        <v>472</v>
      </c>
      <c r="D1545">
        <v>489</v>
      </c>
      <c r="E1545">
        <v>468</v>
      </c>
      <c r="F1545">
        <v>461</v>
      </c>
      <c r="G1545">
        <v>460</v>
      </c>
      <c r="H1545">
        <v>449</v>
      </c>
      <c r="I1545">
        <v>436</v>
      </c>
      <c r="J1545">
        <v>442</v>
      </c>
      <c r="K1545">
        <v>445</v>
      </c>
      <c r="L1545">
        <v>458</v>
      </c>
      <c r="M1545">
        <v>472</v>
      </c>
      <c r="N1545">
        <v>480</v>
      </c>
      <c r="O1545" s="173">
        <f t="shared" si="340"/>
        <v>461</v>
      </c>
      <c r="P1545" s="173">
        <f t="shared" si="341"/>
        <v>-30.833333333333314</v>
      </c>
      <c r="Q1545" s="177">
        <f t="shared" si="342"/>
        <v>-6.2690613351406271E-2</v>
      </c>
    </row>
    <row r="1546" spans="1:17" x14ac:dyDescent="0.2">
      <c r="B1546" t="s">
        <v>290</v>
      </c>
      <c r="C1546">
        <v>478</v>
      </c>
      <c r="D1546">
        <v>478</v>
      </c>
      <c r="E1546">
        <v>474</v>
      </c>
      <c r="F1546">
        <v>493</v>
      </c>
      <c r="G1546">
        <v>488</v>
      </c>
      <c r="H1546">
        <v>495</v>
      </c>
      <c r="I1546">
        <v>507</v>
      </c>
      <c r="J1546">
        <v>499</v>
      </c>
      <c r="K1546">
        <v>500</v>
      </c>
      <c r="L1546">
        <v>518</v>
      </c>
      <c r="M1546">
        <v>540</v>
      </c>
      <c r="N1546">
        <v>551</v>
      </c>
      <c r="O1546" s="173">
        <f t="shared" si="340"/>
        <v>501.75</v>
      </c>
      <c r="P1546" s="173">
        <f t="shared" si="341"/>
        <v>40.75</v>
      </c>
      <c r="Q1546" s="177">
        <f t="shared" si="342"/>
        <v>8.8394793926247286E-2</v>
      </c>
    </row>
    <row r="1547" spans="1:17" x14ac:dyDescent="0.2">
      <c r="B1547" t="s">
        <v>293</v>
      </c>
      <c r="C1547">
        <v>551</v>
      </c>
      <c r="D1547">
        <v>536</v>
      </c>
      <c r="E1547">
        <v>521</v>
      </c>
      <c r="F1547">
        <v>522</v>
      </c>
      <c r="G1547">
        <v>527</v>
      </c>
      <c r="H1547">
        <v>545</v>
      </c>
      <c r="I1547">
        <v>548</v>
      </c>
      <c r="J1547">
        <v>549</v>
      </c>
      <c r="K1547">
        <v>549</v>
      </c>
      <c r="L1547">
        <v>650</v>
      </c>
      <c r="M1547">
        <v>666</v>
      </c>
      <c r="N1547">
        <v>591</v>
      </c>
      <c r="O1547" s="173">
        <f t="shared" si="340"/>
        <v>562.91666666666663</v>
      </c>
      <c r="P1547" s="173">
        <f t="shared" si="341"/>
        <v>61.166666666666629</v>
      </c>
      <c r="Q1547" s="177">
        <f t="shared" si="342"/>
        <v>0.12190666002325187</v>
      </c>
    </row>
    <row r="1548" spans="1:17" x14ac:dyDescent="0.2">
      <c r="B1548" t="s">
        <v>294</v>
      </c>
      <c r="C1548">
        <v>596</v>
      </c>
      <c r="D1548">
        <v>617</v>
      </c>
      <c r="E1548">
        <v>722</v>
      </c>
      <c r="F1548">
        <v>657</v>
      </c>
      <c r="G1548">
        <v>723</v>
      </c>
      <c r="H1548">
        <v>717</v>
      </c>
      <c r="I1548">
        <v>729</v>
      </c>
      <c r="J1548">
        <v>730</v>
      </c>
      <c r="K1548">
        <v>721</v>
      </c>
      <c r="L1548">
        <v>721</v>
      </c>
      <c r="M1548">
        <v>754</v>
      </c>
      <c r="N1548">
        <v>770</v>
      </c>
      <c r="O1548" s="173">
        <f t="shared" si="340"/>
        <v>704.75</v>
      </c>
      <c r="P1548" s="173">
        <f t="shared" si="341"/>
        <v>141.83333333333337</v>
      </c>
      <c r="Q1548" s="177">
        <f>SUM(P1548/O1547)</f>
        <v>0.25196150999259814</v>
      </c>
    </row>
    <row r="1549" spans="1:17" x14ac:dyDescent="0.2">
      <c r="B1549" t="s">
        <v>295</v>
      </c>
      <c r="C1549">
        <v>711</v>
      </c>
      <c r="D1549">
        <v>710</v>
      </c>
      <c r="E1549">
        <v>721</v>
      </c>
      <c r="F1549">
        <v>726</v>
      </c>
      <c r="G1549">
        <v>736</v>
      </c>
      <c r="H1549">
        <v>731</v>
      </c>
      <c r="I1549">
        <v>722</v>
      </c>
      <c r="J1549">
        <v>719</v>
      </c>
      <c r="K1549">
        <v>722</v>
      </c>
      <c r="L1549">
        <v>750</v>
      </c>
      <c r="M1549">
        <v>759</v>
      </c>
      <c r="N1549">
        <v>764</v>
      </c>
      <c r="O1549" s="173">
        <f>SUM(C1549:N1549)/12</f>
        <v>730.91666666666663</v>
      </c>
      <c r="P1549" s="173">
        <f>SUM(O1549-O1548)</f>
        <v>26.166666666666629</v>
      </c>
      <c r="Q1549" s="177">
        <f>SUM(P1549/O1548)</f>
        <v>3.7129005557526254E-2</v>
      </c>
    </row>
    <row r="1550" spans="1:17" x14ac:dyDescent="0.2">
      <c r="B1550" t="s">
        <v>335</v>
      </c>
      <c r="C1550">
        <v>750</v>
      </c>
      <c r="D1550">
        <v>743</v>
      </c>
      <c r="E1550">
        <v>732</v>
      </c>
      <c r="F1550">
        <v>728</v>
      </c>
      <c r="G1550">
        <v>713</v>
      </c>
      <c r="H1550">
        <v>774</v>
      </c>
      <c r="I1550">
        <v>746</v>
      </c>
      <c r="J1550">
        <v>760</v>
      </c>
      <c r="K1550">
        <v>768</v>
      </c>
      <c r="L1550">
        <v>783</v>
      </c>
      <c r="M1550">
        <v>769</v>
      </c>
      <c r="N1550">
        <v>766</v>
      </c>
      <c r="O1550" s="173">
        <f>SUM(C1550:N1550)/12</f>
        <v>752.66666666666663</v>
      </c>
      <c r="P1550" s="173">
        <f>SUM(O1550-O1549)</f>
        <v>21.75</v>
      </c>
      <c r="Q1550" s="177">
        <f>SUM(P1550/O1549)</f>
        <v>2.9757154258351386E-2</v>
      </c>
    </row>
    <row r="1551" spans="1:17" x14ac:dyDescent="0.2">
      <c r="B1551" t="s">
        <v>358</v>
      </c>
      <c r="C1551">
        <v>793</v>
      </c>
      <c r="D1551">
        <v>763</v>
      </c>
      <c r="E1551">
        <v>771</v>
      </c>
      <c r="F1551">
        <v>782</v>
      </c>
      <c r="G1551">
        <v>756</v>
      </c>
      <c r="H1551">
        <v>768</v>
      </c>
      <c r="I1551">
        <v>763</v>
      </c>
      <c r="J1551">
        <v>762</v>
      </c>
      <c r="K1551">
        <v>773</v>
      </c>
      <c r="L1551">
        <v>776</v>
      </c>
      <c r="M1551">
        <v>743</v>
      </c>
      <c r="N1551">
        <v>744</v>
      </c>
      <c r="O1551" s="173">
        <f>SUM(C1551:N1551)/12</f>
        <v>766.16666666666663</v>
      </c>
      <c r="P1551" s="173">
        <f>SUM(O1551-O1550)</f>
        <v>13.5</v>
      </c>
      <c r="Q1551" s="177">
        <f>SUM(P1551/O1550)</f>
        <v>1.7936226749335697E-2</v>
      </c>
    </row>
    <row r="1552" spans="1:17" x14ac:dyDescent="0.2">
      <c r="B1552" t="s">
        <v>437</v>
      </c>
      <c r="C1552">
        <v>746</v>
      </c>
      <c r="D1552">
        <v>738</v>
      </c>
      <c r="E1552">
        <v>726</v>
      </c>
      <c r="F1552">
        <v>723</v>
      </c>
      <c r="G1552">
        <v>723</v>
      </c>
      <c r="H1552">
        <v>711</v>
      </c>
      <c r="I1552">
        <v>722</v>
      </c>
      <c r="J1552">
        <v>715</v>
      </c>
      <c r="K1552">
        <v>701</v>
      </c>
      <c r="L1552">
        <v>696</v>
      </c>
      <c r="M1552">
        <v>716</v>
      </c>
      <c r="N1552">
        <v>722</v>
      </c>
      <c r="O1552" s="173">
        <f>SUM(C1552:N1552)/12</f>
        <v>719.91666666666663</v>
      </c>
      <c r="P1552" s="173">
        <f>SUM(O1552-O1551)</f>
        <v>-46.25</v>
      </c>
      <c r="Q1552" s="177">
        <f>SUM(P1552/O1551)</f>
        <v>-6.0365455731999133E-2</v>
      </c>
    </row>
    <row r="1553" spans="1:18" x14ac:dyDescent="0.2">
      <c r="B1553" t="s">
        <v>471</v>
      </c>
      <c r="O1553" s="173"/>
      <c r="P1553" s="173"/>
      <c r="Q1553" s="177"/>
    </row>
    <row r="1554" spans="1:18" x14ac:dyDescent="0.2">
      <c r="A1554" s="178"/>
      <c r="B1554" s="178"/>
      <c r="C1554" s="178"/>
      <c r="D1554" s="178"/>
      <c r="E1554" s="178"/>
      <c r="F1554" s="178"/>
      <c r="G1554" s="178"/>
      <c r="H1554" s="178"/>
      <c r="I1554" s="178"/>
      <c r="J1554" s="178"/>
      <c r="K1554" s="178"/>
      <c r="L1554" s="178"/>
      <c r="M1554" s="178"/>
      <c r="N1554" s="178"/>
      <c r="O1554" s="178"/>
      <c r="P1554" s="178"/>
      <c r="Q1554" s="178"/>
    </row>
    <row r="1555" spans="1:18" ht="25.5" x14ac:dyDescent="0.2">
      <c r="A1555" s="175" t="s">
        <v>450</v>
      </c>
      <c r="B1555" s="176" t="s">
        <v>418</v>
      </c>
      <c r="C1555" s="179" t="s">
        <v>419</v>
      </c>
      <c r="D1555" s="179" t="s">
        <v>420</v>
      </c>
      <c r="E1555" s="179" t="s">
        <v>421</v>
      </c>
      <c r="F1555" s="179" t="s">
        <v>422</v>
      </c>
      <c r="G1555" s="179" t="s">
        <v>423</v>
      </c>
      <c r="H1555" s="179" t="s">
        <v>424</v>
      </c>
      <c r="I1555" s="179" t="s">
        <v>425</v>
      </c>
      <c r="J1555" s="179" t="s">
        <v>426</v>
      </c>
      <c r="K1555" s="179" t="s">
        <v>427</v>
      </c>
      <c r="L1555" s="179" t="s">
        <v>428</v>
      </c>
      <c r="M1555" s="179" t="s">
        <v>429</v>
      </c>
      <c r="N1555" s="179" t="s">
        <v>430</v>
      </c>
    </row>
    <row r="1556" spans="1:18" x14ac:dyDescent="0.2">
      <c r="B1556" t="s">
        <v>434</v>
      </c>
      <c r="C1556">
        <v>51</v>
      </c>
      <c r="D1556">
        <v>44</v>
      </c>
      <c r="E1556">
        <v>43</v>
      </c>
      <c r="F1556">
        <v>39</v>
      </c>
      <c r="G1556">
        <v>39</v>
      </c>
      <c r="H1556">
        <v>39</v>
      </c>
      <c r="I1556">
        <v>43</v>
      </c>
      <c r="J1556">
        <v>41</v>
      </c>
      <c r="K1556">
        <v>42</v>
      </c>
      <c r="L1556">
        <v>42</v>
      </c>
      <c r="M1556">
        <v>43</v>
      </c>
      <c r="N1556">
        <v>40</v>
      </c>
      <c r="O1556" s="173">
        <f t="shared" ref="O1556:O1564" si="343">SUM(C1556:N1556)/12</f>
        <v>42.166666666666664</v>
      </c>
      <c r="P1556" s="173"/>
    </row>
    <row r="1557" spans="1:18" x14ac:dyDescent="0.2">
      <c r="B1557" t="s">
        <v>435</v>
      </c>
      <c r="C1557">
        <v>43</v>
      </c>
      <c r="D1557">
        <v>47</v>
      </c>
      <c r="E1557">
        <v>47</v>
      </c>
      <c r="F1557">
        <v>51</v>
      </c>
      <c r="G1557">
        <v>46</v>
      </c>
      <c r="H1557">
        <v>44</v>
      </c>
      <c r="I1557">
        <v>48</v>
      </c>
      <c r="J1557">
        <v>41</v>
      </c>
      <c r="K1557">
        <v>47</v>
      </c>
      <c r="L1557">
        <v>44</v>
      </c>
      <c r="M1557">
        <v>43</v>
      </c>
      <c r="N1557">
        <v>46</v>
      </c>
      <c r="O1557" s="173">
        <f t="shared" si="343"/>
        <v>45.583333333333336</v>
      </c>
      <c r="P1557" s="173">
        <f t="shared" ref="P1557:P1564" si="344">SUM(O1557-O1556)</f>
        <v>3.4166666666666714</v>
      </c>
      <c r="Q1557" s="177">
        <f t="shared" ref="Q1557:Q1563" si="345">SUM(P1557/O1556)</f>
        <v>8.1027667984189838E-2</v>
      </c>
    </row>
    <row r="1558" spans="1:18" x14ac:dyDescent="0.2">
      <c r="B1558" t="s">
        <v>436</v>
      </c>
      <c r="C1558">
        <v>45</v>
      </c>
      <c r="D1558">
        <v>49</v>
      </c>
      <c r="E1558">
        <v>48</v>
      </c>
      <c r="F1558">
        <v>51</v>
      </c>
      <c r="G1558">
        <v>51</v>
      </c>
      <c r="H1558">
        <v>46</v>
      </c>
      <c r="I1558">
        <v>49</v>
      </c>
      <c r="J1558">
        <v>45</v>
      </c>
      <c r="K1558">
        <v>46</v>
      </c>
      <c r="L1558">
        <v>47</v>
      </c>
      <c r="M1558">
        <v>48</v>
      </c>
      <c r="N1558">
        <v>49</v>
      </c>
      <c r="O1558" s="173">
        <f t="shared" si="343"/>
        <v>47.833333333333336</v>
      </c>
      <c r="P1558" s="173">
        <f t="shared" si="344"/>
        <v>2.25</v>
      </c>
      <c r="Q1558" s="177">
        <f t="shared" si="345"/>
        <v>4.9360146252285186E-2</v>
      </c>
    </row>
    <row r="1559" spans="1:18" x14ac:dyDescent="0.2">
      <c r="B1559" t="s">
        <v>260</v>
      </c>
      <c r="C1559">
        <v>35</v>
      </c>
      <c r="D1559">
        <v>35</v>
      </c>
      <c r="E1559">
        <v>36</v>
      </c>
      <c r="F1559">
        <v>39</v>
      </c>
      <c r="G1559">
        <v>39</v>
      </c>
      <c r="H1559">
        <v>43</v>
      </c>
      <c r="I1559">
        <v>47</v>
      </c>
      <c r="J1559">
        <v>45</v>
      </c>
      <c r="K1559">
        <v>47</v>
      </c>
      <c r="L1559">
        <v>51</v>
      </c>
      <c r="M1559">
        <v>47</v>
      </c>
      <c r="N1559">
        <v>45</v>
      </c>
      <c r="O1559" s="173">
        <f t="shared" si="343"/>
        <v>42.416666666666664</v>
      </c>
      <c r="P1559" s="173">
        <f t="shared" si="344"/>
        <v>-5.4166666666666714</v>
      </c>
      <c r="Q1559" s="177">
        <f t="shared" si="345"/>
        <v>-0.113240418118467</v>
      </c>
    </row>
    <row r="1560" spans="1:18" x14ac:dyDescent="0.2">
      <c r="B1560" t="s">
        <v>259</v>
      </c>
      <c r="C1560">
        <v>55</v>
      </c>
      <c r="D1560">
        <v>51</v>
      </c>
      <c r="E1560">
        <v>49</v>
      </c>
      <c r="F1560">
        <v>51</v>
      </c>
      <c r="G1560">
        <v>52</v>
      </c>
      <c r="H1560">
        <v>54</v>
      </c>
      <c r="I1560">
        <v>55</v>
      </c>
      <c r="J1560">
        <v>55</v>
      </c>
      <c r="K1560">
        <v>42</v>
      </c>
      <c r="L1560">
        <v>38</v>
      </c>
      <c r="M1560">
        <v>85</v>
      </c>
      <c r="N1560">
        <v>81</v>
      </c>
      <c r="O1560" s="173">
        <f t="shared" si="343"/>
        <v>55.666666666666664</v>
      </c>
      <c r="P1560" s="173">
        <f t="shared" si="344"/>
        <v>13.25</v>
      </c>
      <c r="Q1560" s="177">
        <f t="shared" si="345"/>
        <v>0.31237721021611004</v>
      </c>
    </row>
    <row r="1561" spans="1:18" x14ac:dyDescent="0.2">
      <c r="B1561" t="s">
        <v>280</v>
      </c>
      <c r="C1561">
        <v>81</v>
      </c>
      <c r="D1561">
        <v>81</v>
      </c>
      <c r="E1561">
        <v>74</v>
      </c>
      <c r="F1561">
        <v>79</v>
      </c>
      <c r="G1561">
        <v>77</v>
      </c>
      <c r="H1561">
        <v>77</v>
      </c>
      <c r="I1561">
        <v>74</v>
      </c>
      <c r="J1561">
        <v>74</v>
      </c>
      <c r="K1561">
        <v>74</v>
      </c>
      <c r="L1561">
        <v>75</v>
      </c>
      <c r="M1561">
        <v>75</v>
      </c>
      <c r="N1561">
        <v>76</v>
      </c>
      <c r="O1561" s="173">
        <f t="shared" si="343"/>
        <v>76.416666666666671</v>
      </c>
      <c r="P1561" s="173">
        <f t="shared" si="344"/>
        <v>20.750000000000007</v>
      </c>
      <c r="Q1561" s="177">
        <f t="shared" si="345"/>
        <v>0.37275449101796421</v>
      </c>
    </row>
    <row r="1562" spans="1:18" x14ac:dyDescent="0.2">
      <c r="B1562" t="s">
        <v>290</v>
      </c>
      <c r="C1562">
        <v>78</v>
      </c>
      <c r="D1562">
        <v>76</v>
      </c>
      <c r="E1562">
        <v>80</v>
      </c>
      <c r="F1562">
        <v>81</v>
      </c>
      <c r="G1562">
        <v>77</v>
      </c>
      <c r="H1562">
        <v>76</v>
      </c>
      <c r="I1562">
        <v>74</v>
      </c>
      <c r="J1562">
        <v>76</v>
      </c>
      <c r="K1562">
        <v>71</v>
      </c>
      <c r="L1562">
        <v>71</v>
      </c>
      <c r="M1562">
        <v>74</v>
      </c>
      <c r="N1562">
        <v>75</v>
      </c>
      <c r="O1562" s="173">
        <f t="shared" si="343"/>
        <v>75.75</v>
      </c>
      <c r="P1562" s="173">
        <f t="shared" si="344"/>
        <v>-0.6666666666666714</v>
      </c>
      <c r="Q1562" s="177">
        <f t="shared" si="345"/>
        <v>-8.7241003271538234E-3</v>
      </c>
    </row>
    <row r="1563" spans="1:18" x14ac:dyDescent="0.2">
      <c r="B1563" t="s">
        <v>293</v>
      </c>
      <c r="C1563">
        <v>75</v>
      </c>
      <c r="D1563">
        <v>74</v>
      </c>
      <c r="E1563">
        <v>73</v>
      </c>
      <c r="F1563">
        <v>72</v>
      </c>
      <c r="G1563">
        <v>75</v>
      </c>
      <c r="H1563">
        <v>74</v>
      </c>
      <c r="I1563">
        <v>73</v>
      </c>
      <c r="J1563">
        <v>73</v>
      </c>
      <c r="K1563">
        <v>71</v>
      </c>
      <c r="L1563">
        <v>84</v>
      </c>
      <c r="M1563">
        <v>79</v>
      </c>
      <c r="N1563">
        <v>74</v>
      </c>
      <c r="O1563" s="173">
        <f t="shared" si="343"/>
        <v>74.75</v>
      </c>
      <c r="P1563" s="173">
        <f t="shared" si="344"/>
        <v>-1</v>
      </c>
      <c r="Q1563" s="177">
        <f t="shared" si="345"/>
        <v>-1.3201320132013201E-2</v>
      </c>
      <c r="R1563" s="177"/>
    </row>
    <row r="1564" spans="1:18" x14ac:dyDescent="0.2">
      <c r="B1564" t="s">
        <v>294</v>
      </c>
      <c r="C1564">
        <v>70</v>
      </c>
      <c r="D1564">
        <v>68</v>
      </c>
      <c r="E1564">
        <v>80</v>
      </c>
      <c r="F1564">
        <v>73</v>
      </c>
      <c r="G1564">
        <v>82</v>
      </c>
      <c r="H1564">
        <v>81</v>
      </c>
      <c r="I1564">
        <v>83</v>
      </c>
      <c r="J1564">
        <v>80</v>
      </c>
      <c r="K1564">
        <v>78</v>
      </c>
      <c r="L1564">
        <v>78</v>
      </c>
      <c r="M1564">
        <v>78</v>
      </c>
      <c r="N1564">
        <v>86</v>
      </c>
      <c r="O1564" s="173">
        <f t="shared" si="343"/>
        <v>78.083333333333329</v>
      </c>
      <c r="P1564" s="173">
        <f t="shared" si="344"/>
        <v>3.3333333333333286</v>
      </c>
      <c r="Q1564" s="177">
        <f>SUM(P1564/O1563)</f>
        <v>4.4593088071348874E-2</v>
      </c>
    </row>
    <row r="1565" spans="1:18" x14ac:dyDescent="0.2">
      <c r="B1565" t="s">
        <v>295</v>
      </c>
      <c r="C1565">
        <v>75</v>
      </c>
      <c r="D1565">
        <v>74</v>
      </c>
      <c r="E1565">
        <v>79</v>
      </c>
      <c r="F1565">
        <v>77</v>
      </c>
      <c r="G1565">
        <v>75</v>
      </c>
      <c r="H1565">
        <v>66</v>
      </c>
      <c r="I1565">
        <v>64</v>
      </c>
      <c r="J1565">
        <v>64</v>
      </c>
      <c r="K1565">
        <v>47</v>
      </c>
      <c r="L1565">
        <v>47</v>
      </c>
      <c r="M1565">
        <v>45</v>
      </c>
      <c r="N1565">
        <v>47</v>
      </c>
      <c r="O1565" s="173">
        <f>SUM(C1565:N1565)/12</f>
        <v>63.333333333333336</v>
      </c>
      <c r="P1565" s="173">
        <f>SUM(O1565-O1564)</f>
        <v>-14.749999999999993</v>
      </c>
      <c r="Q1565" s="177">
        <f>SUM(P1565/O1564)</f>
        <v>-0.18890074706510132</v>
      </c>
    </row>
    <row r="1566" spans="1:18" x14ac:dyDescent="0.2">
      <c r="B1566" t="s">
        <v>335</v>
      </c>
      <c r="C1566">
        <v>42</v>
      </c>
      <c r="D1566">
        <v>43</v>
      </c>
      <c r="E1566">
        <v>41</v>
      </c>
      <c r="F1566">
        <v>41</v>
      </c>
      <c r="G1566">
        <v>38</v>
      </c>
      <c r="H1566">
        <v>54</v>
      </c>
      <c r="I1566">
        <v>60</v>
      </c>
      <c r="J1566">
        <v>53</v>
      </c>
      <c r="K1566">
        <v>57</v>
      </c>
      <c r="L1566">
        <v>45</v>
      </c>
      <c r="M1566">
        <v>48</v>
      </c>
      <c r="N1566">
        <v>49</v>
      </c>
      <c r="O1566" s="173">
        <f>SUM(C1566:N1566)/12</f>
        <v>47.583333333333336</v>
      </c>
      <c r="P1566" s="173">
        <f>SUM(O1566-O1565)</f>
        <v>-15.75</v>
      </c>
      <c r="Q1566" s="177">
        <f>SUM(P1566/O1565)</f>
        <v>-0.24868421052631579</v>
      </c>
    </row>
    <row r="1567" spans="1:18" x14ac:dyDescent="0.2">
      <c r="B1567" t="s">
        <v>358</v>
      </c>
      <c r="C1567">
        <v>49</v>
      </c>
      <c r="D1567">
        <v>51</v>
      </c>
      <c r="E1567">
        <v>45</v>
      </c>
      <c r="F1567">
        <v>54</v>
      </c>
      <c r="G1567">
        <v>56</v>
      </c>
      <c r="H1567">
        <v>56</v>
      </c>
      <c r="I1567">
        <v>53</v>
      </c>
      <c r="J1567">
        <v>50</v>
      </c>
      <c r="K1567">
        <v>47</v>
      </c>
      <c r="L1567">
        <v>44</v>
      </c>
      <c r="M1567">
        <v>44</v>
      </c>
      <c r="N1567">
        <v>52</v>
      </c>
      <c r="O1567" s="173">
        <f>SUM(C1567:N1567)/12</f>
        <v>50.083333333333336</v>
      </c>
      <c r="P1567" s="173">
        <f>SUM(O1567-O1566)</f>
        <v>2.5</v>
      </c>
      <c r="Q1567" s="177">
        <f>SUM(P1567/O1566)</f>
        <v>5.2539404553415062E-2</v>
      </c>
    </row>
    <row r="1568" spans="1:18" x14ac:dyDescent="0.2">
      <c r="B1568" t="s">
        <v>437</v>
      </c>
      <c r="C1568">
        <v>54</v>
      </c>
      <c r="D1568">
        <v>54</v>
      </c>
      <c r="E1568">
        <v>51</v>
      </c>
      <c r="F1568">
        <v>57</v>
      </c>
      <c r="G1568">
        <v>56</v>
      </c>
      <c r="H1568">
        <v>64</v>
      </c>
      <c r="I1568">
        <v>66</v>
      </c>
      <c r="J1568">
        <v>65</v>
      </c>
      <c r="K1568">
        <v>65</v>
      </c>
      <c r="L1568">
        <v>65</v>
      </c>
      <c r="M1568">
        <v>72</v>
      </c>
      <c r="N1568">
        <v>63</v>
      </c>
      <c r="O1568" s="173">
        <f>SUM(C1568:N1568)/12</f>
        <v>61</v>
      </c>
      <c r="P1568" s="173">
        <f>SUM(O1568-O1567)</f>
        <v>10.916666666666664</v>
      </c>
      <c r="Q1568" s="177">
        <f>SUM(P1568/O1567)</f>
        <v>0.21797004991680527</v>
      </c>
    </row>
    <row r="1569" spans="1:18" x14ac:dyDescent="0.2">
      <c r="B1569" t="s">
        <v>471</v>
      </c>
      <c r="O1569" s="173"/>
      <c r="P1569" s="173"/>
      <c r="Q1569" s="177"/>
    </row>
    <row r="1570" spans="1:18" x14ac:dyDescent="0.2">
      <c r="A1570" s="533" t="s">
        <v>451</v>
      </c>
      <c r="B1570" s="179" t="s">
        <v>418</v>
      </c>
      <c r="C1570" s="179" t="s">
        <v>419</v>
      </c>
      <c r="D1570" s="179" t="s">
        <v>420</v>
      </c>
      <c r="E1570" s="179" t="s">
        <v>421</v>
      </c>
      <c r="F1570" s="179" t="s">
        <v>422</v>
      </c>
      <c r="G1570" s="179" t="s">
        <v>423</v>
      </c>
      <c r="H1570" s="179" t="s">
        <v>424</v>
      </c>
      <c r="I1570" s="179" t="s">
        <v>425</v>
      </c>
      <c r="J1570" s="179" t="s">
        <v>426</v>
      </c>
      <c r="K1570" s="179" t="s">
        <v>427</v>
      </c>
      <c r="L1570" s="179" t="s">
        <v>428</v>
      </c>
      <c r="M1570" s="179" t="s">
        <v>429</v>
      </c>
      <c r="N1570" s="179" t="s">
        <v>430</v>
      </c>
    </row>
    <row r="1571" spans="1:18" x14ac:dyDescent="0.2">
      <c r="B1571" t="s">
        <v>335</v>
      </c>
      <c r="H1571">
        <v>120</v>
      </c>
      <c r="I1571">
        <v>96</v>
      </c>
      <c r="J1571">
        <v>123</v>
      </c>
      <c r="K1571">
        <v>105</v>
      </c>
      <c r="L1571">
        <v>122</v>
      </c>
      <c r="M1571">
        <v>118</v>
      </c>
      <c r="N1571">
        <v>118</v>
      </c>
      <c r="O1571" s="173">
        <f>SUM(C1571:N1571)/7</f>
        <v>114.57142857142857</v>
      </c>
      <c r="P1571" s="173"/>
      <c r="Q1571" s="177"/>
    </row>
    <row r="1572" spans="1:18" x14ac:dyDescent="0.2">
      <c r="B1572" t="s">
        <v>358</v>
      </c>
      <c r="C1572">
        <v>108</v>
      </c>
      <c r="D1572">
        <v>110</v>
      </c>
      <c r="E1572">
        <v>105</v>
      </c>
      <c r="F1572">
        <v>102</v>
      </c>
      <c r="G1572">
        <v>121</v>
      </c>
      <c r="H1572">
        <v>133</v>
      </c>
      <c r="I1572">
        <v>137</v>
      </c>
      <c r="J1572">
        <v>129</v>
      </c>
      <c r="K1572">
        <v>137</v>
      </c>
      <c r="L1572">
        <v>140</v>
      </c>
      <c r="M1572">
        <v>134</v>
      </c>
      <c r="N1572">
        <v>128</v>
      </c>
      <c r="O1572" s="173">
        <f>SUM(C1572:N1572)/12</f>
        <v>123.66666666666667</v>
      </c>
      <c r="P1572" s="173">
        <f>SUM(O1572-O1571)</f>
        <v>9.095238095238102</v>
      </c>
      <c r="Q1572" s="177">
        <f>SUM(P1572/O1571)</f>
        <v>7.9384871155444778E-2</v>
      </c>
    </row>
    <row r="1573" spans="1:18" x14ac:dyDescent="0.2">
      <c r="B1573" t="s">
        <v>437</v>
      </c>
      <c r="C1573">
        <v>109</v>
      </c>
      <c r="D1573">
        <v>111</v>
      </c>
      <c r="E1573">
        <v>117</v>
      </c>
      <c r="F1573">
        <v>117</v>
      </c>
      <c r="G1573">
        <v>122</v>
      </c>
      <c r="H1573">
        <v>122</v>
      </c>
      <c r="I1573">
        <v>140</v>
      </c>
      <c r="J1573">
        <v>138</v>
      </c>
      <c r="K1573">
        <v>138</v>
      </c>
      <c r="L1573">
        <v>107</v>
      </c>
      <c r="M1573">
        <v>109</v>
      </c>
      <c r="N1573">
        <v>128</v>
      </c>
      <c r="O1573" s="173">
        <f>SUM(C1573:N1573)/12</f>
        <v>121.5</v>
      </c>
      <c r="P1573" s="173">
        <f>SUM(O1573-O1572)</f>
        <v>-2.1666666666666714</v>
      </c>
      <c r="Q1573" s="177">
        <f>SUM(P1573/O1572)</f>
        <v>-1.7520215633423219E-2</v>
      </c>
    </row>
    <row r="1579" spans="1:18" x14ac:dyDescent="0.2">
      <c r="A1579" s="178"/>
      <c r="B1579" s="178"/>
      <c r="C1579" s="178"/>
      <c r="D1579" s="178"/>
      <c r="E1579" s="178"/>
      <c r="F1579" s="178"/>
      <c r="G1579" s="178"/>
      <c r="H1579" s="178"/>
      <c r="I1579" s="178"/>
      <c r="J1579" s="178"/>
      <c r="K1579" s="178"/>
      <c r="L1579" s="178"/>
      <c r="M1579" s="178"/>
      <c r="N1579" s="178"/>
      <c r="O1579" s="178"/>
      <c r="P1579" s="178"/>
      <c r="Q1579" s="178"/>
      <c r="R1579" s="178"/>
    </row>
    <row r="1580" spans="1:18" ht="38.25" x14ac:dyDescent="0.2">
      <c r="A1580" s="174" t="s">
        <v>452</v>
      </c>
      <c r="B1580" s="176" t="s">
        <v>418</v>
      </c>
      <c r="C1580" s="179" t="s">
        <v>419</v>
      </c>
      <c r="D1580" s="179" t="s">
        <v>420</v>
      </c>
      <c r="E1580" s="179" t="s">
        <v>421</v>
      </c>
      <c r="F1580" s="179" t="s">
        <v>422</v>
      </c>
      <c r="G1580" s="179" t="s">
        <v>423</v>
      </c>
      <c r="H1580" s="179" t="s">
        <v>424</v>
      </c>
      <c r="I1580" s="179" t="s">
        <v>425</v>
      </c>
      <c r="J1580" s="179" t="s">
        <v>426</v>
      </c>
      <c r="K1580" s="179" t="s">
        <v>427</v>
      </c>
      <c r="L1580" s="179" t="s">
        <v>428</v>
      </c>
      <c r="M1580" s="179" t="s">
        <v>429</v>
      </c>
      <c r="N1580" s="179" t="s">
        <v>430</v>
      </c>
      <c r="O1580" s="174" t="s">
        <v>431</v>
      </c>
      <c r="P1580" s="530" t="s">
        <v>432</v>
      </c>
      <c r="Q1580" s="530" t="s">
        <v>433</v>
      </c>
      <c r="R1580" s="530" t="s">
        <v>453</v>
      </c>
    </row>
    <row r="1581" spans="1:18" x14ac:dyDescent="0.2">
      <c r="A1581" s="526" t="s">
        <v>470</v>
      </c>
      <c r="B1581" t="s">
        <v>434</v>
      </c>
      <c r="C1581">
        <f t="shared" ref="C1581:N1593" si="346">SUM(C1372,C1387,C1402,C1418,C1433,C1448,C1464,C1479,C1494,C1510,C1525,C1540,C1556)</f>
        <v>4476</v>
      </c>
      <c r="D1581">
        <f t="shared" si="346"/>
        <v>4483</v>
      </c>
      <c r="E1581">
        <f t="shared" si="346"/>
        <v>4465</v>
      </c>
      <c r="F1581">
        <f t="shared" si="346"/>
        <v>4430</v>
      </c>
      <c r="G1581">
        <f t="shared" si="346"/>
        <v>4464</v>
      </c>
      <c r="H1581">
        <f t="shared" si="346"/>
        <v>4489</v>
      </c>
      <c r="I1581">
        <f t="shared" si="346"/>
        <v>4483</v>
      </c>
      <c r="J1581">
        <f t="shared" si="346"/>
        <v>4518</v>
      </c>
      <c r="K1581">
        <f t="shared" si="346"/>
        <v>4524</v>
      </c>
      <c r="L1581">
        <f t="shared" si="346"/>
        <v>4527</v>
      </c>
      <c r="M1581">
        <f t="shared" si="346"/>
        <v>4496</v>
      </c>
      <c r="N1581">
        <f t="shared" si="346"/>
        <v>4561</v>
      </c>
      <c r="O1581">
        <f t="shared" ref="O1581:O1589" si="347">SUM(C1581:N1581)/12</f>
        <v>4493</v>
      </c>
      <c r="P1581" s="523"/>
      <c r="Q1581" s="523"/>
      <c r="R1581" s="523"/>
    </row>
    <row r="1582" spans="1:18" x14ac:dyDescent="0.2">
      <c r="B1582" t="s">
        <v>435</v>
      </c>
      <c r="C1582">
        <f t="shared" si="346"/>
        <v>4520</v>
      </c>
      <c r="D1582">
        <f t="shared" si="346"/>
        <v>4564</v>
      </c>
      <c r="E1582">
        <f t="shared" si="346"/>
        <v>4554</v>
      </c>
      <c r="F1582">
        <f t="shared" si="346"/>
        <v>4570</v>
      </c>
      <c r="G1582">
        <f t="shared" si="346"/>
        <v>4539</v>
      </c>
      <c r="H1582">
        <f t="shared" si="346"/>
        <v>4559</v>
      </c>
      <c r="I1582">
        <f t="shared" si="346"/>
        <v>4522</v>
      </c>
      <c r="J1582">
        <f t="shared" si="346"/>
        <v>4548</v>
      </c>
      <c r="K1582">
        <f t="shared" si="346"/>
        <v>4510</v>
      </c>
      <c r="L1582">
        <f t="shared" si="346"/>
        <v>4548</v>
      </c>
      <c r="M1582">
        <f t="shared" si="346"/>
        <v>4537</v>
      </c>
      <c r="N1582">
        <f t="shared" si="346"/>
        <v>4525</v>
      </c>
      <c r="O1582" s="173">
        <f t="shared" si="347"/>
        <v>4541.333333333333</v>
      </c>
      <c r="P1582" s="524">
        <f t="shared" ref="P1582:P1588" si="348">SUM(O1582-N1581)</f>
        <v>-19.66666666666697</v>
      </c>
      <c r="Q1582" s="525">
        <f t="shared" ref="Q1582:Q1590" si="349">SUM(P1582/O1581)</f>
        <v>-4.3771793159730621E-3</v>
      </c>
      <c r="R1582" s="523"/>
    </row>
    <row r="1583" spans="1:18" x14ac:dyDescent="0.2">
      <c r="B1583" t="s">
        <v>436</v>
      </c>
      <c r="C1583">
        <f t="shared" si="346"/>
        <v>4558</v>
      </c>
      <c r="D1583">
        <f t="shared" si="346"/>
        <v>4615</v>
      </c>
      <c r="E1583">
        <f t="shared" si="346"/>
        <v>4607</v>
      </c>
      <c r="F1583">
        <f t="shared" si="346"/>
        <v>4575</v>
      </c>
      <c r="G1583">
        <f t="shared" si="346"/>
        <v>4575</v>
      </c>
      <c r="H1583">
        <f t="shared" si="346"/>
        <v>4624</v>
      </c>
      <c r="I1583">
        <f t="shared" si="346"/>
        <v>4604</v>
      </c>
      <c r="J1583">
        <f t="shared" si="346"/>
        <v>4666</v>
      </c>
      <c r="K1583">
        <f t="shared" si="346"/>
        <v>4736</v>
      </c>
      <c r="L1583">
        <f t="shared" si="346"/>
        <v>4774</v>
      </c>
      <c r="M1583">
        <f t="shared" si="346"/>
        <v>4832</v>
      </c>
      <c r="N1583">
        <f t="shared" si="346"/>
        <v>4872</v>
      </c>
      <c r="O1583" s="173">
        <f t="shared" si="347"/>
        <v>4669.833333333333</v>
      </c>
      <c r="P1583" s="524">
        <f t="shared" si="348"/>
        <v>144.83333333333303</v>
      </c>
      <c r="Q1583" s="525">
        <f t="shared" si="349"/>
        <v>3.1892248972401581E-2</v>
      </c>
      <c r="R1583" s="525">
        <f>SUM(Q1582:Q1583)</f>
        <v>2.7515069656428519E-2</v>
      </c>
    </row>
    <row r="1584" spans="1:18" x14ac:dyDescent="0.2">
      <c r="B1584" t="s">
        <v>260</v>
      </c>
      <c r="C1584">
        <f t="shared" si="346"/>
        <v>4823</v>
      </c>
      <c r="D1584">
        <f t="shared" si="346"/>
        <v>4949</v>
      </c>
      <c r="E1584">
        <f t="shared" si="346"/>
        <v>4738</v>
      </c>
      <c r="F1584">
        <f t="shared" si="346"/>
        <v>4753</v>
      </c>
      <c r="G1584">
        <f t="shared" si="346"/>
        <v>4796</v>
      </c>
      <c r="H1584">
        <f t="shared" si="346"/>
        <v>4795</v>
      </c>
      <c r="I1584">
        <f t="shared" si="346"/>
        <v>4787</v>
      </c>
      <c r="J1584">
        <f t="shared" si="346"/>
        <v>4789</v>
      </c>
      <c r="K1584">
        <f t="shared" si="346"/>
        <v>4682</v>
      </c>
      <c r="L1584">
        <f t="shared" si="346"/>
        <v>4694</v>
      </c>
      <c r="M1584">
        <f t="shared" si="346"/>
        <v>4685</v>
      </c>
      <c r="N1584">
        <f t="shared" si="346"/>
        <v>4723</v>
      </c>
      <c r="O1584" s="173">
        <f t="shared" si="347"/>
        <v>4767.833333333333</v>
      </c>
      <c r="P1584" s="524">
        <f t="shared" si="348"/>
        <v>-104.16666666666697</v>
      </c>
      <c r="Q1584" s="525">
        <f t="shared" si="349"/>
        <v>-2.2306292158892245E-2</v>
      </c>
      <c r="R1584" s="525">
        <f>SUM(Q1582:Q1584)</f>
        <v>5.2087774975362738E-3</v>
      </c>
    </row>
    <row r="1585" spans="1:18" x14ac:dyDescent="0.2">
      <c r="B1585" t="s">
        <v>259</v>
      </c>
      <c r="C1585">
        <f t="shared" si="346"/>
        <v>4934</v>
      </c>
      <c r="D1585">
        <f t="shared" si="346"/>
        <v>4681</v>
      </c>
      <c r="E1585">
        <f t="shared" si="346"/>
        <v>4701</v>
      </c>
      <c r="F1585">
        <f t="shared" si="346"/>
        <v>4713</v>
      </c>
      <c r="G1585">
        <f t="shared" si="346"/>
        <v>4644</v>
      </c>
      <c r="H1585">
        <f t="shared" si="346"/>
        <v>4760</v>
      </c>
      <c r="I1585">
        <f t="shared" si="346"/>
        <v>4760</v>
      </c>
      <c r="J1585">
        <f t="shared" si="346"/>
        <v>4753</v>
      </c>
      <c r="K1585">
        <f t="shared" si="346"/>
        <v>4744</v>
      </c>
      <c r="L1585">
        <f t="shared" si="346"/>
        <v>4764</v>
      </c>
      <c r="M1585">
        <f t="shared" si="346"/>
        <v>4810</v>
      </c>
      <c r="N1585">
        <f t="shared" si="346"/>
        <v>4804</v>
      </c>
      <c r="O1585" s="173">
        <f t="shared" si="347"/>
        <v>4755.666666666667</v>
      </c>
      <c r="P1585" s="524">
        <f t="shared" si="348"/>
        <v>32.66666666666697</v>
      </c>
      <c r="Q1585" s="525">
        <f t="shared" si="349"/>
        <v>6.8514699199497264E-3</v>
      </c>
      <c r="R1585" s="525">
        <f>SUM(Q1582:Q1585)</f>
        <v>1.2060247417486E-2</v>
      </c>
    </row>
    <row r="1586" spans="1:18" x14ac:dyDescent="0.2">
      <c r="B1586" t="s">
        <v>280</v>
      </c>
      <c r="C1586">
        <f t="shared" si="346"/>
        <v>4780</v>
      </c>
      <c r="D1586">
        <f t="shared" si="346"/>
        <v>4815</v>
      </c>
      <c r="E1586">
        <f t="shared" si="346"/>
        <v>4843</v>
      </c>
      <c r="F1586">
        <f t="shared" si="346"/>
        <v>4851</v>
      </c>
      <c r="G1586">
        <f t="shared" si="346"/>
        <v>4883</v>
      </c>
      <c r="H1586">
        <f t="shared" si="346"/>
        <v>4792</v>
      </c>
      <c r="I1586">
        <f t="shared" si="346"/>
        <v>4842</v>
      </c>
      <c r="J1586">
        <f t="shared" si="346"/>
        <v>4977</v>
      </c>
      <c r="K1586">
        <f t="shared" si="346"/>
        <v>4949</v>
      </c>
      <c r="L1586">
        <f t="shared" si="346"/>
        <v>4956</v>
      </c>
      <c r="M1586">
        <f t="shared" si="346"/>
        <v>5017</v>
      </c>
      <c r="N1586">
        <f t="shared" si="346"/>
        <v>4991</v>
      </c>
      <c r="O1586" s="173">
        <f t="shared" si="347"/>
        <v>4891.333333333333</v>
      </c>
      <c r="P1586" s="524">
        <f t="shared" si="348"/>
        <v>87.33333333333303</v>
      </c>
      <c r="Q1586" s="525">
        <f t="shared" si="349"/>
        <v>1.8364056914558006E-2</v>
      </c>
      <c r="R1586" s="525">
        <f>SUM(Q1582:Q1586)</f>
        <v>3.0424304332044006E-2</v>
      </c>
    </row>
    <row r="1587" spans="1:18" x14ac:dyDescent="0.2">
      <c r="B1587" t="s">
        <v>290</v>
      </c>
      <c r="C1587">
        <f t="shared" si="346"/>
        <v>5030</v>
      </c>
      <c r="D1587">
        <f t="shared" si="346"/>
        <v>5070</v>
      </c>
      <c r="E1587">
        <f t="shared" si="346"/>
        <v>5041</v>
      </c>
      <c r="F1587">
        <f t="shared" si="346"/>
        <v>5085</v>
      </c>
      <c r="G1587">
        <f t="shared" si="346"/>
        <v>5067</v>
      </c>
      <c r="H1587">
        <f t="shared" si="346"/>
        <v>5102</v>
      </c>
      <c r="I1587">
        <f t="shared" si="346"/>
        <v>5086</v>
      </c>
      <c r="J1587">
        <f t="shared" si="346"/>
        <v>5164</v>
      </c>
      <c r="K1587">
        <f t="shared" si="346"/>
        <v>5141</v>
      </c>
      <c r="L1587">
        <f t="shared" si="346"/>
        <v>5196</v>
      </c>
      <c r="M1587">
        <f t="shared" si="346"/>
        <v>5262</v>
      </c>
      <c r="N1587">
        <f t="shared" si="346"/>
        <v>5272</v>
      </c>
      <c r="O1587" s="173">
        <f t="shared" si="347"/>
        <v>5126.333333333333</v>
      </c>
      <c r="P1587" s="524">
        <f t="shared" si="348"/>
        <v>135.33333333333303</v>
      </c>
      <c r="Q1587" s="525">
        <f t="shared" si="349"/>
        <v>2.7667984189723261E-2</v>
      </c>
      <c r="R1587" s="525">
        <f>SUM(Q1582:Q1587)</f>
        <v>5.8092288521767267E-2</v>
      </c>
    </row>
    <row r="1588" spans="1:18" x14ac:dyDescent="0.2">
      <c r="B1588" t="s">
        <v>293</v>
      </c>
      <c r="C1588">
        <f t="shared" si="346"/>
        <v>5300</v>
      </c>
      <c r="D1588">
        <f t="shared" si="346"/>
        <v>5270</v>
      </c>
      <c r="E1588">
        <f t="shared" si="346"/>
        <v>5214</v>
      </c>
      <c r="F1588">
        <f t="shared" si="346"/>
        <v>5280</v>
      </c>
      <c r="G1588">
        <f t="shared" si="346"/>
        <v>5289</v>
      </c>
      <c r="H1588">
        <f t="shared" si="346"/>
        <v>5344</v>
      </c>
      <c r="I1588">
        <f t="shared" si="346"/>
        <v>5315</v>
      </c>
      <c r="J1588">
        <f t="shared" si="346"/>
        <v>5326</v>
      </c>
      <c r="K1588">
        <f t="shared" si="346"/>
        <v>5260</v>
      </c>
      <c r="L1588">
        <f t="shared" si="346"/>
        <v>5801</v>
      </c>
      <c r="M1588">
        <f t="shared" si="346"/>
        <v>5765</v>
      </c>
      <c r="N1588">
        <f t="shared" si="346"/>
        <v>5296</v>
      </c>
      <c r="O1588" s="173">
        <f t="shared" si="347"/>
        <v>5371.666666666667</v>
      </c>
      <c r="P1588" s="524">
        <f t="shared" si="348"/>
        <v>99.66666666666697</v>
      </c>
      <c r="Q1588" s="525">
        <f t="shared" si="349"/>
        <v>1.9442096365173349E-2</v>
      </c>
      <c r="R1588" s="525">
        <f t="shared" ref="R1588:R1593" si="350">SUM(Q1582:Q1588)</f>
        <v>7.7534384886940616E-2</v>
      </c>
    </row>
    <row r="1589" spans="1:18" x14ac:dyDescent="0.2">
      <c r="B1589" t="s">
        <v>294</v>
      </c>
      <c r="C1589">
        <f t="shared" si="346"/>
        <v>5324</v>
      </c>
      <c r="D1589">
        <f t="shared" si="346"/>
        <v>5413</v>
      </c>
      <c r="E1589">
        <f t="shared" si="346"/>
        <v>5738</v>
      </c>
      <c r="F1589">
        <f t="shared" si="346"/>
        <v>5475</v>
      </c>
      <c r="G1589">
        <f t="shared" si="346"/>
        <v>5231</v>
      </c>
      <c r="H1589">
        <f t="shared" si="346"/>
        <v>5265</v>
      </c>
      <c r="I1589">
        <f t="shared" si="346"/>
        <v>5442</v>
      </c>
      <c r="J1589">
        <f t="shared" si="346"/>
        <v>5402</v>
      </c>
      <c r="K1589">
        <f t="shared" si="346"/>
        <v>5364</v>
      </c>
      <c r="L1589">
        <f t="shared" si="346"/>
        <v>5409</v>
      </c>
      <c r="M1589">
        <f t="shared" si="346"/>
        <v>5790</v>
      </c>
      <c r="N1589">
        <f t="shared" si="346"/>
        <v>5890</v>
      </c>
      <c r="O1589" s="173">
        <f t="shared" si="347"/>
        <v>5478.583333333333</v>
      </c>
      <c r="P1589" s="524">
        <f>SUM(O1589-O1588)</f>
        <v>106.91666666666606</v>
      </c>
      <c r="Q1589" s="525">
        <f t="shared" si="349"/>
        <v>1.9903816320198459E-2</v>
      </c>
      <c r="R1589" s="525">
        <f t="shared" si="350"/>
        <v>0.10181538052311213</v>
      </c>
    </row>
    <row r="1590" spans="1:18" x14ac:dyDescent="0.2">
      <c r="B1590" t="s">
        <v>295</v>
      </c>
      <c r="C1590">
        <f t="shared" si="346"/>
        <v>5636</v>
      </c>
      <c r="D1590">
        <f t="shared" si="346"/>
        <v>5620</v>
      </c>
      <c r="E1590">
        <f t="shared" si="346"/>
        <v>5623</v>
      </c>
      <c r="F1590">
        <f t="shared" si="346"/>
        <v>5600</v>
      </c>
      <c r="G1590">
        <f t="shared" si="346"/>
        <v>5642</v>
      </c>
      <c r="H1590">
        <f t="shared" si="346"/>
        <v>5678</v>
      </c>
      <c r="I1590">
        <f t="shared" si="346"/>
        <v>5668</v>
      </c>
      <c r="J1590">
        <f t="shared" si="346"/>
        <v>5682</v>
      </c>
      <c r="K1590">
        <f t="shared" si="346"/>
        <v>5707</v>
      </c>
      <c r="L1590">
        <f t="shared" si="346"/>
        <v>5751</v>
      </c>
      <c r="M1590">
        <f t="shared" si="346"/>
        <v>5791</v>
      </c>
      <c r="N1590">
        <f t="shared" si="346"/>
        <v>5813</v>
      </c>
      <c r="O1590" s="173">
        <f>SUM(C1590:N1590)/12</f>
        <v>5684.25</v>
      </c>
      <c r="P1590" s="524">
        <f>SUM(O1590-O1589)</f>
        <v>205.66666666666697</v>
      </c>
      <c r="Q1590" s="525">
        <f t="shared" si="349"/>
        <v>3.7540118339595148E-2</v>
      </c>
      <c r="R1590" s="525">
        <f t="shared" si="350"/>
        <v>0.1074632498903057</v>
      </c>
    </row>
    <row r="1591" spans="1:18" x14ac:dyDescent="0.2">
      <c r="B1591" t="s">
        <v>335</v>
      </c>
      <c r="C1591">
        <f t="shared" si="346"/>
        <v>5792</v>
      </c>
      <c r="D1591">
        <f t="shared" si="346"/>
        <v>5837</v>
      </c>
      <c r="E1591">
        <f t="shared" si="346"/>
        <v>5783</v>
      </c>
      <c r="F1591">
        <f t="shared" si="346"/>
        <v>5776</v>
      </c>
      <c r="G1591">
        <f t="shared" si="346"/>
        <v>5691</v>
      </c>
      <c r="H1591">
        <f t="shared" si="346"/>
        <v>5868</v>
      </c>
      <c r="I1591">
        <f t="shared" si="346"/>
        <v>5812</v>
      </c>
      <c r="J1591">
        <f t="shared" si="346"/>
        <v>5855</v>
      </c>
      <c r="K1591">
        <f t="shared" si="346"/>
        <v>5867</v>
      </c>
      <c r="L1591">
        <f t="shared" si="346"/>
        <v>5881</v>
      </c>
      <c r="M1591">
        <f t="shared" si="346"/>
        <v>5824</v>
      </c>
      <c r="N1591">
        <f t="shared" si="346"/>
        <v>5846</v>
      </c>
      <c r="O1591" s="173">
        <f>SUM(C1591:N1591)/12</f>
        <v>5819.333333333333</v>
      </c>
      <c r="P1591" s="524">
        <f>SUM(O1591-O1590)</f>
        <v>135.08333333333303</v>
      </c>
      <c r="Q1591" s="525">
        <f>SUM(P1591/O1590)</f>
        <v>2.3764495462608618E-2</v>
      </c>
      <c r="R1591" s="525">
        <f t="shared" si="350"/>
        <v>0.15353403751180655</v>
      </c>
    </row>
    <row r="1592" spans="1:18" x14ac:dyDescent="0.2">
      <c r="B1592" t="s">
        <v>358</v>
      </c>
      <c r="C1592">
        <f t="shared" si="346"/>
        <v>5909</v>
      </c>
      <c r="D1592">
        <f t="shared" si="346"/>
        <v>5921</v>
      </c>
      <c r="E1592">
        <f t="shared" si="346"/>
        <v>5881</v>
      </c>
      <c r="F1592">
        <f t="shared" si="346"/>
        <v>5938</v>
      </c>
      <c r="G1592">
        <f t="shared" si="346"/>
        <v>5963</v>
      </c>
      <c r="H1592">
        <f t="shared" si="346"/>
        <v>5986</v>
      </c>
      <c r="I1592">
        <f t="shared" si="346"/>
        <v>5927</v>
      </c>
      <c r="J1592">
        <f t="shared" si="346"/>
        <v>5974</v>
      </c>
      <c r="K1592">
        <f t="shared" si="346"/>
        <v>6009</v>
      </c>
      <c r="L1592">
        <f t="shared" si="346"/>
        <v>6021</v>
      </c>
      <c r="M1592">
        <f t="shared" si="346"/>
        <v>5978</v>
      </c>
      <c r="N1592">
        <f t="shared" si="346"/>
        <v>5883</v>
      </c>
      <c r="O1592" s="173">
        <f>SUM(C1592:N1592)/12</f>
        <v>5949.166666666667</v>
      </c>
      <c r="P1592" s="524">
        <f>SUM(O1592-O1591)</f>
        <v>129.83333333333394</v>
      </c>
      <c r="Q1592" s="525">
        <f>SUM(P1592/O1591)</f>
        <v>2.2310688509565919E-2</v>
      </c>
      <c r="R1592" s="525">
        <f t="shared" si="350"/>
        <v>0.16899325610142274</v>
      </c>
    </row>
    <row r="1593" spans="1:18" x14ac:dyDescent="0.2">
      <c r="A1593" s="527"/>
      <c r="B1593" s="528" t="s">
        <v>454</v>
      </c>
      <c r="C1593" s="527">
        <f t="shared" si="346"/>
        <v>5999</v>
      </c>
      <c r="D1593" s="527">
        <f t="shared" si="346"/>
        <v>6010</v>
      </c>
      <c r="E1593" s="527">
        <f t="shared" si="346"/>
        <v>6006</v>
      </c>
      <c r="F1593" s="527">
        <f t="shared" si="346"/>
        <v>6022</v>
      </c>
      <c r="G1593" s="527">
        <f t="shared" si="346"/>
        <v>6027</v>
      </c>
      <c r="H1593" s="527">
        <f t="shared" si="346"/>
        <v>6072</v>
      </c>
      <c r="I1593" s="527">
        <f t="shared" si="346"/>
        <v>6094</v>
      </c>
      <c r="J1593" s="527">
        <f t="shared" si="346"/>
        <v>6090</v>
      </c>
      <c r="K1593" s="527">
        <f t="shared" si="346"/>
        <v>6044</v>
      </c>
      <c r="L1593" s="527">
        <f t="shared" si="346"/>
        <v>6053</v>
      </c>
      <c r="M1593" s="527">
        <f t="shared" si="346"/>
        <v>6097</v>
      </c>
      <c r="N1593" s="527">
        <f t="shared" si="346"/>
        <v>6122</v>
      </c>
      <c r="O1593" s="529">
        <f>SUM(C1593:N1593)/12</f>
        <v>6053</v>
      </c>
      <c r="P1593" s="524">
        <f>SUM(O1593-O1592)</f>
        <v>103.83333333333303</v>
      </c>
      <c r="Q1593" s="525">
        <f>SUM(P1593/O1592)</f>
        <v>1.7453424849418635E-2</v>
      </c>
      <c r="R1593" s="525">
        <f t="shared" si="350"/>
        <v>0.16808262403628338</v>
      </c>
    </row>
    <row r="1595" spans="1:18" x14ac:dyDescent="0.2">
      <c r="A1595" s="534" t="s">
        <v>472</v>
      </c>
    </row>
  </sheetData>
  <phoneticPr fontId="67" type="noConversion"/>
  <printOptions horizontalCentered="1"/>
  <pageMargins left="0" right="0" top="1" bottom="1" header="0.33" footer="0.5"/>
  <pageSetup scale="83" fitToHeight="0"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pageSetUpPr fitToPage="1"/>
  </sheetPr>
  <dimension ref="A1:AB469"/>
  <sheetViews>
    <sheetView showGridLines="0" topLeftCell="F1" zoomScale="85" zoomScaleNormal="85" workbookViewId="0">
      <selection activeCell="Y20" sqref="Y20"/>
    </sheetView>
  </sheetViews>
  <sheetFormatPr defaultRowHeight="12.75" x14ac:dyDescent="0.2"/>
  <cols>
    <col min="1" max="1" width="28" customWidth="1"/>
    <col min="2" max="2" width="10.28515625" customWidth="1"/>
    <col min="3" max="3" width="7.85546875" customWidth="1"/>
    <col min="4" max="4" width="8.5703125" bestFit="1" customWidth="1"/>
    <col min="5" max="5" width="9.28515625"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s>
  <sheetData>
    <row r="1" spans="1:28" ht="15" customHeight="1" x14ac:dyDescent="0.2"/>
    <row r="2" spans="1:28" ht="15" customHeight="1" thickBot="1" x14ac:dyDescent="0.25">
      <c r="A2" s="45" t="s">
        <v>155</v>
      </c>
      <c r="B2" s="10"/>
      <c r="C2" s="10"/>
      <c r="D2" s="13"/>
      <c r="E2" s="13"/>
      <c r="F2" s="13"/>
      <c r="G2" s="13"/>
      <c r="H2" s="13"/>
      <c r="I2" s="13"/>
      <c r="J2" s="13"/>
      <c r="K2" s="13"/>
      <c r="L2" s="13"/>
      <c r="M2" s="13"/>
      <c r="N2" s="13"/>
      <c r="O2" s="13"/>
      <c r="P2" s="13"/>
      <c r="Q2" s="13"/>
      <c r="R2" s="13"/>
      <c r="S2" s="13"/>
      <c r="T2" s="13"/>
      <c r="U2" s="13"/>
      <c r="V2" s="13"/>
      <c r="W2" s="13"/>
      <c r="X2" s="13"/>
      <c r="Y2" s="13"/>
    </row>
    <row r="3" spans="1:28" ht="15" customHeight="1" thickBot="1" x14ac:dyDescent="0.3">
      <c r="A3" s="1023" t="s">
        <v>922</v>
      </c>
      <c r="B3" s="1190" t="s">
        <v>153</v>
      </c>
      <c r="C3" s="1191"/>
      <c r="D3" s="1191"/>
      <c r="E3" s="1191"/>
      <c r="F3" s="1191"/>
      <c r="G3" s="1191"/>
      <c r="H3" s="1191"/>
      <c r="I3" s="1191"/>
      <c r="J3" s="1191"/>
      <c r="K3" s="1191"/>
      <c r="L3" s="1191"/>
      <c r="M3" s="1191"/>
      <c r="N3" s="1191"/>
      <c r="O3" s="1191"/>
      <c r="P3" s="1191"/>
      <c r="Q3" s="1191"/>
      <c r="R3" s="1191"/>
      <c r="S3" s="1191"/>
      <c r="T3" s="1191"/>
      <c r="U3" s="1191"/>
      <c r="V3" s="39"/>
      <c r="W3" s="39"/>
      <c r="X3" s="92"/>
      <c r="Y3" s="13"/>
    </row>
    <row r="4" spans="1:28" ht="15" customHeight="1" x14ac:dyDescent="0.25">
      <c r="A4" s="56"/>
      <c r="B4" s="40" t="s">
        <v>650</v>
      </c>
      <c r="C4" s="1188" t="s">
        <v>651</v>
      </c>
      <c r="D4" s="57"/>
      <c r="E4" s="58"/>
      <c r="F4" s="58"/>
      <c r="G4" s="1192" t="s">
        <v>258</v>
      </c>
      <c r="H4" s="1194" t="s">
        <v>278</v>
      </c>
      <c r="I4" s="58"/>
      <c r="J4" s="58"/>
      <c r="K4" s="58"/>
      <c r="L4" s="1192" t="s">
        <v>258</v>
      </c>
      <c r="M4" s="1194" t="s">
        <v>278</v>
      </c>
      <c r="N4" s="58"/>
      <c r="O4" s="58"/>
      <c r="P4" s="58"/>
      <c r="Q4" s="1192" t="s">
        <v>258</v>
      </c>
      <c r="R4" s="1184" t="s">
        <v>278</v>
      </c>
      <c r="S4" s="58"/>
      <c r="T4" s="58"/>
      <c r="U4" s="59"/>
      <c r="V4" s="1192" t="s">
        <v>258</v>
      </c>
      <c r="W4" s="1184" t="s">
        <v>278</v>
      </c>
      <c r="X4" s="1186" t="s">
        <v>154</v>
      </c>
      <c r="Y4" s="1188" t="s">
        <v>155</v>
      </c>
    </row>
    <row r="5" spans="1:28" ht="15" customHeight="1" thickBot="1" x14ac:dyDescent="0.3">
      <c r="A5" s="47" t="s">
        <v>56</v>
      </c>
      <c r="B5" s="41" t="s">
        <v>652</v>
      </c>
      <c r="C5" s="1189"/>
      <c r="D5" s="60">
        <v>42552</v>
      </c>
      <c r="E5" s="61">
        <v>42583</v>
      </c>
      <c r="F5" s="61">
        <v>42614</v>
      </c>
      <c r="G5" s="1193"/>
      <c r="H5" s="1195"/>
      <c r="I5" s="61">
        <v>42644</v>
      </c>
      <c r="J5" s="61">
        <v>42675</v>
      </c>
      <c r="K5" s="61">
        <v>42705</v>
      </c>
      <c r="L5" s="1193"/>
      <c r="M5" s="1195"/>
      <c r="N5" s="61">
        <v>42736</v>
      </c>
      <c r="O5" s="61">
        <v>42767</v>
      </c>
      <c r="P5" s="61">
        <v>42795</v>
      </c>
      <c r="Q5" s="1193"/>
      <c r="R5" s="1185"/>
      <c r="S5" s="61">
        <v>42826</v>
      </c>
      <c r="T5" s="61">
        <v>42856</v>
      </c>
      <c r="U5" s="62">
        <v>42887</v>
      </c>
      <c r="V5" s="1193"/>
      <c r="W5" s="1185"/>
      <c r="X5" s="1187"/>
      <c r="Y5" s="1189"/>
    </row>
    <row r="6" spans="1:28" ht="15" customHeight="1" thickBot="1" x14ac:dyDescent="0.3">
      <c r="A6" s="48" t="s">
        <v>310</v>
      </c>
      <c r="B6" s="42">
        <v>863</v>
      </c>
      <c r="C6" s="42">
        <v>829</v>
      </c>
      <c r="D6" s="125">
        <v>822.4</v>
      </c>
      <c r="E6" s="125">
        <v>823</v>
      </c>
      <c r="F6" s="117">
        <v>813</v>
      </c>
      <c r="G6" s="63">
        <f t="shared" ref="G6:G15" si="0">SUM(D6:F6)/3</f>
        <v>819.4666666666667</v>
      </c>
      <c r="H6" s="108">
        <f>G6*92</f>
        <v>75390.933333333334</v>
      </c>
      <c r="I6" s="117">
        <v>973</v>
      </c>
      <c r="J6" s="117">
        <v>874.1</v>
      </c>
      <c r="K6" s="117">
        <v>860.7</v>
      </c>
      <c r="L6" s="63">
        <f>SUM(I6:K6)/3</f>
        <v>902.6</v>
      </c>
      <c r="M6" s="108">
        <f>L6*92</f>
        <v>83039.199999999997</v>
      </c>
      <c r="N6" s="117">
        <v>845.2</v>
      </c>
      <c r="O6" s="85">
        <v>844.3</v>
      </c>
      <c r="P6" s="85">
        <v>863</v>
      </c>
      <c r="Q6" s="63">
        <f>SUM(N6:P6)/3</f>
        <v>850.83333333333337</v>
      </c>
      <c r="R6" s="108">
        <f>Q6*90</f>
        <v>76575</v>
      </c>
      <c r="S6" s="117">
        <v>857</v>
      </c>
      <c r="T6" s="85">
        <v>868.2</v>
      </c>
      <c r="U6" s="135">
        <v>862.5</v>
      </c>
      <c r="V6" s="63">
        <f>SUM(S6:U6)/3</f>
        <v>862.56666666666661</v>
      </c>
      <c r="W6" s="111">
        <f>V6*91</f>
        <v>78493.566666666666</v>
      </c>
      <c r="X6" s="64">
        <f>SUM(D6+E6+F6+I6+J6+K6+N6+O6+P6+S6+T6+U6)/12</f>
        <v>858.86666666666679</v>
      </c>
      <c r="Y6" s="65">
        <f>X6*365</f>
        <v>313486.33333333337</v>
      </c>
    </row>
    <row r="7" spans="1:28" ht="15" customHeight="1" thickBot="1" x14ac:dyDescent="0.3">
      <c r="A7" s="49" t="s">
        <v>138</v>
      </c>
      <c r="B7" s="42">
        <v>128</v>
      </c>
      <c r="C7" s="42">
        <v>126</v>
      </c>
      <c r="D7" s="126">
        <v>107.5</v>
      </c>
      <c r="E7" s="126">
        <v>98</v>
      </c>
      <c r="F7" s="118">
        <v>100</v>
      </c>
      <c r="G7" s="63">
        <f t="shared" si="0"/>
        <v>101.83333333333333</v>
      </c>
      <c r="H7" s="108">
        <f>G7*92</f>
        <v>9368.6666666666661</v>
      </c>
      <c r="I7" s="118">
        <v>100</v>
      </c>
      <c r="J7" s="118">
        <v>104</v>
      </c>
      <c r="K7" s="118">
        <v>105.1</v>
      </c>
      <c r="L7" s="63">
        <f>SUM(I7:K7)/3</f>
        <v>103.03333333333335</v>
      </c>
      <c r="M7" s="108">
        <f>L7*92</f>
        <v>9479.0666666666675</v>
      </c>
      <c r="N7" s="118">
        <v>97</v>
      </c>
      <c r="O7" s="86">
        <v>105.9</v>
      </c>
      <c r="P7" s="86">
        <v>111.3</v>
      </c>
      <c r="Q7" s="63">
        <f>SUM(N7:P7)/3</f>
        <v>104.73333333333333</v>
      </c>
      <c r="R7" s="108">
        <f>Q7*90</f>
        <v>9426</v>
      </c>
      <c r="S7" s="118">
        <v>105</v>
      </c>
      <c r="T7" s="86">
        <v>100.6</v>
      </c>
      <c r="U7" s="89">
        <v>111</v>
      </c>
      <c r="V7" s="63">
        <f>SUM(S7:U7)/3</f>
        <v>105.53333333333335</v>
      </c>
      <c r="W7" s="111">
        <f>V7*91</f>
        <v>9603.5333333333347</v>
      </c>
      <c r="X7" s="64">
        <f t="shared" ref="X7:X13" si="1">SUM(D7+E7+F7+I7+J7+K7+N7+O7+P7+S7+T7+U7)/12</f>
        <v>103.78333333333332</v>
      </c>
      <c r="Y7" s="65">
        <f t="shared" ref="Y7:Y13" si="2">X7*365</f>
        <v>37880.916666666664</v>
      </c>
    </row>
    <row r="8" spans="1:28" ht="15" customHeight="1" thickBot="1" x14ac:dyDescent="0.3">
      <c r="A8" s="50" t="s">
        <v>337</v>
      </c>
      <c r="B8" s="42">
        <v>259</v>
      </c>
      <c r="C8" s="42">
        <v>248</v>
      </c>
      <c r="D8" s="4">
        <v>288.89999999999998</v>
      </c>
      <c r="E8" s="4">
        <v>284</v>
      </c>
      <c r="F8" s="3">
        <v>262</v>
      </c>
      <c r="G8" s="63">
        <f t="shared" si="0"/>
        <v>278.3</v>
      </c>
      <c r="H8" s="108">
        <f>G8*92</f>
        <v>25603.600000000002</v>
      </c>
      <c r="I8" s="3">
        <v>252</v>
      </c>
      <c r="J8" s="3">
        <v>240.2</v>
      </c>
      <c r="K8" s="3">
        <v>242.9</v>
      </c>
      <c r="L8" s="63">
        <f>SUM(I8:K8)/3</f>
        <v>245.03333333333333</v>
      </c>
      <c r="M8" s="108">
        <f>L8*92</f>
        <v>22543.066666666666</v>
      </c>
      <c r="N8" s="3">
        <v>255.4</v>
      </c>
      <c r="O8" s="87">
        <v>262</v>
      </c>
      <c r="P8" s="87">
        <v>270.8</v>
      </c>
      <c r="Q8" s="63">
        <f>SUM(N8:P8)/3</f>
        <v>262.73333333333335</v>
      </c>
      <c r="R8" s="108">
        <f>Q8*90</f>
        <v>23646</v>
      </c>
      <c r="S8" s="3">
        <v>283</v>
      </c>
      <c r="T8" s="87">
        <v>294.5</v>
      </c>
      <c r="U8" s="90">
        <v>289.8</v>
      </c>
      <c r="V8" s="63">
        <f>SUM(S8:U8)/3</f>
        <v>289.09999999999997</v>
      </c>
      <c r="W8" s="111">
        <f>V8*91</f>
        <v>26308.1</v>
      </c>
      <c r="X8" s="64">
        <f t="shared" si="1"/>
        <v>268.79166666666674</v>
      </c>
      <c r="Y8" s="65">
        <f t="shared" si="2"/>
        <v>98108.958333333358</v>
      </c>
    </row>
    <row r="9" spans="1:28" ht="15" customHeight="1" thickBot="1" x14ac:dyDescent="0.3">
      <c r="A9" s="50" t="s">
        <v>462</v>
      </c>
      <c r="B9" s="42">
        <v>1472</v>
      </c>
      <c r="C9" s="42">
        <v>1408</v>
      </c>
      <c r="D9" s="4">
        <v>1145.8</v>
      </c>
      <c r="E9" s="4">
        <v>1238</v>
      </c>
      <c r="F9" s="3">
        <v>1268</v>
      </c>
      <c r="G9" s="63">
        <f t="shared" si="0"/>
        <v>1217.2666666666667</v>
      </c>
      <c r="H9" s="108">
        <f>G9*92</f>
        <v>111988.53333333333</v>
      </c>
      <c r="I9" s="3">
        <v>1311</v>
      </c>
      <c r="J9" s="3">
        <v>1334.8</v>
      </c>
      <c r="K9" s="3">
        <v>1326.3</v>
      </c>
      <c r="L9" s="63">
        <f>SUM(I9:K9)/3</f>
        <v>1324.0333333333335</v>
      </c>
      <c r="M9" s="108">
        <f>L9*92</f>
        <v>121811.06666666668</v>
      </c>
      <c r="N9" s="3">
        <v>1271.3</v>
      </c>
      <c r="O9" s="87">
        <v>1250</v>
      </c>
      <c r="P9" s="87">
        <v>1242.9000000000001</v>
      </c>
      <c r="Q9" s="63">
        <f>SUM(N9:P9)/3</f>
        <v>1254.7333333333333</v>
      </c>
      <c r="R9" s="108">
        <f>Q9*90</f>
        <v>112926</v>
      </c>
      <c r="S9" s="3">
        <v>1257</v>
      </c>
      <c r="T9" s="87">
        <v>1240.5999999999999</v>
      </c>
      <c r="U9" s="90">
        <v>1295.5999999999999</v>
      </c>
      <c r="V9" s="63">
        <f>SUM(S9:U9)/3</f>
        <v>1264.3999999999999</v>
      </c>
      <c r="W9" s="111">
        <f>V9*91</f>
        <v>115060.4</v>
      </c>
      <c r="X9" s="64">
        <f t="shared" si="1"/>
        <v>1265.1083333333333</v>
      </c>
      <c r="Y9" s="65">
        <f t="shared" si="2"/>
        <v>461764.54166666669</v>
      </c>
    </row>
    <row r="10" spans="1:28" ht="15" customHeight="1" thickBot="1" x14ac:dyDescent="0.3">
      <c r="A10" s="51" t="s">
        <v>275</v>
      </c>
      <c r="B10" s="42">
        <v>404</v>
      </c>
      <c r="C10" s="42">
        <v>395</v>
      </c>
      <c r="D10" s="4">
        <v>348.5</v>
      </c>
      <c r="E10" s="4">
        <v>349</v>
      </c>
      <c r="F10" s="3">
        <v>347</v>
      </c>
      <c r="G10" s="63">
        <f t="shared" si="0"/>
        <v>348.16666666666669</v>
      </c>
      <c r="H10" s="108">
        <f t="shared" ref="H10:H19" si="3">G10*92</f>
        <v>32031.333333333336</v>
      </c>
      <c r="I10" s="3">
        <v>325</v>
      </c>
      <c r="J10" s="3">
        <v>304.89999999999998</v>
      </c>
      <c r="K10" s="3">
        <v>291.60000000000002</v>
      </c>
      <c r="L10" s="63">
        <f t="shared" ref="L10:L20" si="4">SUM(I10:K10)/3</f>
        <v>307.16666666666669</v>
      </c>
      <c r="M10" s="108">
        <f t="shared" ref="M10:M20" si="5">L10*92</f>
        <v>28259.333333333336</v>
      </c>
      <c r="N10" s="3">
        <v>275.39999999999998</v>
      </c>
      <c r="O10" s="87">
        <v>264</v>
      </c>
      <c r="P10" s="87">
        <v>267.5</v>
      </c>
      <c r="Q10" s="63">
        <f t="shared" ref="Q10:Q20" si="6">SUM(N10:P10)/3</f>
        <v>268.96666666666664</v>
      </c>
      <c r="R10" s="108">
        <f t="shared" ref="R10:R20" si="7">Q10*90</f>
        <v>24206.999999999996</v>
      </c>
      <c r="S10" s="3">
        <v>269</v>
      </c>
      <c r="T10" s="87">
        <v>297.89999999999998</v>
      </c>
      <c r="U10" s="90">
        <v>298.10000000000002</v>
      </c>
      <c r="V10" s="63">
        <f t="shared" ref="V10:V20" si="8">SUM(S10:U10)/3</f>
        <v>288.33333333333331</v>
      </c>
      <c r="W10" s="111">
        <f t="shared" ref="W10:W20" si="9">V10*91</f>
        <v>26238.333333333332</v>
      </c>
      <c r="X10" s="64">
        <f t="shared" si="1"/>
        <v>303.15833333333336</v>
      </c>
      <c r="Y10" s="65">
        <f t="shared" si="2"/>
        <v>110652.79166666667</v>
      </c>
      <c r="AB10">
        <v>31</v>
      </c>
    </row>
    <row r="11" spans="1:28" ht="15" customHeight="1" thickBot="1" x14ac:dyDescent="0.3">
      <c r="A11" s="50" t="s">
        <v>16</v>
      </c>
      <c r="B11" s="42">
        <v>58</v>
      </c>
      <c r="C11" s="42">
        <v>52</v>
      </c>
      <c r="D11" s="4">
        <v>50</v>
      </c>
      <c r="E11" s="4">
        <v>50</v>
      </c>
      <c r="F11" s="3">
        <v>47</v>
      </c>
      <c r="G11" s="63">
        <f t="shared" si="0"/>
        <v>49</v>
      </c>
      <c r="H11" s="108">
        <f t="shared" si="3"/>
        <v>4508</v>
      </c>
      <c r="I11" s="3">
        <v>53</v>
      </c>
      <c r="J11" s="3">
        <v>49</v>
      </c>
      <c r="K11" s="3">
        <v>46.1</v>
      </c>
      <c r="L11" s="63">
        <f t="shared" si="4"/>
        <v>49.366666666666667</v>
      </c>
      <c r="M11" s="108">
        <f t="shared" si="5"/>
        <v>4541.7333333333336</v>
      </c>
      <c r="N11" s="3">
        <v>46.1</v>
      </c>
      <c r="O11" s="87">
        <v>55</v>
      </c>
      <c r="P11" s="87">
        <v>58</v>
      </c>
      <c r="Q11" s="63">
        <f t="shared" si="6"/>
        <v>53.033333333333331</v>
      </c>
      <c r="R11" s="108">
        <f t="shared" si="7"/>
        <v>4773</v>
      </c>
      <c r="S11" s="3">
        <v>56</v>
      </c>
      <c r="T11" s="87">
        <v>56.5</v>
      </c>
      <c r="U11" s="90">
        <v>51.8</v>
      </c>
      <c r="V11" s="63">
        <f t="shared" si="8"/>
        <v>54.766666666666673</v>
      </c>
      <c r="W11" s="111">
        <f t="shared" si="9"/>
        <v>4983.7666666666673</v>
      </c>
      <c r="X11" s="64">
        <f t="shared" si="1"/>
        <v>51.541666666666664</v>
      </c>
      <c r="Y11" s="65">
        <f t="shared" si="2"/>
        <v>18812.708333333332</v>
      </c>
      <c r="AB11">
        <v>31</v>
      </c>
    </row>
    <row r="12" spans="1:28" ht="15" customHeight="1" thickBot="1" x14ac:dyDescent="0.3">
      <c r="A12" s="50" t="s">
        <v>17</v>
      </c>
      <c r="B12" s="42">
        <v>232</v>
      </c>
      <c r="C12" s="42">
        <v>226</v>
      </c>
      <c r="D12" s="4">
        <v>216.2</v>
      </c>
      <c r="E12" s="4">
        <v>220</v>
      </c>
      <c r="F12" s="3">
        <v>229</v>
      </c>
      <c r="G12" s="63">
        <f t="shared" si="0"/>
        <v>221.73333333333335</v>
      </c>
      <c r="H12" s="108">
        <f t="shared" si="3"/>
        <v>20399.466666666667</v>
      </c>
      <c r="I12" s="3">
        <v>230</v>
      </c>
      <c r="J12" s="3">
        <v>216</v>
      </c>
      <c r="K12" s="3">
        <v>216.8</v>
      </c>
      <c r="L12" s="63">
        <f t="shared" si="4"/>
        <v>220.93333333333331</v>
      </c>
      <c r="M12" s="108">
        <f t="shared" si="5"/>
        <v>20325.866666666665</v>
      </c>
      <c r="N12" s="3">
        <v>208.4</v>
      </c>
      <c r="O12" s="87">
        <v>202</v>
      </c>
      <c r="P12" s="87">
        <v>195.3</v>
      </c>
      <c r="Q12" s="63">
        <f t="shared" si="6"/>
        <v>201.9</v>
      </c>
      <c r="R12" s="108">
        <f t="shared" si="7"/>
        <v>18171</v>
      </c>
      <c r="S12" s="3">
        <v>208</v>
      </c>
      <c r="T12" s="87">
        <v>205.1</v>
      </c>
      <c r="U12" s="90">
        <v>193.5</v>
      </c>
      <c r="V12" s="63">
        <f t="shared" si="8"/>
        <v>202.20000000000002</v>
      </c>
      <c r="W12" s="111">
        <f t="shared" si="9"/>
        <v>18400.2</v>
      </c>
      <c r="X12" s="64">
        <f t="shared" si="1"/>
        <v>211.69166666666663</v>
      </c>
      <c r="Y12" s="65">
        <f t="shared" si="2"/>
        <v>77267.458333333328</v>
      </c>
      <c r="AB12">
        <v>31</v>
      </c>
    </row>
    <row r="13" spans="1:28" ht="15" customHeight="1" thickBot="1" x14ac:dyDescent="0.3">
      <c r="A13" s="50" t="s">
        <v>140</v>
      </c>
      <c r="B13" s="42">
        <v>102</v>
      </c>
      <c r="C13" s="42">
        <v>98</v>
      </c>
      <c r="D13" s="4">
        <v>101.3</v>
      </c>
      <c r="E13" s="4">
        <v>100</v>
      </c>
      <c r="F13" s="3">
        <v>91</v>
      </c>
      <c r="G13" s="63">
        <f t="shared" si="0"/>
        <v>97.433333333333337</v>
      </c>
      <c r="H13" s="108">
        <f t="shared" si="3"/>
        <v>8963.8666666666668</v>
      </c>
      <c r="I13" s="3">
        <v>102</v>
      </c>
      <c r="J13" s="3">
        <v>101.5</v>
      </c>
      <c r="K13" s="3">
        <v>98.4</v>
      </c>
      <c r="L13" s="63">
        <f t="shared" si="4"/>
        <v>100.63333333333333</v>
      </c>
      <c r="M13" s="108">
        <f t="shared" si="5"/>
        <v>9258.2666666666664</v>
      </c>
      <c r="N13" s="3">
        <v>87.8</v>
      </c>
      <c r="O13" s="87">
        <v>89</v>
      </c>
      <c r="P13" s="87">
        <v>98.2</v>
      </c>
      <c r="Q13" s="63">
        <f t="shared" si="6"/>
        <v>91.666666666666671</v>
      </c>
      <c r="R13" s="108">
        <f t="shared" si="7"/>
        <v>8250</v>
      </c>
      <c r="S13" s="3">
        <v>90</v>
      </c>
      <c r="T13" s="87">
        <v>92</v>
      </c>
      <c r="U13" s="90">
        <v>93.3</v>
      </c>
      <c r="V13" s="63">
        <f t="shared" si="8"/>
        <v>91.766666666666666</v>
      </c>
      <c r="W13" s="111">
        <f t="shared" si="9"/>
        <v>8350.7666666666664</v>
      </c>
      <c r="X13" s="64">
        <f t="shared" si="1"/>
        <v>95.375</v>
      </c>
      <c r="Y13" s="65">
        <f t="shared" si="2"/>
        <v>34811.875</v>
      </c>
      <c r="AB13">
        <v>30</v>
      </c>
    </row>
    <row r="14" spans="1:28" ht="15" customHeight="1" thickBot="1" x14ac:dyDescent="0.3">
      <c r="A14" s="51" t="s">
        <v>276</v>
      </c>
      <c r="B14" s="42">
        <f>338+176</f>
        <v>514</v>
      </c>
      <c r="C14" s="42">
        <f>327+176</f>
        <v>503</v>
      </c>
      <c r="D14" s="4">
        <f>302+175.7</f>
        <v>477.7</v>
      </c>
      <c r="E14" s="4">
        <f>298+59</f>
        <v>357</v>
      </c>
      <c r="F14" s="3">
        <v>279</v>
      </c>
      <c r="G14" s="63">
        <f t="shared" si="0"/>
        <v>371.23333333333335</v>
      </c>
      <c r="H14" s="108">
        <f t="shared" si="3"/>
        <v>34153.466666666667</v>
      </c>
      <c r="I14" s="3">
        <v>110</v>
      </c>
      <c r="J14" s="1108">
        <v>0</v>
      </c>
      <c r="K14" s="1108">
        <v>0</v>
      </c>
      <c r="L14" s="63">
        <f>SUM(I14:K14)/1</f>
        <v>110</v>
      </c>
      <c r="M14" s="108">
        <f>L14*31</f>
        <v>3410</v>
      </c>
      <c r="N14" s="1108">
        <v>0</v>
      </c>
      <c r="O14" s="1109">
        <v>0</v>
      </c>
      <c r="P14" s="1109">
        <v>0</v>
      </c>
      <c r="Q14" s="1110">
        <f t="shared" si="6"/>
        <v>0</v>
      </c>
      <c r="R14" s="705">
        <f t="shared" si="7"/>
        <v>0</v>
      </c>
      <c r="S14" s="1108">
        <v>0</v>
      </c>
      <c r="T14" s="1109">
        <v>0</v>
      </c>
      <c r="U14" s="1111">
        <v>0</v>
      </c>
      <c r="V14" s="1110">
        <f t="shared" si="8"/>
        <v>0</v>
      </c>
      <c r="W14" s="1112">
        <f t="shared" si="9"/>
        <v>0</v>
      </c>
      <c r="X14" s="1106">
        <f>SUM(D14+E14+F14+I14+J14+K14+N14+O14+P14+S14+T14+U14)/4</f>
        <v>305.92500000000001</v>
      </c>
      <c r="Y14" s="1107">
        <f>X14*123</f>
        <v>37628.775000000001</v>
      </c>
      <c r="AB14">
        <f>SUM(AB10:AB13)</f>
        <v>123</v>
      </c>
    </row>
    <row r="15" spans="1:28" ht="15" customHeight="1" thickBot="1" x14ac:dyDescent="0.3">
      <c r="A15" s="50" t="s">
        <v>149</v>
      </c>
      <c r="B15" s="42">
        <v>128</v>
      </c>
      <c r="C15" s="42">
        <v>50</v>
      </c>
      <c r="D15" s="4">
        <v>52.8</v>
      </c>
      <c r="E15" s="4">
        <v>54</v>
      </c>
      <c r="F15" s="4">
        <v>57</v>
      </c>
      <c r="G15" s="63">
        <f t="shared" si="0"/>
        <v>54.6</v>
      </c>
      <c r="H15" s="108">
        <f t="shared" si="3"/>
        <v>5023.2</v>
      </c>
      <c r="I15" s="3">
        <v>69</v>
      </c>
      <c r="J15" s="4">
        <v>108.9</v>
      </c>
      <c r="K15" s="4">
        <v>125.3</v>
      </c>
      <c r="L15" s="63">
        <f t="shared" si="4"/>
        <v>101.06666666666666</v>
      </c>
      <c r="M15" s="108">
        <f t="shared" si="5"/>
        <v>9298.1333333333332</v>
      </c>
      <c r="N15" s="4">
        <v>125</v>
      </c>
      <c r="O15" s="4">
        <v>125</v>
      </c>
      <c r="P15" s="4">
        <v>123.2</v>
      </c>
      <c r="Q15" s="63">
        <f t="shared" si="6"/>
        <v>124.39999999999999</v>
      </c>
      <c r="R15" s="108">
        <f t="shared" si="7"/>
        <v>11196</v>
      </c>
      <c r="S15" s="4">
        <v>119</v>
      </c>
      <c r="T15" s="4">
        <v>110.8</v>
      </c>
      <c r="U15" s="4">
        <v>88</v>
      </c>
      <c r="V15" s="63">
        <f t="shared" si="8"/>
        <v>105.93333333333334</v>
      </c>
      <c r="W15" s="111">
        <f t="shared" si="9"/>
        <v>9639.9333333333343</v>
      </c>
      <c r="X15" s="64">
        <f>SUM(D15+E15+F15+I15+J15+K15+N15+O15+P15+S15+T15+U15)/12</f>
        <v>96.5</v>
      </c>
      <c r="Y15" s="65">
        <f>X15*365</f>
        <v>35222.5</v>
      </c>
    </row>
    <row r="16" spans="1:28" ht="15" customHeight="1" thickBot="1" x14ac:dyDescent="0.3">
      <c r="A16" s="49" t="s">
        <v>20</v>
      </c>
      <c r="B16" s="42">
        <v>551</v>
      </c>
      <c r="C16" s="42">
        <v>535</v>
      </c>
      <c r="D16" s="126">
        <v>523.6</v>
      </c>
      <c r="E16" s="126">
        <v>516</v>
      </c>
      <c r="F16" s="118">
        <v>518</v>
      </c>
      <c r="G16" s="63">
        <f>SUM(D16:F16)/3</f>
        <v>519.19999999999993</v>
      </c>
      <c r="H16" s="108">
        <f t="shared" si="3"/>
        <v>47766.399999999994</v>
      </c>
      <c r="I16" s="118">
        <v>520</v>
      </c>
      <c r="J16" s="3">
        <v>494.8</v>
      </c>
      <c r="K16" s="118">
        <v>491.1</v>
      </c>
      <c r="L16" s="63">
        <f t="shared" si="4"/>
        <v>501.9666666666667</v>
      </c>
      <c r="M16" s="111">
        <f t="shared" si="5"/>
        <v>46180.933333333334</v>
      </c>
      <c r="N16" s="3">
        <v>484</v>
      </c>
      <c r="O16" s="86">
        <v>491</v>
      </c>
      <c r="P16" s="86">
        <v>485.5</v>
      </c>
      <c r="Q16" s="63">
        <f t="shared" si="6"/>
        <v>486.83333333333331</v>
      </c>
      <c r="R16" s="108">
        <f t="shared" si="7"/>
        <v>43815</v>
      </c>
      <c r="S16" s="3">
        <v>485</v>
      </c>
      <c r="T16" s="86">
        <v>463</v>
      </c>
      <c r="U16" s="89">
        <v>396.9</v>
      </c>
      <c r="V16" s="63">
        <f t="shared" si="8"/>
        <v>448.3</v>
      </c>
      <c r="W16" s="111">
        <f t="shared" si="9"/>
        <v>40795.300000000003</v>
      </c>
      <c r="X16" s="64">
        <f>SUM(D16+E16+F16+I16+J16+K16+N16+O16+P16+S16+T16+U16)/12</f>
        <v>489.07499999999999</v>
      </c>
      <c r="Y16" s="65">
        <f>X16*365</f>
        <v>178512.375</v>
      </c>
    </row>
    <row r="17" spans="1:25" ht="15" customHeight="1" thickBot="1" x14ac:dyDescent="0.3">
      <c r="A17" s="51" t="s">
        <v>457</v>
      </c>
      <c r="B17" s="42">
        <f>326+115</f>
        <v>441</v>
      </c>
      <c r="C17" s="42">
        <f>320+110</f>
        <v>430</v>
      </c>
      <c r="D17" s="4">
        <f>270+102.5</f>
        <v>372.5</v>
      </c>
      <c r="E17" s="4">
        <f>304+85</f>
        <v>389</v>
      </c>
      <c r="F17" s="3">
        <f>305+74</f>
        <v>379</v>
      </c>
      <c r="G17" s="63">
        <f>SUM(D17:F17)/3</f>
        <v>380.16666666666669</v>
      </c>
      <c r="H17" s="108">
        <f t="shared" si="3"/>
        <v>34975.333333333336</v>
      </c>
      <c r="I17" s="3">
        <f>313+77</f>
        <v>390</v>
      </c>
      <c r="J17" s="3">
        <f>322.5+77.6</f>
        <v>400.1</v>
      </c>
      <c r="K17" s="3">
        <f>322+72.2</f>
        <v>394.2</v>
      </c>
      <c r="L17" s="63">
        <f t="shared" si="4"/>
        <v>394.76666666666665</v>
      </c>
      <c r="M17" s="108">
        <f t="shared" si="5"/>
        <v>36318.533333333333</v>
      </c>
      <c r="N17" s="3">
        <v>394</v>
      </c>
      <c r="O17" s="87">
        <f>297.4+77.5</f>
        <v>374.9</v>
      </c>
      <c r="P17" s="87">
        <f>291+77.9</f>
        <v>368.9</v>
      </c>
      <c r="Q17" s="63">
        <f t="shared" si="6"/>
        <v>379.26666666666665</v>
      </c>
      <c r="R17" s="108">
        <f t="shared" si="7"/>
        <v>34134</v>
      </c>
      <c r="S17" s="3">
        <v>376</v>
      </c>
      <c r="T17" s="87">
        <v>377.7</v>
      </c>
      <c r="U17" s="90">
        <v>410.2</v>
      </c>
      <c r="V17" s="63">
        <f t="shared" si="8"/>
        <v>387.9666666666667</v>
      </c>
      <c r="W17" s="111">
        <f t="shared" si="9"/>
        <v>35304.966666666667</v>
      </c>
      <c r="X17" s="64">
        <f>SUM(D17+E17+F17+I17+J17+K17+N17+O17+P17+S17+T17+U17)/12</f>
        <v>385.54166666666669</v>
      </c>
      <c r="Y17" s="65">
        <f>X17*365</f>
        <v>140722.70833333334</v>
      </c>
    </row>
    <row r="18" spans="1:25" ht="15" customHeight="1" thickBot="1" x14ac:dyDescent="0.3">
      <c r="A18" s="50" t="s">
        <v>141</v>
      </c>
      <c r="B18" s="42">
        <v>200</v>
      </c>
      <c r="C18" s="42">
        <v>189</v>
      </c>
      <c r="D18" s="4">
        <v>177.7</v>
      </c>
      <c r="E18" s="4">
        <v>158</v>
      </c>
      <c r="F18" s="3">
        <v>166</v>
      </c>
      <c r="G18" s="63">
        <f>SUM(D18:F18)/3</f>
        <v>167.23333333333332</v>
      </c>
      <c r="H18" s="108">
        <f t="shared" si="3"/>
        <v>15385.466666666665</v>
      </c>
      <c r="I18" s="3">
        <v>175</v>
      </c>
      <c r="J18" s="3">
        <v>181.1</v>
      </c>
      <c r="K18" s="3">
        <v>172.9</v>
      </c>
      <c r="L18" s="63">
        <f t="shared" si="4"/>
        <v>176.33333333333334</v>
      </c>
      <c r="M18" s="108">
        <f t="shared" si="5"/>
        <v>16222.666666666668</v>
      </c>
      <c r="N18" s="3">
        <v>167.4</v>
      </c>
      <c r="O18" s="87">
        <v>150</v>
      </c>
      <c r="P18" s="87">
        <v>139.5</v>
      </c>
      <c r="Q18" s="63">
        <f t="shared" si="6"/>
        <v>152.29999999999998</v>
      </c>
      <c r="R18" s="108">
        <f t="shared" si="7"/>
        <v>13706.999999999998</v>
      </c>
      <c r="S18" s="3">
        <v>149</v>
      </c>
      <c r="T18" s="87">
        <v>152.80000000000001</v>
      </c>
      <c r="U18" s="90">
        <v>159.80000000000001</v>
      </c>
      <c r="V18" s="63">
        <f t="shared" si="8"/>
        <v>153.86666666666667</v>
      </c>
      <c r="W18" s="111">
        <f t="shared" si="9"/>
        <v>14001.866666666667</v>
      </c>
      <c r="X18" s="64">
        <f>SUM(D18+E18+F18+I18+J18+K18+N18+O18+P18+S18+T18+U18)/12</f>
        <v>162.43333333333334</v>
      </c>
      <c r="Y18" s="65">
        <f>X18*365</f>
        <v>59288.166666666672</v>
      </c>
    </row>
    <row r="19" spans="1:25" ht="15" customHeight="1" thickBot="1" x14ac:dyDescent="0.3">
      <c r="A19" s="50" t="s">
        <v>142</v>
      </c>
      <c r="B19" s="34"/>
      <c r="C19" s="34"/>
      <c r="D19" s="4">
        <v>0</v>
      </c>
      <c r="E19" s="4">
        <v>0</v>
      </c>
      <c r="F19" s="4">
        <v>0</v>
      </c>
      <c r="G19" s="67">
        <f>SUM(D19:F19)/3</f>
        <v>0</v>
      </c>
      <c r="H19" s="108">
        <f t="shared" si="3"/>
        <v>0</v>
      </c>
      <c r="I19" s="4">
        <v>0</v>
      </c>
      <c r="J19" s="4">
        <v>0</v>
      </c>
      <c r="K19" s="4">
        <v>0</v>
      </c>
      <c r="L19" s="67">
        <f t="shared" si="4"/>
        <v>0</v>
      </c>
      <c r="M19" s="108">
        <f t="shared" si="5"/>
        <v>0</v>
      </c>
      <c r="N19" s="4">
        <v>0</v>
      </c>
      <c r="O19" s="4">
        <v>0</v>
      </c>
      <c r="P19" s="4">
        <v>0</v>
      </c>
      <c r="Q19" s="67">
        <f t="shared" si="6"/>
        <v>0</v>
      </c>
      <c r="R19" s="108">
        <f t="shared" si="7"/>
        <v>0</v>
      </c>
      <c r="S19" s="3" t="s">
        <v>114</v>
      </c>
      <c r="T19" s="3" t="s">
        <v>114</v>
      </c>
      <c r="U19" s="4" t="s">
        <v>114</v>
      </c>
      <c r="V19" s="67">
        <f t="shared" si="8"/>
        <v>0</v>
      </c>
      <c r="W19" s="112">
        <f t="shared" si="9"/>
        <v>0</v>
      </c>
      <c r="X19" s="64">
        <v>0</v>
      </c>
      <c r="Y19" s="65">
        <f>X19*365</f>
        <v>0</v>
      </c>
    </row>
    <row r="20" spans="1:25" ht="15" customHeight="1" thickBot="1" x14ac:dyDescent="0.3">
      <c r="A20" s="701" t="s">
        <v>150</v>
      </c>
      <c r="B20" s="702"/>
      <c r="C20" s="702"/>
      <c r="D20" s="703">
        <f>SUM(D6:D19)</f>
        <v>4684.8999999999996</v>
      </c>
      <c r="E20" s="703">
        <f>SUM(E6:E19)</f>
        <v>4636</v>
      </c>
      <c r="F20" s="703">
        <f>SUM(F6:F19)</f>
        <v>4556</v>
      </c>
      <c r="G20" s="704">
        <f>SUM(D20:F20)/3</f>
        <v>4625.6333333333332</v>
      </c>
      <c r="H20" s="705">
        <f>G20*92</f>
        <v>425558.26666666666</v>
      </c>
      <c r="I20" s="706">
        <f>SUM(I6:I19)</f>
        <v>4610</v>
      </c>
      <c r="J20" s="703">
        <f>SUM(J6:J19)</f>
        <v>4409.4000000000005</v>
      </c>
      <c r="K20" s="703">
        <f>SUM(K6:K19)</f>
        <v>4371.3999999999996</v>
      </c>
      <c r="L20" s="704">
        <f t="shared" si="4"/>
        <v>4463.6000000000004</v>
      </c>
      <c r="M20" s="707">
        <f t="shared" si="5"/>
        <v>410651.2</v>
      </c>
      <c r="N20" s="708">
        <f>SUM(N6:N19)</f>
        <v>4257</v>
      </c>
      <c r="O20" s="703">
        <f>SUM(O6:O19)</f>
        <v>4213.1000000000004</v>
      </c>
      <c r="P20" s="703">
        <f>SUM(P6:P19)</f>
        <v>4224.1000000000004</v>
      </c>
      <c r="Q20" s="704">
        <f t="shared" si="6"/>
        <v>4231.4000000000005</v>
      </c>
      <c r="R20" s="707">
        <f t="shared" si="7"/>
        <v>380826.00000000006</v>
      </c>
      <c r="S20" s="706">
        <f>SUM(S6:S19)</f>
        <v>4254</v>
      </c>
      <c r="T20" s="703">
        <f>SUM(T6:T18)</f>
        <v>4259.7000000000007</v>
      </c>
      <c r="U20" s="709">
        <f>SUM(U6:U19)</f>
        <v>4250.5</v>
      </c>
      <c r="V20" s="704">
        <f t="shared" si="8"/>
        <v>4254.7333333333336</v>
      </c>
      <c r="W20" s="710">
        <f t="shared" si="9"/>
        <v>387180.73333333334</v>
      </c>
      <c r="X20" s="711">
        <f>SUM(D20+E20+F20+I20+J20+K20+N20+O20+P20+S20+T20+U20)/12</f>
        <v>4393.8416666666672</v>
      </c>
      <c r="Y20" s="711">
        <f>SUM(Y6:Y19)</f>
        <v>1604160.1083333334</v>
      </c>
    </row>
    <row r="21" spans="1:25" ht="15" customHeight="1" thickBot="1" x14ac:dyDescent="0.3">
      <c r="A21" s="46" t="s">
        <v>151</v>
      </c>
      <c r="B21" s="35"/>
      <c r="C21" s="35"/>
      <c r="D21" s="70"/>
      <c r="E21" s="70"/>
      <c r="F21" s="71"/>
      <c r="G21" s="98"/>
      <c r="H21" s="98"/>
      <c r="I21" s="72"/>
      <c r="J21" s="70"/>
      <c r="K21" s="71"/>
      <c r="L21" s="97"/>
      <c r="M21" s="97"/>
      <c r="N21" s="72"/>
      <c r="O21" s="70"/>
      <c r="P21" s="71"/>
      <c r="Q21" s="97"/>
      <c r="R21" s="97"/>
      <c r="S21" s="72"/>
      <c r="T21" s="70"/>
      <c r="U21" s="71"/>
      <c r="V21" s="71"/>
      <c r="W21" s="70"/>
      <c r="X21" s="96"/>
      <c r="Y21" s="69" t="s">
        <v>0</v>
      </c>
    </row>
    <row r="22" spans="1:25" ht="15" customHeight="1" thickBot="1" x14ac:dyDescent="0.3">
      <c r="A22" s="1013" t="s">
        <v>143</v>
      </c>
      <c r="B22" s="1014" t="s">
        <v>496</v>
      </c>
      <c r="C22" s="1014" t="s">
        <v>114</v>
      </c>
      <c r="D22" s="1015">
        <v>495.61</v>
      </c>
      <c r="E22" s="1015">
        <v>470</v>
      </c>
      <c r="F22" s="1015">
        <v>476</v>
      </c>
      <c r="G22" s="1016">
        <f t="shared" ref="G22:G28" si="10">SUM(D22:F22)/3</f>
        <v>480.53666666666669</v>
      </c>
      <c r="H22" s="1017">
        <f t="shared" ref="H22:H28" si="11">G22*92</f>
        <v>44209.373333333337</v>
      </c>
      <c r="I22" s="1015">
        <v>430</v>
      </c>
      <c r="J22" s="1015">
        <v>435</v>
      </c>
      <c r="K22" s="1015">
        <v>424</v>
      </c>
      <c r="L22" s="1016">
        <f t="shared" ref="L22:L29" si="12">SUM(I22:K22)/3</f>
        <v>429.66666666666669</v>
      </c>
      <c r="M22" s="1017">
        <f t="shared" ref="M22:M28" si="13">L22*92</f>
        <v>39529.333333333336</v>
      </c>
      <c r="N22" s="1015">
        <v>412</v>
      </c>
      <c r="O22" s="1018">
        <v>432</v>
      </c>
      <c r="P22" s="1018">
        <v>398</v>
      </c>
      <c r="Q22" s="1016">
        <f t="shared" ref="Q22:Q29" si="14">SUM(N22:P22)/3</f>
        <v>414</v>
      </c>
      <c r="R22" s="1017">
        <f t="shared" ref="R22:R28" si="15">Q22*90</f>
        <v>37260</v>
      </c>
      <c r="S22" s="1015">
        <v>408</v>
      </c>
      <c r="T22" s="1018">
        <v>396.97</v>
      </c>
      <c r="U22" s="1019">
        <v>386</v>
      </c>
      <c r="V22" s="1016">
        <f t="shared" ref="V22:V29" si="16">SUM(S22:U22)/3</f>
        <v>396.99</v>
      </c>
      <c r="W22" s="1020">
        <f t="shared" ref="W22:W28" si="17">V22*91</f>
        <v>36126.090000000004</v>
      </c>
      <c r="X22" s="1021">
        <f>SUM(D22+E22+F22+I22+J22+K22+N22+O22+P22+S22+T22+U22)/12</f>
        <v>430.2983333333334</v>
      </c>
      <c r="Y22" s="1022">
        <f t="shared" ref="Y22:Y27" si="18">X22*365</f>
        <v>157058.89166666669</v>
      </c>
    </row>
    <row r="23" spans="1:25" ht="15" customHeight="1" thickBot="1" x14ac:dyDescent="0.3">
      <c r="A23" s="50" t="s">
        <v>144</v>
      </c>
      <c r="B23" s="498">
        <v>35</v>
      </c>
      <c r="C23" s="498" t="s">
        <v>114</v>
      </c>
      <c r="D23" s="5">
        <f>9.81+5.68</f>
        <v>15.49</v>
      </c>
      <c r="E23" s="5">
        <v>9</v>
      </c>
      <c r="F23" s="5">
        <v>10</v>
      </c>
      <c r="G23" s="63">
        <f t="shared" si="10"/>
        <v>11.496666666666668</v>
      </c>
      <c r="H23" s="108">
        <f t="shared" si="11"/>
        <v>1057.6933333333334</v>
      </c>
      <c r="I23" s="5">
        <v>12</v>
      </c>
      <c r="J23" s="5">
        <v>16</v>
      </c>
      <c r="K23" s="5">
        <v>14</v>
      </c>
      <c r="L23" s="63">
        <f t="shared" si="12"/>
        <v>14</v>
      </c>
      <c r="M23" s="108">
        <f t="shared" si="13"/>
        <v>1288</v>
      </c>
      <c r="N23" s="5">
        <f>11+4</f>
        <v>15</v>
      </c>
      <c r="O23" s="75">
        <f>11+4</f>
        <v>15</v>
      </c>
      <c r="P23" s="75">
        <f>11+4</f>
        <v>15</v>
      </c>
      <c r="Q23" s="63">
        <f t="shared" si="14"/>
        <v>15</v>
      </c>
      <c r="R23" s="108">
        <f t="shared" si="15"/>
        <v>1350</v>
      </c>
      <c r="S23" s="5">
        <v>15</v>
      </c>
      <c r="T23" s="75">
        <f>9.55+4</f>
        <v>13.55</v>
      </c>
      <c r="U23" s="76">
        <v>12</v>
      </c>
      <c r="V23" s="63">
        <f t="shared" si="16"/>
        <v>13.516666666666666</v>
      </c>
      <c r="W23" s="111">
        <f t="shared" si="17"/>
        <v>1230.0166666666667</v>
      </c>
      <c r="X23" s="64">
        <f>SUM(D23+E23+F23+I23+J23+K23+N23+O23+P23+S23+T23+U23)/12</f>
        <v>13.503333333333336</v>
      </c>
      <c r="Y23" s="65">
        <f t="shared" si="18"/>
        <v>4928.7166666666672</v>
      </c>
    </row>
    <row r="24" spans="1:25" ht="15" customHeight="1" thickBot="1" x14ac:dyDescent="0.3">
      <c r="A24" s="50" t="s">
        <v>146</v>
      </c>
      <c r="B24" s="498">
        <v>26</v>
      </c>
      <c r="C24" s="498" t="s">
        <v>114</v>
      </c>
      <c r="D24" s="5">
        <v>14</v>
      </c>
      <c r="E24" s="5">
        <v>15</v>
      </c>
      <c r="F24" s="5">
        <v>15</v>
      </c>
      <c r="G24" s="63">
        <f t="shared" si="10"/>
        <v>14.666666666666666</v>
      </c>
      <c r="H24" s="108">
        <f t="shared" si="11"/>
        <v>1349.3333333333333</v>
      </c>
      <c r="I24" s="5">
        <v>15</v>
      </c>
      <c r="J24" s="5">
        <v>15</v>
      </c>
      <c r="K24" s="5">
        <v>16</v>
      </c>
      <c r="L24" s="63">
        <f t="shared" si="12"/>
        <v>15.333333333333334</v>
      </c>
      <c r="M24" s="108">
        <f t="shared" si="13"/>
        <v>1410.6666666666667</v>
      </c>
      <c r="N24" s="5">
        <v>14</v>
      </c>
      <c r="O24" s="75">
        <v>14</v>
      </c>
      <c r="P24" s="75">
        <v>17</v>
      </c>
      <c r="Q24" s="63">
        <f t="shared" si="14"/>
        <v>15</v>
      </c>
      <c r="R24" s="108">
        <f t="shared" si="15"/>
        <v>1350</v>
      </c>
      <c r="S24" s="5">
        <v>21</v>
      </c>
      <c r="T24" s="75">
        <v>23.13</v>
      </c>
      <c r="U24" s="76">
        <v>21</v>
      </c>
      <c r="V24" s="63">
        <f t="shared" si="16"/>
        <v>21.709999999999997</v>
      </c>
      <c r="W24" s="111">
        <f t="shared" si="17"/>
        <v>1975.6099999999997</v>
      </c>
      <c r="X24" s="64">
        <f>SUM(D24+E24+F24+I24+J24+K24+N24+O24+P24+S24+T24+U24)/12</f>
        <v>16.677499999999998</v>
      </c>
      <c r="Y24" s="65">
        <f t="shared" si="18"/>
        <v>6087.2874999999995</v>
      </c>
    </row>
    <row r="25" spans="1:25" ht="15" customHeight="1" thickBot="1" x14ac:dyDescent="0.3">
      <c r="A25" s="50" t="s">
        <v>145</v>
      </c>
      <c r="B25" s="498" t="s">
        <v>460</v>
      </c>
      <c r="C25" s="498" t="s">
        <v>114</v>
      </c>
      <c r="D25" s="5">
        <v>335</v>
      </c>
      <c r="E25" s="5">
        <v>303</v>
      </c>
      <c r="F25" s="5">
        <v>291</v>
      </c>
      <c r="G25" s="63">
        <f t="shared" si="10"/>
        <v>309.66666666666669</v>
      </c>
      <c r="H25" s="108">
        <f t="shared" si="11"/>
        <v>28489.333333333336</v>
      </c>
      <c r="I25" s="5">
        <v>282</v>
      </c>
      <c r="J25" s="5">
        <v>279</v>
      </c>
      <c r="K25" s="5">
        <v>286</v>
      </c>
      <c r="L25" s="63">
        <f t="shared" si="12"/>
        <v>282.33333333333331</v>
      </c>
      <c r="M25" s="108">
        <f t="shared" si="13"/>
        <v>25974.666666666664</v>
      </c>
      <c r="N25" s="5">
        <v>275</v>
      </c>
      <c r="O25" s="75">
        <v>263</v>
      </c>
      <c r="P25" s="75">
        <v>253</v>
      </c>
      <c r="Q25" s="63">
        <f t="shared" si="14"/>
        <v>263.66666666666669</v>
      </c>
      <c r="R25" s="108">
        <f t="shared" si="15"/>
        <v>23730</v>
      </c>
      <c r="S25" s="5">
        <v>290</v>
      </c>
      <c r="T25" s="75">
        <v>299</v>
      </c>
      <c r="U25" s="76">
        <v>286</v>
      </c>
      <c r="V25" s="63">
        <f t="shared" si="16"/>
        <v>291.66666666666669</v>
      </c>
      <c r="W25" s="111">
        <f t="shared" si="17"/>
        <v>26541.666666666668</v>
      </c>
      <c r="X25" s="64">
        <f>SUM(D25+E25+F25+I25+J25+K25+N25+O25+P25+S25+T25+U25)/12</f>
        <v>286.83333333333331</v>
      </c>
      <c r="Y25" s="65">
        <f t="shared" si="18"/>
        <v>104694.16666666666</v>
      </c>
    </row>
    <row r="26" spans="1:25" ht="15" customHeight="1" thickBot="1" x14ac:dyDescent="0.3">
      <c r="A26" s="50" t="s">
        <v>359</v>
      </c>
      <c r="B26" s="498">
        <v>1050</v>
      </c>
      <c r="C26" s="498" t="s">
        <v>114</v>
      </c>
      <c r="D26" s="5" t="s">
        <v>591</v>
      </c>
      <c r="E26" s="5" t="s">
        <v>591</v>
      </c>
      <c r="F26" s="5" t="s">
        <v>591</v>
      </c>
      <c r="G26" s="63">
        <f t="shared" si="10"/>
        <v>0</v>
      </c>
      <c r="H26" s="108">
        <f t="shared" si="11"/>
        <v>0</v>
      </c>
      <c r="I26" s="5" t="s">
        <v>591</v>
      </c>
      <c r="J26" s="5" t="s">
        <v>591</v>
      </c>
      <c r="K26" s="5" t="s">
        <v>591</v>
      </c>
      <c r="L26" s="63">
        <f t="shared" si="12"/>
        <v>0</v>
      </c>
      <c r="M26" s="108">
        <f t="shared" si="13"/>
        <v>0</v>
      </c>
      <c r="N26" s="5" t="s">
        <v>591</v>
      </c>
      <c r="O26" s="75" t="s">
        <v>591</v>
      </c>
      <c r="P26" s="75" t="s">
        <v>591</v>
      </c>
      <c r="Q26" s="63">
        <f t="shared" si="14"/>
        <v>0</v>
      </c>
      <c r="R26" s="108">
        <f t="shared" si="15"/>
        <v>0</v>
      </c>
      <c r="S26" s="5" t="s">
        <v>591</v>
      </c>
      <c r="T26" s="75" t="s">
        <v>591</v>
      </c>
      <c r="U26" s="76" t="s">
        <v>591</v>
      </c>
      <c r="V26" s="63">
        <f t="shared" si="16"/>
        <v>0</v>
      </c>
      <c r="W26" s="111">
        <f t="shared" si="17"/>
        <v>0</v>
      </c>
      <c r="X26" s="64">
        <v>0</v>
      </c>
      <c r="Y26" s="65">
        <f t="shared" si="18"/>
        <v>0</v>
      </c>
    </row>
    <row r="27" spans="1:25" ht="15" customHeight="1" thickBot="1" x14ac:dyDescent="0.3">
      <c r="A27" s="50" t="s">
        <v>148</v>
      </c>
      <c r="B27" s="498" t="s">
        <v>460</v>
      </c>
      <c r="C27" s="498" t="s">
        <v>114</v>
      </c>
      <c r="D27" s="5">
        <v>9</v>
      </c>
      <c r="E27" s="5">
        <v>9</v>
      </c>
      <c r="F27" s="5">
        <v>9</v>
      </c>
      <c r="G27" s="63">
        <f t="shared" si="10"/>
        <v>9</v>
      </c>
      <c r="H27" s="108">
        <f t="shared" si="11"/>
        <v>828</v>
      </c>
      <c r="I27" s="5">
        <v>9</v>
      </c>
      <c r="J27" s="5">
        <v>9</v>
      </c>
      <c r="K27" s="5">
        <v>9</v>
      </c>
      <c r="L27" s="63">
        <f t="shared" si="12"/>
        <v>9</v>
      </c>
      <c r="M27" s="108">
        <f t="shared" si="13"/>
        <v>828</v>
      </c>
      <c r="N27" s="5">
        <v>9</v>
      </c>
      <c r="O27" s="75">
        <v>9</v>
      </c>
      <c r="P27" s="75">
        <v>9</v>
      </c>
      <c r="Q27" s="63">
        <f t="shared" si="14"/>
        <v>9</v>
      </c>
      <c r="R27" s="108">
        <f t="shared" si="15"/>
        <v>810</v>
      </c>
      <c r="S27" s="5">
        <v>9</v>
      </c>
      <c r="T27" s="75">
        <v>9</v>
      </c>
      <c r="U27" s="76">
        <v>9</v>
      </c>
      <c r="V27" s="63">
        <f t="shared" si="16"/>
        <v>9</v>
      </c>
      <c r="W27" s="112">
        <f t="shared" si="17"/>
        <v>819</v>
      </c>
      <c r="X27" s="64">
        <f>SUM(D27+E27+F27+I27+J27+K27+N27+O27+P27+S27+T27+U27)/12</f>
        <v>9</v>
      </c>
      <c r="Y27" s="65">
        <f t="shared" si="18"/>
        <v>3285</v>
      </c>
    </row>
    <row r="28" spans="1:25" ht="15" customHeight="1" thickBot="1" x14ac:dyDescent="0.3">
      <c r="A28" s="53" t="s">
        <v>152</v>
      </c>
      <c r="B28" s="37"/>
      <c r="C28" s="37"/>
      <c r="D28" s="80">
        <f>SUM(D22:D27)</f>
        <v>869.1</v>
      </c>
      <c r="E28" s="80">
        <f>SUM(E22:E27)</f>
        <v>806</v>
      </c>
      <c r="F28" s="80">
        <f>SUM(F22:F27)</f>
        <v>801</v>
      </c>
      <c r="G28" s="68">
        <f t="shared" si="10"/>
        <v>825.36666666666667</v>
      </c>
      <c r="H28" s="108">
        <f t="shared" si="11"/>
        <v>75933.733333333337</v>
      </c>
      <c r="I28" s="94">
        <f>SUM(I22:I27)</f>
        <v>748</v>
      </c>
      <c r="J28" s="80">
        <f>SUM(J22:J27)</f>
        <v>754</v>
      </c>
      <c r="K28" s="80">
        <f>SUM(K22:K27)</f>
        <v>749</v>
      </c>
      <c r="L28" s="68">
        <f t="shared" si="12"/>
        <v>750.33333333333337</v>
      </c>
      <c r="M28" s="119">
        <f t="shared" si="13"/>
        <v>69030.666666666672</v>
      </c>
      <c r="N28" s="94">
        <f>SUM(N22:N27)</f>
        <v>725</v>
      </c>
      <c r="O28" s="80">
        <f>SUM(O22:O27)</f>
        <v>733</v>
      </c>
      <c r="P28" s="80">
        <f>SUM(P22:P27)</f>
        <v>692</v>
      </c>
      <c r="Q28" s="68">
        <f t="shared" si="14"/>
        <v>716.66666666666663</v>
      </c>
      <c r="R28" s="108">
        <f t="shared" si="15"/>
        <v>64500</v>
      </c>
      <c r="S28" s="94">
        <f>SUM(S22:S27)</f>
        <v>743</v>
      </c>
      <c r="T28" s="80">
        <f>SUM(T22:T27)</f>
        <v>741.65000000000009</v>
      </c>
      <c r="U28" s="81">
        <f>SUM(U22:U27)</f>
        <v>714</v>
      </c>
      <c r="V28" s="68">
        <f t="shared" si="16"/>
        <v>732.88333333333333</v>
      </c>
      <c r="W28" s="120">
        <f t="shared" si="17"/>
        <v>66692.383333333331</v>
      </c>
      <c r="X28" s="69">
        <f>SUM(X22:X27)</f>
        <v>756.3125</v>
      </c>
      <c r="Y28" s="69">
        <f>SUM(Y22:Y27)</f>
        <v>276054.0625</v>
      </c>
    </row>
    <row r="29" spans="1:25" ht="15" customHeight="1" thickBot="1" x14ac:dyDescent="0.3">
      <c r="A29" s="54" t="s">
        <v>156</v>
      </c>
      <c r="B29" s="38"/>
      <c r="C29" s="38"/>
      <c r="D29" s="80">
        <f>D20+D28</f>
        <v>5554</v>
      </c>
      <c r="E29" s="80">
        <f>E20+E28</f>
        <v>5442</v>
      </c>
      <c r="F29" s="80">
        <f>F20+F28</f>
        <v>5357</v>
      </c>
      <c r="G29" s="80">
        <f>G20+G28</f>
        <v>5451</v>
      </c>
      <c r="H29" s="68">
        <f>SUM(H20+H28)</f>
        <v>501492</v>
      </c>
      <c r="I29" s="80">
        <f>I20+I28</f>
        <v>5358</v>
      </c>
      <c r="J29" s="80">
        <f>J20+J28</f>
        <v>5163.4000000000005</v>
      </c>
      <c r="K29" s="80">
        <f>K20+K28</f>
        <v>5120.3999999999996</v>
      </c>
      <c r="L29" s="120">
        <f t="shared" si="12"/>
        <v>5213.9333333333334</v>
      </c>
      <c r="M29" s="68">
        <f>SUM(M20+M28)</f>
        <v>479681.8666666667</v>
      </c>
      <c r="N29" s="94">
        <f>N20+N28</f>
        <v>4982</v>
      </c>
      <c r="O29" s="80">
        <f>O20+O28</f>
        <v>4946.1000000000004</v>
      </c>
      <c r="P29" s="80">
        <f>P20+P28</f>
        <v>4916.1000000000004</v>
      </c>
      <c r="Q29" s="99">
        <f t="shared" si="14"/>
        <v>4948.0666666666666</v>
      </c>
      <c r="R29" s="68">
        <f>SUM(R20+R28)</f>
        <v>445326.00000000006</v>
      </c>
      <c r="S29" s="94">
        <f>S20+S28</f>
        <v>4997</v>
      </c>
      <c r="T29" s="80">
        <f>T20+T28</f>
        <v>5001.3500000000004</v>
      </c>
      <c r="U29" s="81">
        <f>U20+U28</f>
        <v>4964.5</v>
      </c>
      <c r="V29" s="99">
        <f t="shared" si="16"/>
        <v>4987.6166666666668</v>
      </c>
      <c r="W29" s="68">
        <f>SUM(W20+W28)</f>
        <v>453873.1166666667</v>
      </c>
      <c r="X29" s="80">
        <f>X20+X28</f>
        <v>5150.1541666666672</v>
      </c>
      <c r="Y29" s="82">
        <f>Y20+Y28</f>
        <v>1880214.1708333334</v>
      </c>
    </row>
    <row r="30" spans="1:25" ht="15" customHeight="1" x14ac:dyDescent="0.25">
      <c r="A30" s="114" t="s">
        <v>924</v>
      </c>
      <c r="B30" s="19"/>
      <c r="C30" s="19"/>
      <c r="D30" s="115"/>
      <c r="E30" s="115"/>
      <c r="F30" s="115"/>
      <c r="G30" s="115"/>
      <c r="H30" s="113"/>
      <c r="I30" s="115"/>
      <c r="J30" s="115"/>
      <c r="K30" s="115"/>
      <c r="L30" s="139"/>
      <c r="M30" s="113"/>
      <c r="N30" s="115"/>
      <c r="O30" s="115"/>
      <c r="P30" s="115"/>
      <c r="Q30" s="93"/>
      <c r="R30" s="113"/>
      <c r="S30" s="115"/>
      <c r="T30" s="115"/>
      <c r="U30" s="115"/>
      <c r="V30" s="93"/>
      <c r="W30" s="113"/>
      <c r="X30" s="115"/>
      <c r="Y30" s="115"/>
    </row>
    <row r="31" spans="1:25" ht="15" customHeight="1" x14ac:dyDescent="0.25">
      <c r="A31" s="114" t="s">
        <v>921</v>
      </c>
      <c r="B31" s="19"/>
      <c r="C31" s="19"/>
      <c r="D31" s="115"/>
      <c r="E31" s="115"/>
      <c r="F31" s="115"/>
      <c r="G31" s="115"/>
      <c r="H31" s="113"/>
      <c r="I31" s="115"/>
      <c r="J31" s="115"/>
      <c r="K31" s="115"/>
      <c r="L31" s="139"/>
      <c r="M31" s="113"/>
      <c r="N31" s="115"/>
      <c r="O31" s="115"/>
      <c r="P31" s="115"/>
      <c r="Q31" s="93"/>
      <c r="R31" s="113"/>
      <c r="S31" s="115"/>
      <c r="T31" s="115"/>
      <c r="U31" s="115"/>
      <c r="V31" s="93"/>
      <c r="W31" s="113"/>
      <c r="X31" s="115"/>
      <c r="Y31" s="115"/>
    </row>
    <row r="32" spans="1:25" ht="15" customHeight="1" x14ac:dyDescent="0.2">
      <c r="A32" s="45"/>
      <c r="B32" s="10"/>
      <c r="C32" s="10"/>
      <c r="D32" s="13"/>
      <c r="E32" s="13"/>
      <c r="F32" s="13"/>
      <c r="G32" s="13"/>
      <c r="H32" s="13"/>
      <c r="I32" s="13"/>
      <c r="J32" s="13"/>
      <c r="K32" s="13"/>
      <c r="L32" s="13"/>
      <c r="M32" s="13"/>
      <c r="N32" s="13"/>
      <c r="O32" s="13"/>
      <c r="P32" s="13"/>
      <c r="Q32" s="13"/>
      <c r="R32" s="13"/>
      <c r="S32" s="13"/>
      <c r="T32" s="13"/>
      <c r="U32" s="13"/>
      <c r="V32" s="13"/>
      <c r="W32" s="13"/>
      <c r="X32" s="13"/>
      <c r="Y32" s="13"/>
    </row>
    <row r="33" spans="1:25" ht="13.5" thickBot="1" x14ac:dyDescent="0.25"/>
    <row r="34" spans="1:25" ht="15" customHeight="1" thickBot="1" x14ac:dyDescent="0.3">
      <c r="A34" s="723" t="s">
        <v>653</v>
      </c>
      <c r="B34" s="1200" t="s">
        <v>153</v>
      </c>
      <c r="C34" s="1201"/>
      <c r="D34" s="1201"/>
      <c r="E34" s="1201"/>
      <c r="F34" s="1201"/>
      <c r="G34" s="1201"/>
      <c r="H34" s="1201"/>
      <c r="I34" s="1201"/>
      <c r="J34" s="1201"/>
      <c r="K34" s="1201"/>
      <c r="L34" s="1201"/>
      <c r="M34" s="1201"/>
      <c r="N34" s="1201"/>
      <c r="O34" s="1201"/>
      <c r="P34" s="1201"/>
      <c r="Q34" s="1201"/>
      <c r="R34" s="1201"/>
      <c r="S34" s="1201"/>
      <c r="T34" s="1201"/>
      <c r="U34" s="1201"/>
      <c r="V34" s="39"/>
      <c r="W34" s="39"/>
      <c r="X34" s="92"/>
      <c r="Y34" s="13"/>
    </row>
    <row r="35" spans="1:25" ht="15" customHeight="1" x14ac:dyDescent="0.25">
      <c r="A35" s="56"/>
      <c r="B35" s="40" t="s">
        <v>650</v>
      </c>
      <c r="C35" s="1188" t="s">
        <v>651</v>
      </c>
      <c r="D35" s="57"/>
      <c r="E35" s="58"/>
      <c r="F35" s="58"/>
      <c r="G35" s="1192" t="s">
        <v>258</v>
      </c>
      <c r="H35" s="1194" t="s">
        <v>278</v>
      </c>
      <c r="I35" s="58"/>
      <c r="J35" s="58"/>
      <c r="K35" s="58"/>
      <c r="L35" s="1192" t="s">
        <v>258</v>
      </c>
      <c r="M35" s="1194" t="s">
        <v>278</v>
      </c>
      <c r="N35" s="58"/>
      <c r="O35" s="58"/>
      <c r="P35" s="58"/>
      <c r="Q35" s="1192" t="s">
        <v>258</v>
      </c>
      <c r="R35" s="1184" t="s">
        <v>278</v>
      </c>
      <c r="S35" s="58"/>
      <c r="T35" s="58"/>
      <c r="U35" s="59"/>
      <c r="V35" s="1192" t="s">
        <v>258</v>
      </c>
      <c r="W35" s="1184" t="s">
        <v>278</v>
      </c>
      <c r="X35" s="1196" t="s">
        <v>154</v>
      </c>
      <c r="Y35" s="1198" t="s">
        <v>155</v>
      </c>
    </row>
    <row r="36" spans="1:25" ht="15" customHeight="1" thickBot="1" x14ac:dyDescent="0.3">
      <c r="A36" s="47" t="s">
        <v>56</v>
      </c>
      <c r="B36" s="41" t="s">
        <v>652</v>
      </c>
      <c r="C36" s="1202"/>
      <c r="D36" s="60">
        <v>42186</v>
      </c>
      <c r="E36" s="61">
        <v>42217</v>
      </c>
      <c r="F36" s="61">
        <v>42248</v>
      </c>
      <c r="G36" s="1193"/>
      <c r="H36" s="1195"/>
      <c r="I36" s="61">
        <v>42278</v>
      </c>
      <c r="J36" s="61">
        <v>42309</v>
      </c>
      <c r="K36" s="61">
        <v>42339</v>
      </c>
      <c r="L36" s="1193"/>
      <c r="M36" s="1195"/>
      <c r="N36" s="61">
        <v>42370</v>
      </c>
      <c r="O36" s="61">
        <v>42401</v>
      </c>
      <c r="P36" s="61">
        <v>42430</v>
      </c>
      <c r="Q36" s="1193"/>
      <c r="R36" s="1185"/>
      <c r="S36" s="61">
        <v>42461</v>
      </c>
      <c r="T36" s="61">
        <v>42491</v>
      </c>
      <c r="U36" s="62">
        <v>42522</v>
      </c>
      <c r="V36" s="1193"/>
      <c r="W36" s="1185"/>
      <c r="X36" s="1197"/>
      <c r="Y36" s="1199"/>
    </row>
    <row r="37" spans="1:25" ht="15" customHeight="1" thickBot="1" x14ac:dyDescent="0.3">
      <c r="A37" s="48" t="s">
        <v>310</v>
      </c>
      <c r="B37" s="42">
        <v>863</v>
      </c>
      <c r="C37" s="42">
        <v>829</v>
      </c>
      <c r="D37" s="125">
        <v>844.8</v>
      </c>
      <c r="E37" s="125">
        <v>857.9</v>
      </c>
      <c r="F37" s="117">
        <v>798.3</v>
      </c>
      <c r="G37" s="63">
        <f t="shared" ref="G37:G46" si="19">SUM(D37:F37)/3</f>
        <v>833.66666666666663</v>
      </c>
      <c r="H37" s="108">
        <f>G37*92</f>
        <v>76697.333333333328</v>
      </c>
      <c r="I37" s="117">
        <v>832.8</v>
      </c>
      <c r="J37" s="117">
        <v>871</v>
      </c>
      <c r="K37" s="117">
        <v>857.8</v>
      </c>
      <c r="L37" s="63">
        <f>SUM(I37:K37)/3</f>
        <v>853.86666666666667</v>
      </c>
      <c r="M37" s="108">
        <f>L37*92</f>
        <v>78555.733333333337</v>
      </c>
      <c r="N37" s="117">
        <v>842</v>
      </c>
      <c r="O37" s="85">
        <v>819.6</v>
      </c>
      <c r="P37" s="85">
        <v>797.3</v>
      </c>
      <c r="Q37" s="63">
        <f>SUM(N37:P37)/3</f>
        <v>819.63333333333321</v>
      </c>
      <c r="R37" s="108">
        <f>Q37*90</f>
        <v>73766.999999999985</v>
      </c>
      <c r="S37" s="117">
        <v>806.6</v>
      </c>
      <c r="T37" s="85">
        <v>770.6</v>
      </c>
      <c r="U37" s="135">
        <v>811</v>
      </c>
      <c r="V37" s="63">
        <f>SUM(S37:U37)/3</f>
        <v>796.06666666666661</v>
      </c>
      <c r="W37" s="111">
        <f>V37*91</f>
        <v>72442.066666666666</v>
      </c>
      <c r="X37" s="64">
        <f>SUM(D37+E37+F37+I37+J37+K37+N37+O37+P37+S37+T37+U37)/12</f>
        <v>825.80833333333339</v>
      </c>
      <c r="Y37" s="65">
        <f>X37*365</f>
        <v>301420.04166666669</v>
      </c>
    </row>
    <row r="38" spans="1:25" ht="15" customHeight="1" thickBot="1" x14ac:dyDescent="0.3">
      <c r="A38" s="49" t="s">
        <v>138</v>
      </c>
      <c r="B38" s="42">
        <v>128</v>
      </c>
      <c r="C38" s="42">
        <v>126</v>
      </c>
      <c r="D38" s="126">
        <v>103.5</v>
      </c>
      <c r="E38" s="126">
        <v>107.7</v>
      </c>
      <c r="F38" s="118">
        <v>116.4</v>
      </c>
      <c r="G38" s="63">
        <f t="shared" si="19"/>
        <v>109.2</v>
      </c>
      <c r="H38" s="108">
        <f>G38*92</f>
        <v>10046.4</v>
      </c>
      <c r="I38" s="118">
        <v>120.5</v>
      </c>
      <c r="J38" s="118">
        <v>118.1</v>
      </c>
      <c r="K38" s="118">
        <v>92.5</v>
      </c>
      <c r="L38" s="63">
        <f>SUM(I38:K38)/3</f>
        <v>110.36666666666667</v>
      </c>
      <c r="M38" s="108">
        <f>L38*92</f>
        <v>10153.733333333334</v>
      </c>
      <c r="N38" s="118">
        <v>98.8</v>
      </c>
      <c r="O38" s="86">
        <v>110.4</v>
      </c>
      <c r="P38" s="86">
        <v>123</v>
      </c>
      <c r="Q38" s="63">
        <f>SUM(N38:P38)/3</f>
        <v>110.73333333333333</v>
      </c>
      <c r="R38" s="108">
        <f>Q38*90</f>
        <v>9966</v>
      </c>
      <c r="S38" s="118">
        <v>119.4</v>
      </c>
      <c r="T38" s="86">
        <v>116.4</v>
      </c>
      <c r="U38" s="89">
        <v>108.6</v>
      </c>
      <c r="V38" s="63">
        <f>SUM(S38:U38)/3</f>
        <v>114.8</v>
      </c>
      <c r="W38" s="111">
        <f>V38*91</f>
        <v>10446.799999999999</v>
      </c>
      <c r="X38" s="64">
        <f t="shared" ref="X38:X49" si="20">SUM(D38+E38+F38+I38+J38+K38+N38+O38+P38+S38+T38+U38)/12</f>
        <v>111.27499999999999</v>
      </c>
      <c r="Y38" s="65">
        <f t="shared" ref="Y38:Y50" si="21">X38*365</f>
        <v>40615.375</v>
      </c>
    </row>
    <row r="39" spans="1:25" ht="15" customHeight="1" thickBot="1" x14ac:dyDescent="0.3">
      <c r="A39" s="50" t="s">
        <v>337</v>
      </c>
      <c r="B39" s="42">
        <v>259</v>
      </c>
      <c r="C39" s="42">
        <v>248</v>
      </c>
      <c r="D39" s="4">
        <v>265.7</v>
      </c>
      <c r="E39" s="4">
        <v>269.7</v>
      </c>
      <c r="F39" s="3">
        <v>255.4</v>
      </c>
      <c r="G39" s="63">
        <f t="shared" si="19"/>
        <v>263.59999999999997</v>
      </c>
      <c r="H39" s="108">
        <f>G39*92</f>
        <v>24251.199999999997</v>
      </c>
      <c r="I39" s="3">
        <v>265.7</v>
      </c>
      <c r="J39" s="3">
        <v>266.7</v>
      </c>
      <c r="K39" s="3">
        <v>262.3</v>
      </c>
      <c r="L39" s="63">
        <f>SUM(I39:K39)/3</f>
        <v>264.90000000000003</v>
      </c>
      <c r="M39" s="108">
        <f>L39*92</f>
        <v>24370.800000000003</v>
      </c>
      <c r="N39" s="3">
        <v>268.89999999999998</v>
      </c>
      <c r="O39" s="87">
        <v>274.10000000000002</v>
      </c>
      <c r="P39" s="87">
        <v>265.8</v>
      </c>
      <c r="Q39" s="63">
        <f>SUM(N39:P39)/3</f>
        <v>269.59999999999997</v>
      </c>
      <c r="R39" s="108">
        <f>Q39*90</f>
        <v>24263.999999999996</v>
      </c>
      <c r="S39" s="3">
        <v>283.39999999999998</v>
      </c>
      <c r="T39" s="87">
        <v>293.3</v>
      </c>
      <c r="U39" s="90">
        <v>281.10000000000002</v>
      </c>
      <c r="V39" s="63">
        <f>SUM(S39:U39)/3</f>
        <v>285.93333333333334</v>
      </c>
      <c r="W39" s="111">
        <f>V39*91</f>
        <v>26019.933333333334</v>
      </c>
      <c r="X39" s="64">
        <f t="shared" si="20"/>
        <v>271.00833333333338</v>
      </c>
      <c r="Y39" s="65">
        <f t="shared" si="21"/>
        <v>98918.041666666686</v>
      </c>
    </row>
    <row r="40" spans="1:25" ht="15" customHeight="1" thickBot="1" x14ac:dyDescent="0.3">
      <c r="A40" s="50" t="s">
        <v>462</v>
      </c>
      <c r="B40" s="42">
        <v>1472</v>
      </c>
      <c r="C40" s="42">
        <v>1408</v>
      </c>
      <c r="D40" s="4">
        <v>1322.1</v>
      </c>
      <c r="E40" s="4">
        <v>1316.7</v>
      </c>
      <c r="F40" s="3">
        <v>1359.4</v>
      </c>
      <c r="G40" s="63">
        <f t="shared" si="19"/>
        <v>1332.7333333333333</v>
      </c>
      <c r="H40" s="108">
        <f>G40*92</f>
        <v>122611.46666666667</v>
      </c>
      <c r="I40" s="3">
        <v>1285</v>
      </c>
      <c r="J40" s="3">
        <v>1290.5999999999999</v>
      </c>
      <c r="K40" s="3">
        <v>1258.9000000000001</v>
      </c>
      <c r="L40" s="63">
        <f>SUM(I40:K40)/3</f>
        <v>1278.1666666666667</v>
      </c>
      <c r="M40" s="108">
        <f>L40*92</f>
        <v>117591.33333333334</v>
      </c>
      <c r="N40" s="3">
        <v>1219.4000000000001</v>
      </c>
      <c r="O40" s="87">
        <v>1263.4000000000001</v>
      </c>
      <c r="P40" s="87">
        <v>1224</v>
      </c>
      <c r="Q40" s="63">
        <f>SUM(N40:P40)/3</f>
        <v>1235.6000000000001</v>
      </c>
      <c r="R40" s="108">
        <f>Q40*90</f>
        <v>111204.00000000001</v>
      </c>
      <c r="S40" s="3">
        <v>1220.8</v>
      </c>
      <c r="T40" s="87">
        <v>1210</v>
      </c>
      <c r="U40" s="90">
        <v>1127.5</v>
      </c>
      <c r="V40" s="63">
        <f>SUM(S40:U40)/3</f>
        <v>1186.1000000000001</v>
      </c>
      <c r="W40" s="111">
        <f>V40*91</f>
        <v>107935.1</v>
      </c>
      <c r="X40" s="64">
        <f t="shared" si="20"/>
        <v>1258.1499999999999</v>
      </c>
      <c r="Y40" s="65">
        <f t="shared" si="21"/>
        <v>459224.74999999994</v>
      </c>
    </row>
    <row r="41" spans="1:25" ht="15" customHeight="1" thickBot="1" x14ac:dyDescent="0.3">
      <c r="A41" s="51" t="s">
        <v>275</v>
      </c>
      <c r="B41" s="42">
        <v>404</v>
      </c>
      <c r="C41" s="42">
        <v>395</v>
      </c>
      <c r="D41" s="4">
        <v>407.6</v>
      </c>
      <c r="E41" s="4">
        <v>397.9</v>
      </c>
      <c r="F41" s="3">
        <v>408.3</v>
      </c>
      <c r="G41" s="63">
        <f t="shared" si="19"/>
        <v>404.59999999999997</v>
      </c>
      <c r="H41" s="108">
        <f t="shared" ref="H41:H50" si="22">G41*92</f>
        <v>37223.199999999997</v>
      </c>
      <c r="I41" s="3">
        <v>384</v>
      </c>
      <c r="J41" s="3">
        <v>363.6</v>
      </c>
      <c r="K41" s="3">
        <v>346</v>
      </c>
      <c r="L41" s="63">
        <f t="shared" ref="L41:L51" si="23">SUM(I41:K41)/3</f>
        <v>364.5333333333333</v>
      </c>
      <c r="M41" s="108">
        <f t="shared" ref="M41:M51" si="24">L41*92</f>
        <v>33537.066666666666</v>
      </c>
      <c r="N41" s="3">
        <v>349.5</v>
      </c>
      <c r="O41" s="87">
        <v>365.4</v>
      </c>
      <c r="P41" s="87">
        <v>365.5</v>
      </c>
      <c r="Q41" s="63">
        <f t="shared" ref="Q41:Q51" si="25">SUM(N41:P41)/3</f>
        <v>360.13333333333338</v>
      </c>
      <c r="R41" s="108">
        <f t="shared" ref="R41:R51" si="26">Q41*90</f>
        <v>32412.000000000004</v>
      </c>
      <c r="S41" s="3">
        <v>360.5</v>
      </c>
      <c r="T41" s="87">
        <v>359.7</v>
      </c>
      <c r="U41" s="90">
        <v>360.1</v>
      </c>
      <c r="V41" s="63">
        <f t="shared" ref="V41:V51" si="27">SUM(S41:U41)/3</f>
        <v>360.10000000000008</v>
      </c>
      <c r="W41" s="111">
        <f t="shared" ref="W41:W51" si="28">V41*91</f>
        <v>32769.100000000006</v>
      </c>
      <c r="X41" s="64">
        <f t="shared" si="20"/>
        <v>372.3416666666667</v>
      </c>
      <c r="Y41" s="65">
        <f t="shared" si="21"/>
        <v>135904.70833333334</v>
      </c>
    </row>
    <row r="42" spans="1:25" ht="15" customHeight="1" thickBot="1" x14ac:dyDescent="0.3">
      <c r="A42" s="50" t="s">
        <v>16</v>
      </c>
      <c r="B42" s="42">
        <v>58</v>
      </c>
      <c r="C42" s="42">
        <v>52</v>
      </c>
      <c r="D42" s="4">
        <v>57.1</v>
      </c>
      <c r="E42" s="4">
        <v>59.2</v>
      </c>
      <c r="F42" s="3">
        <v>56.4</v>
      </c>
      <c r="G42" s="63">
        <f t="shared" si="19"/>
        <v>57.56666666666667</v>
      </c>
      <c r="H42" s="108">
        <f t="shared" si="22"/>
        <v>5296.1333333333332</v>
      </c>
      <c r="I42" s="3">
        <v>57.8</v>
      </c>
      <c r="J42" s="3">
        <v>49.9</v>
      </c>
      <c r="K42" s="3">
        <v>46.7</v>
      </c>
      <c r="L42" s="63">
        <f t="shared" si="23"/>
        <v>51.466666666666661</v>
      </c>
      <c r="M42" s="108">
        <f t="shared" si="24"/>
        <v>4734.9333333333325</v>
      </c>
      <c r="N42" s="3">
        <v>47.7</v>
      </c>
      <c r="O42" s="87">
        <v>54.7</v>
      </c>
      <c r="P42" s="87">
        <v>55.7</v>
      </c>
      <c r="Q42" s="63">
        <f t="shared" si="25"/>
        <v>52.70000000000001</v>
      </c>
      <c r="R42" s="108">
        <f t="shared" si="26"/>
        <v>4743.0000000000009</v>
      </c>
      <c r="S42" s="3">
        <v>55.3</v>
      </c>
      <c r="T42" s="87">
        <v>51</v>
      </c>
      <c r="U42" s="90">
        <v>51.1</v>
      </c>
      <c r="V42" s="63">
        <f t="shared" si="27"/>
        <v>52.466666666666669</v>
      </c>
      <c r="W42" s="111">
        <f t="shared" si="28"/>
        <v>4774.4666666666672</v>
      </c>
      <c r="X42" s="64">
        <f t="shared" si="20"/>
        <v>53.54999999999999</v>
      </c>
      <c r="Y42" s="65">
        <f t="shared" si="21"/>
        <v>19545.749999999996</v>
      </c>
    </row>
    <row r="43" spans="1:25" ht="15" customHeight="1" thickBot="1" x14ac:dyDescent="0.3">
      <c r="A43" s="50" t="s">
        <v>17</v>
      </c>
      <c r="B43" s="42">
        <v>232</v>
      </c>
      <c r="C43" s="42">
        <v>226</v>
      </c>
      <c r="D43" s="4">
        <v>232.6</v>
      </c>
      <c r="E43" s="4">
        <v>234.1</v>
      </c>
      <c r="F43" s="3">
        <v>226.9</v>
      </c>
      <c r="G43" s="63">
        <f t="shared" si="19"/>
        <v>231.20000000000002</v>
      </c>
      <c r="H43" s="108">
        <f t="shared" si="22"/>
        <v>21270.400000000001</v>
      </c>
      <c r="I43" s="3">
        <v>220.9</v>
      </c>
      <c r="J43" s="3">
        <v>229</v>
      </c>
      <c r="K43" s="3">
        <v>227.2</v>
      </c>
      <c r="L43" s="63">
        <f t="shared" si="23"/>
        <v>225.69999999999996</v>
      </c>
      <c r="M43" s="108">
        <f t="shared" si="24"/>
        <v>20764.399999999998</v>
      </c>
      <c r="N43" s="3">
        <v>229.1</v>
      </c>
      <c r="O43" s="87">
        <v>234.4</v>
      </c>
      <c r="P43" s="87">
        <v>224.3</v>
      </c>
      <c r="Q43" s="63">
        <f t="shared" si="25"/>
        <v>229.26666666666665</v>
      </c>
      <c r="R43" s="108">
        <f t="shared" si="26"/>
        <v>20634</v>
      </c>
      <c r="S43" s="3">
        <v>210.7</v>
      </c>
      <c r="T43" s="87">
        <v>206.3</v>
      </c>
      <c r="U43" s="90">
        <v>208.8</v>
      </c>
      <c r="V43" s="63">
        <f t="shared" si="27"/>
        <v>208.6</v>
      </c>
      <c r="W43" s="111">
        <f t="shared" si="28"/>
        <v>18982.599999999999</v>
      </c>
      <c r="X43" s="64">
        <f t="shared" si="20"/>
        <v>223.69166666666669</v>
      </c>
      <c r="Y43" s="65">
        <f t="shared" si="21"/>
        <v>81647.458333333343</v>
      </c>
    </row>
    <row r="44" spans="1:25" ht="15" customHeight="1" thickBot="1" x14ac:dyDescent="0.3">
      <c r="A44" s="50" t="s">
        <v>140</v>
      </c>
      <c r="B44" s="42">
        <v>102</v>
      </c>
      <c r="C44" s="42">
        <v>98</v>
      </c>
      <c r="D44" s="4">
        <v>99.5</v>
      </c>
      <c r="E44" s="4">
        <v>101.7</v>
      </c>
      <c r="F44" s="3">
        <v>100.2</v>
      </c>
      <c r="G44" s="63">
        <f t="shared" si="19"/>
        <v>100.46666666666665</v>
      </c>
      <c r="H44" s="108">
        <f t="shared" si="22"/>
        <v>9242.9333333333325</v>
      </c>
      <c r="I44" s="3">
        <v>102.6</v>
      </c>
      <c r="J44" s="3">
        <v>99.6</v>
      </c>
      <c r="K44" s="3">
        <v>99.3</v>
      </c>
      <c r="L44" s="63">
        <f t="shared" si="23"/>
        <v>100.5</v>
      </c>
      <c r="M44" s="108">
        <f t="shared" si="24"/>
        <v>9246</v>
      </c>
      <c r="N44" s="3">
        <v>104.3</v>
      </c>
      <c r="O44" s="87">
        <v>103.5</v>
      </c>
      <c r="P44" s="87">
        <v>96.3</v>
      </c>
      <c r="Q44" s="63">
        <f t="shared" si="25"/>
        <v>101.36666666666667</v>
      </c>
      <c r="R44" s="108">
        <f t="shared" si="26"/>
        <v>9123</v>
      </c>
      <c r="S44" s="3">
        <v>101.9</v>
      </c>
      <c r="T44" s="87">
        <v>100.3</v>
      </c>
      <c r="U44" s="90">
        <v>95.1</v>
      </c>
      <c r="V44" s="63">
        <f t="shared" si="27"/>
        <v>99.09999999999998</v>
      </c>
      <c r="W44" s="111">
        <f t="shared" si="28"/>
        <v>9018.0999999999985</v>
      </c>
      <c r="X44" s="64">
        <f t="shared" si="20"/>
        <v>100.35833333333331</v>
      </c>
      <c r="Y44" s="65">
        <f t="shared" si="21"/>
        <v>36630.791666666657</v>
      </c>
    </row>
    <row r="45" spans="1:25" ht="15" customHeight="1" thickBot="1" x14ac:dyDescent="0.3">
      <c r="A45" s="51" t="s">
        <v>276</v>
      </c>
      <c r="B45" s="42">
        <f>338+176</f>
        <v>514</v>
      </c>
      <c r="C45" s="42">
        <f>327+176</f>
        <v>503</v>
      </c>
      <c r="D45" s="4">
        <f>300.8+176</f>
        <v>476.8</v>
      </c>
      <c r="E45" s="4">
        <f>311.9+176</f>
        <v>487.9</v>
      </c>
      <c r="F45" s="3">
        <f>322.2+175.7</f>
        <v>497.9</v>
      </c>
      <c r="G45" s="63">
        <f t="shared" si="19"/>
        <v>487.5333333333333</v>
      </c>
      <c r="H45" s="108">
        <f t="shared" si="22"/>
        <v>44853.066666666666</v>
      </c>
      <c r="I45" s="3">
        <f>320.9+176</f>
        <v>496.9</v>
      </c>
      <c r="J45" s="3">
        <f>312.4+176</f>
        <v>488.4</v>
      </c>
      <c r="K45" s="3">
        <f>313.6+175.9</f>
        <v>489.5</v>
      </c>
      <c r="L45" s="63">
        <f t="shared" si="23"/>
        <v>491.59999999999997</v>
      </c>
      <c r="M45" s="108">
        <f t="shared" si="24"/>
        <v>45227.199999999997</v>
      </c>
      <c r="N45" s="3">
        <f>316.5+175.9</f>
        <v>492.4</v>
      </c>
      <c r="O45" s="87">
        <f>325.2+175.8</f>
        <v>501</v>
      </c>
      <c r="P45" s="87">
        <f>323.7+175.9</f>
        <v>499.6</v>
      </c>
      <c r="Q45" s="63">
        <f t="shared" si="25"/>
        <v>497.66666666666669</v>
      </c>
      <c r="R45" s="108">
        <f t="shared" si="26"/>
        <v>44790</v>
      </c>
      <c r="S45" s="3">
        <f>323.7+175.9</f>
        <v>499.6</v>
      </c>
      <c r="T45" s="87">
        <f>323.7+176</f>
        <v>499.7</v>
      </c>
      <c r="U45" s="90">
        <f>316.1+175.8</f>
        <v>491.90000000000003</v>
      </c>
      <c r="V45" s="63">
        <f t="shared" si="27"/>
        <v>497.06666666666666</v>
      </c>
      <c r="W45" s="111">
        <f>V45*91</f>
        <v>45233.066666666666</v>
      </c>
      <c r="X45" s="64">
        <f t="shared" si="20"/>
        <v>493.4666666666667</v>
      </c>
      <c r="Y45" s="65">
        <f t="shared" si="21"/>
        <v>180115.33333333334</v>
      </c>
    </row>
    <row r="46" spans="1:25" ht="15" customHeight="1" thickBot="1" x14ac:dyDescent="0.3">
      <c r="A46" s="50" t="s">
        <v>149</v>
      </c>
      <c r="B46" s="42">
        <v>128</v>
      </c>
      <c r="C46" s="42">
        <v>128</v>
      </c>
      <c r="D46" s="4">
        <v>0</v>
      </c>
      <c r="E46" s="4">
        <v>0</v>
      </c>
      <c r="F46" s="4">
        <v>0</v>
      </c>
      <c r="G46" s="63">
        <f t="shared" si="19"/>
        <v>0</v>
      </c>
      <c r="H46" s="108">
        <f t="shared" si="22"/>
        <v>0</v>
      </c>
      <c r="I46" s="4">
        <v>0</v>
      </c>
      <c r="J46" s="4">
        <v>0</v>
      </c>
      <c r="K46" s="4">
        <v>0</v>
      </c>
      <c r="L46" s="63">
        <f t="shared" si="23"/>
        <v>0</v>
      </c>
      <c r="M46" s="108">
        <f t="shared" si="24"/>
        <v>0</v>
      </c>
      <c r="N46" s="4">
        <v>0</v>
      </c>
      <c r="O46" s="4">
        <v>0</v>
      </c>
      <c r="P46" s="4">
        <v>0</v>
      </c>
      <c r="Q46" s="63">
        <f t="shared" si="25"/>
        <v>0</v>
      </c>
      <c r="R46" s="108">
        <f t="shared" si="26"/>
        <v>0</v>
      </c>
      <c r="S46" s="4">
        <v>0</v>
      </c>
      <c r="T46" s="4">
        <v>0</v>
      </c>
      <c r="U46" s="90">
        <v>48</v>
      </c>
      <c r="V46" s="63">
        <f>SUM(S46:U46)/3</f>
        <v>16</v>
      </c>
      <c r="W46" s="111">
        <f>V46*91</f>
        <v>1456</v>
      </c>
      <c r="X46" s="785">
        <f>SUM(D46+E46+F46+I46+J46+K46+N46+O46+P46+S46+T46+U46)/12</f>
        <v>4</v>
      </c>
      <c r="Y46" s="65">
        <f t="shared" si="21"/>
        <v>1460</v>
      </c>
    </row>
    <row r="47" spans="1:25" ht="15" customHeight="1" thickBot="1" x14ac:dyDescent="0.3">
      <c r="A47" s="49" t="s">
        <v>20</v>
      </c>
      <c r="B47" s="42">
        <v>551</v>
      </c>
      <c r="C47" s="42">
        <v>535</v>
      </c>
      <c r="D47" s="126">
        <v>523.4</v>
      </c>
      <c r="E47" s="126">
        <v>519.20000000000005</v>
      </c>
      <c r="F47" s="118">
        <v>522.79999999999995</v>
      </c>
      <c r="G47" s="63">
        <f>SUM(D47:F47)/3</f>
        <v>521.79999999999995</v>
      </c>
      <c r="H47" s="108">
        <f t="shared" si="22"/>
        <v>48005.599999999999</v>
      </c>
      <c r="I47" s="118">
        <v>515</v>
      </c>
      <c r="J47" s="3">
        <v>505.2</v>
      </c>
      <c r="K47" s="118">
        <v>497.1</v>
      </c>
      <c r="L47" s="63">
        <f t="shared" si="23"/>
        <v>505.76666666666671</v>
      </c>
      <c r="M47" s="111">
        <f t="shared" si="24"/>
        <v>46530.53333333334</v>
      </c>
      <c r="N47" s="3">
        <v>503.1</v>
      </c>
      <c r="O47" s="86">
        <v>511.1</v>
      </c>
      <c r="P47" s="86">
        <v>514.5</v>
      </c>
      <c r="Q47" s="63">
        <f t="shared" si="25"/>
        <v>509.56666666666666</v>
      </c>
      <c r="R47" s="108">
        <f t="shared" si="26"/>
        <v>45861</v>
      </c>
      <c r="S47" s="3">
        <v>514.4</v>
      </c>
      <c r="T47" s="86">
        <v>523.70000000000005</v>
      </c>
      <c r="U47" s="89">
        <v>521.6</v>
      </c>
      <c r="V47" s="63">
        <f t="shared" si="27"/>
        <v>519.9</v>
      </c>
      <c r="W47" s="111">
        <f t="shared" si="28"/>
        <v>47310.9</v>
      </c>
      <c r="X47" s="64">
        <f t="shared" si="20"/>
        <v>514.25833333333333</v>
      </c>
      <c r="Y47" s="65">
        <f t="shared" si="21"/>
        <v>187704.29166666666</v>
      </c>
    </row>
    <row r="48" spans="1:25" ht="15" customHeight="1" thickBot="1" x14ac:dyDescent="0.3">
      <c r="A48" s="51" t="s">
        <v>457</v>
      </c>
      <c r="B48" s="42">
        <f>326+115</f>
        <v>441</v>
      </c>
      <c r="C48" s="42">
        <f>320+110</f>
        <v>430</v>
      </c>
      <c r="D48" s="4">
        <f>332.1+101.6</f>
        <v>433.70000000000005</v>
      </c>
      <c r="E48" s="4">
        <f>340.5+99.6</f>
        <v>440.1</v>
      </c>
      <c r="F48" s="3">
        <f>322.9+102.5</f>
        <v>425.4</v>
      </c>
      <c r="G48" s="63">
        <f>SUM(D48:F48)/3</f>
        <v>433.06666666666666</v>
      </c>
      <c r="H48" s="108">
        <f t="shared" si="22"/>
        <v>39842.133333333331</v>
      </c>
      <c r="I48" s="3">
        <f>309.3+100.4</f>
        <v>409.70000000000005</v>
      </c>
      <c r="J48" s="3">
        <f>295+108.8</f>
        <v>403.8</v>
      </c>
      <c r="K48" s="3">
        <f>279.1+105.3</f>
        <v>384.40000000000003</v>
      </c>
      <c r="L48" s="63">
        <f t="shared" si="23"/>
        <v>399.3</v>
      </c>
      <c r="M48" s="108">
        <f t="shared" si="24"/>
        <v>36735.599999999999</v>
      </c>
      <c r="N48" s="3">
        <f>289.2+108.6</f>
        <v>397.79999999999995</v>
      </c>
      <c r="O48" s="87">
        <f>286.3+106.1</f>
        <v>392.4</v>
      </c>
      <c r="P48" s="87">
        <f>272+106</f>
        <v>378</v>
      </c>
      <c r="Q48" s="63">
        <f t="shared" si="25"/>
        <v>389.39999999999992</v>
      </c>
      <c r="R48" s="108">
        <f t="shared" si="26"/>
        <v>35045.999999999993</v>
      </c>
      <c r="S48" s="3">
        <f>275.3+110.6</f>
        <v>385.9</v>
      </c>
      <c r="T48" s="87">
        <f>280+100.6</f>
        <v>380.6</v>
      </c>
      <c r="U48" s="90">
        <f>278.5+118.4</f>
        <v>396.9</v>
      </c>
      <c r="V48" s="63">
        <f t="shared" si="27"/>
        <v>387.8</v>
      </c>
      <c r="W48" s="111">
        <f t="shared" si="28"/>
        <v>35289.800000000003</v>
      </c>
      <c r="X48" s="64">
        <f t="shared" si="20"/>
        <v>402.39166666666671</v>
      </c>
      <c r="Y48" s="65">
        <f t="shared" si="21"/>
        <v>146872.95833333334</v>
      </c>
    </row>
    <row r="49" spans="1:25" ht="15" customHeight="1" thickBot="1" x14ac:dyDescent="0.3">
      <c r="A49" s="50" t="s">
        <v>141</v>
      </c>
      <c r="B49" s="42">
        <v>200</v>
      </c>
      <c r="C49" s="42">
        <v>189</v>
      </c>
      <c r="D49" s="4">
        <v>171.9</v>
      </c>
      <c r="E49" s="4">
        <v>185.8</v>
      </c>
      <c r="F49" s="3">
        <v>190.7</v>
      </c>
      <c r="G49" s="63">
        <f>SUM(D49:F49)/3</f>
        <v>182.80000000000004</v>
      </c>
      <c r="H49" s="108">
        <f t="shared" si="22"/>
        <v>16817.600000000002</v>
      </c>
      <c r="I49" s="3">
        <v>196.5</v>
      </c>
      <c r="J49" s="3">
        <v>190.2</v>
      </c>
      <c r="K49" s="3">
        <v>187.2</v>
      </c>
      <c r="L49" s="63">
        <f t="shared" si="23"/>
        <v>191.29999999999998</v>
      </c>
      <c r="M49" s="108">
        <f t="shared" si="24"/>
        <v>17599.599999999999</v>
      </c>
      <c r="N49" s="3">
        <v>194.2</v>
      </c>
      <c r="O49" s="87">
        <v>182.8</v>
      </c>
      <c r="P49" s="87">
        <v>180.8</v>
      </c>
      <c r="Q49" s="63">
        <f t="shared" si="25"/>
        <v>185.93333333333331</v>
      </c>
      <c r="R49" s="108">
        <f t="shared" si="26"/>
        <v>16733.999999999996</v>
      </c>
      <c r="S49" s="3">
        <v>176.7</v>
      </c>
      <c r="T49" s="87">
        <v>175.5</v>
      </c>
      <c r="U49" s="90">
        <v>172.1</v>
      </c>
      <c r="V49" s="63">
        <f t="shared" si="27"/>
        <v>174.76666666666665</v>
      </c>
      <c r="W49" s="111">
        <f t="shared" si="28"/>
        <v>15903.766666666665</v>
      </c>
      <c r="X49" s="64">
        <f t="shared" si="20"/>
        <v>183.70000000000002</v>
      </c>
      <c r="Y49" s="65">
        <f t="shared" si="21"/>
        <v>67050.5</v>
      </c>
    </row>
    <row r="50" spans="1:25" ht="15" customHeight="1" thickBot="1" x14ac:dyDescent="0.3">
      <c r="A50" s="50" t="s">
        <v>142</v>
      </c>
      <c r="B50" s="34"/>
      <c r="C50" s="34"/>
      <c r="D50" s="4">
        <v>0</v>
      </c>
      <c r="E50" s="4">
        <v>0</v>
      </c>
      <c r="F50" s="4">
        <v>0</v>
      </c>
      <c r="G50" s="67">
        <f>SUM(D50:F50)/3</f>
        <v>0</v>
      </c>
      <c r="H50" s="108">
        <f t="shared" si="22"/>
        <v>0</v>
      </c>
      <c r="I50" s="4">
        <v>0</v>
      </c>
      <c r="J50" s="4">
        <v>0</v>
      </c>
      <c r="K50" s="4">
        <v>0</v>
      </c>
      <c r="L50" s="67">
        <f t="shared" si="23"/>
        <v>0</v>
      </c>
      <c r="M50" s="108">
        <f t="shared" si="24"/>
        <v>0</v>
      </c>
      <c r="N50" s="4">
        <v>0</v>
      </c>
      <c r="O50" s="4">
        <v>0</v>
      </c>
      <c r="P50" s="4">
        <v>0</v>
      </c>
      <c r="Q50" s="67">
        <f t="shared" si="25"/>
        <v>0</v>
      </c>
      <c r="R50" s="108">
        <f t="shared" si="26"/>
        <v>0</v>
      </c>
      <c r="S50" s="3" t="s">
        <v>114</v>
      </c>
      <c r="T50" s="3" t="s">
        <v>114</v>
      </c>
      <c r="U50" s="4" t="s">
        <v>114</v>
      </c>
      <c r="V50" s="67">
        <f t="shared" si="27"/>
        <v>0</v>
      </c>
      <c r="W50" s="112">
        <f t="shared" si="28"/>
        <v>0</v>
      </c>
      <c r="X50" s="64">
        <v>0</v>
      </c>
      <c r="Y50" s="65">
        <f t="shared" si="21"/>
        <v>0</v>
      </c>
    </row>
    <row r="51" spans="1:25" ht="15" customHeight="1" thickBot="1" x14ac:dyDescent="0.3">
      <c r="A51" s="701" t="s">
        <v>150</v>
      </c>
      <c r="B51" s="702"/>
      <c r="C51" s="702"/>
      <c r="D51" s="703">
        <f>SUM(D37:D50)</f>
        <v>4938.6999999999989</v>
      </c>
      <c r="E51" s="703">
        <f>SUM(E37:E50)</f>
        <v>4977.9000000000005</v>
      </c>
      <c r="F51" s="703">
        <f>SUM(F37:F50)</f>
        <v>4958.0999999999995</v>
      </c>
      <c r="G51" s="704">
        <f>SUM(D51:F51)/3</f>
        <v>4958.2333333333327</v>
      </c>
      <c r="H51" s="705">
        <f>G51*92</f>
        <v>456157.46666666662</v>
      </c>
      <c r="I51" s="706">
        <f>SUM(I37:I50)</f>
        <v>4887.4000000000005</v>
      </c>
      <c r="J51" s="703">
        <f>SUM(J37:J50)</f>
        <v>4876.0999999999995</v>
      </c>
      <c r="K51" s="703">
        <f>SUM(K37:K50)</f>
        <v>4748.8999999999996</v>
      </c>
      <c r="L51" s="704">
        <f t="shared" si="23"/>
        <v>4837.4666666666662</v>
      </c>
      <c r="M51" s="707">
        <f t="shared" si="24"/>
        <v>445046.93333333329</v>
      </c>
      <c r="N51" s="708">
        <f>SUM(N37:N50)</f>
        <v>4747.2</v>
      </c>
      <c r="O51" s="703">
        <f>SUM(O37:O50)</f>
        <v>4812.8</v>
      </c>
      <c r="P51" s="703">
        <f>SUM(P37:P50)</f>
        <v>4724.8</v>
      </c>
      <c r="Q51" s="704">
        <f t="shared" si="25"/>
        <v>4761.5999999999995</v>
      </c>
      <c r="R51" s="707">
        <f t="shared" si="26"/>
        <v>428543.99999999994</v>
      </c>
      <c r="S51" s="706">
        <f>SUM(S37:S50)</f>
        <v>4735.1999999999989</v>
      </c>
      <c r="T51" s="703">
        <f>SUM(T37:T49)</f>
        <v>4687.1000000000004</v>
      </c>
      <c r="U51" s="709">
        <f>SUM(U37:U50)</f>
        <v>4673.8</v>
      </c>
      <c r="V51" s="704">
        <f t="shared" si="27"/>
        <v>4698.7</v>
      </c>
      <c r="W51" s="710">
        <f t="shared" si="28"/>
        <v>427581.7</v>
      </c>
      <c r="X51" s="711">
        <f>SUM(D51+E51+F51+I51+J51+K51+N51+O51+P51+S51+T51+U51)/12</f>
        <v>4814</v>
      </c>
      <c r="Y51" s="711">
        <f>SUM(Y37:Y50)</f>
        <v>1757109.9999999998</v>
      </c>
    </row>
    <row r="52" spans="1:25" ht="15" customHeight="1" thickBot="1" x14ac:dyDescent="0.3">
      <c r="A52" s="46" t="s">
        <v>151</v>
      </c>
      <c r="B52" s="35"/>
      <c r="C52" s="35"/>
      <c r="D52" s="70"/>
      <c r="E52" s="70"/>
      <c r="F52" s="71"/>
      <c r="G52" s="98"/>
      <c r="H52" s="98"/>
      <c r="I52" s="72"/>
      <c r="J52" s="70"/>
      <c r="K52" s="71"/>
      <c r="L52" s="97"/>
      <c r="M52" s="97"/>
      <c r="N52" s="72"/>
      <c r="O52" s="70"/>
      <c r="P52" s="71"/>
      <c r="Q52" s="97"/>
      <c r="R52" s="97"/>
      <c r="S52" s="72"/>
      <c r="T52" s="70"/>
      <c r="U52" s="71"/>
      <c r="V52" s="71"/>
      <c r="W52" s="70"/>
      <c r="X52" s="96"/>
      <c r="Y52" s="69" t="s">
        <v>0</v>
      </c>
    </row>
    <row r="53" spans="1:25" ht="15" customHeight="1" thickBot="1" x14ac:dyDescent="0.3">
      <c r="A53" s="712" t="s">
        <v>143</v>
      </c>
      <c r="B53" s="713" t="s">
        <v>496</v>
      </c>
      <c r="C53" s="713" t="s">
        <v>114</v>
      </c>
      <c r="D53" s="714">
        <v>672.81</v>
      </c>
      <c r="E53" s="714">
        <v>677.1</v>
      </c>
      <c r="F53" s="714">
        <v>681.9</v>
      </c>
      <c r="G53" s="715">
        <f t="shared" ref="G53:G59" si="29">SUM(D53:F53)/3</f>
        <v>677.27</v>
      </c>
      <c r="H53" s="716">
        <f t="shared" ref="H53:H59" si="30">G53*92</f>
        <v>62308.84</v>
      </c>
      <c r="I53" s="714">
        <v>648</v>
      </c>
      <c r="J53" s="714">
        <v>633.63</v>
      </c>
      <c r="K53" s="714">
        <v>647.29</v>
      </c>
      <c r="L53" s="715">
        <f t="shared" ref="L53:L60" si="31">SUM(I53:K53)/3</f>
        <v>642.97333333333336</v>
      </c>
      <c r="M53" s="716">
        <f t="shared" ref="M53:M59" si="32">L53*92</f>
        <v>59153.546666666669</v>
      </c>
      <c r="N53" s="714">
        <f>547.74+77.9</f>
        <v>625.64</v>
      </c>
      <c r="O53" s="717">
        <v>607.83000000000004</v>
      </c>
      <c r="P53" s="717">
        <f>563.77+86.23</f>
        <v>650</v>
      </c>
      <c r="Q53" s="715">
        <f t="shared" ref="Q53:Q60" si="33">SUM(N53:P53)/3</f>
        <v>627.82333333333338</v>
      </c>
      <c r="R53" s="716">
        <f t="shared" ref="R53:R59" si="34">Q53*90</f>
        <v>56504.100000000006</v>
      </c>
      <c r="S53" s="714">
        <f>552.63+74.57</f>
        <v>627.20000000000005</v>
      </c>
      <c r="T53" s="717">
        <v>587.65</v>
      </c>
      <c r="U53" s="718">
        <f>502.5+59.23</f>
        <v>561.73</v>
      </c>
      <c r="V53" s="715">
        <f t="shared" ref="V53:V60" si="35">SUM(S53:U53)/3</f>
        <v>592.19333333333327</v>
      </c>
      <c r="W53" s="719">
        <f t="shared" ref="W53:W59" si="36">V53*91</f>
        <v>53889.593333333331</v>
      </c>
      <c r="X53" s="720">
        <f>SUM(D53+E53+F53+I53+J53+K53+N53+O53+P53+S53+T53+U53)/12</f>
        <v>635.06499999999994</v>
      </c>
      <c r="Y53" s="721">
        <f t="shared" ref="Y53:Y58" si="37">X53*365</f>
        <v>231798.72499999998</v>
      </c>
    </row>
    <row r="54" spans="1:25" ht="15" customHeight="1" thickBot="1" x14ac:dyDescent="0.3">
      <c r="A54" s="50" t="s">
        <v>144</v>
      </c>
      <c r="B54" s="498">
        <v>35</v>
      </c>
      <c r="C54" s="498" t="s">
        <v>114</v>
      </c>
      <c r="D54" s="5">
        <v>5</v>
      </c>
      <c r="E54" s="5">
        <v>7.23</v>
      </c>
      <c r="F54" s="5">
        <f>1+8</f>
        <v>9</v>
      </c>
      <c r="G54" s="63">
        <f t="shared" si="29"/>
        <v>7.0766666666666671</v>
      </c>
      <c r="H54" s="108">
        <f t="shared" si="30"/>
        <v>651.0533333333334</v>
      </c>
      <c r="I54" s="5">
        <f>1+8.1</f>
        <v>9.1</v>
      </c>
      <c r="J54" s="5">
        <f>1+8.1</f>
        <v>9.1</v>
      </c>
      <c r="K54" s="5">
        <f>1+8.71</f>
        <v>9.7100000000000009</v>
      </c>
      <c r="L54" s="63">
        <f t="shared" si="31"/>
        <v>9.3033333333333328</v>
      </c>
      <c r="M54" s="108">
        <f t="shared" si="32"/>
        <v>855.90666666666664</v>
      </c>
      <c r="N54" s="5">
        <f>1+8</f>
        <v>9</v>
      </c>
      <c r="O54" s="75">
        <f>1+7.31</f>
        <v>8.3099999999999987</v>
      </c>
      <c r="P54" s="75">
        <f>1+7</f>
        <v>8</v>
      </c>
      <c r="Q54" s="63">
        <f t="shared" si="33"/>
        <v>8.4366666666666656</v>
      </c>
      <c r="R54" s="108">
        <f t="shared" si="34"/>
        <v>759.3</v>
      </c>
      <c r="S54" s="5">
        <f>1+7.07</f>
        <v>8.07</v>
      </c>
      <c r="T54" s="75">
        <f>2.48+7.52</f>
        <v>10</v>
      </c>
      <c r="U54" s="76">
        <f>7.5+6</f>
        <v>13.5</v>
      </c>
      <c r="V54" s="63">
        <f t="shared" si="35"/>
        <v>10.523333333333333</v>
      </c>
      <c r="W54" s="111">
        <f t="shared" si="36"/>
        <v>957.62333333333333</v>
      </c>
      <c r="X54" s="64">
        <f>SUM(D54+E54+F54+I54+J54+K54+N54+O54+P54+S54+T54+U54)/12</f>
        <v>8.8350000000000009</v>
      </c>
      <c r="Y54" s="65">
        <f t="shared" si="37"/>
        <v>3224.7750000000001</v>
      </c>
    </row>
    <row r="55" spans="1:25" ht="15" customHeight="1" thickBot="1" x14ac:dyDescent="0.3">
      <c r="A55" s="50" t="s">
        <v>146</v>
      </c>
      <c r="B55" s="498">
        <v>26</v>
      </c>
      <c r="C55" s="498" t="s">
        <v>114</v>
      </c>
      <c r="D55" s="5">
        <v>15</v>
      </c>
      <c r="E55" s="5">
        <v>17</v>
      </c>
      <c r="F55" s="5">
        <v>16</v>
      </c>
      <c r="G55" s="63">
        <f t="shared" si="29"/>
        <v>16</v>
      </c>
      <c r="H55" s="108">
        <f t="shared" si="30"/>
        <v>1472</v>
      </c>
      <c r="I55" s="5">
        <v>17</v>
      </c>
      <c r="J55" s="5">
        <v>17</v>
      </c>
      <c r="K55" s="5">
        <v>16</v>
      </c>
      <c r="L55" s="63">
        <f t="shared" si="31"/>
        <v>16.666666666666668</v>
      </c>
      <c r="M55" s="108">
        <f t="shared" si="32"/>
        <v>1533.3333333333335</v>
      </c>
      <c r="N55" s="5">
        <v>19</v>
      </c>
      <c r="O55" s="75">
        <v>18</v>
      </c>
      <c r="P55" s="75">
        <v>17</v>
      </c>
      <c r="Q55" s="63">
        <f t="shared" si="33"/>
        <v>18</v>
      </c>
      <c r="R55" s="108">
        <f t="shared" si="34"/>
        <v>1620</v>
      </c>
      <c r="S55" s="5">
        <v>15</v>
      </c>
      <c r="T55" s="75">
        <v>16</v>
      </c>
      <c r="U55" s="76">
        <v>16</v>
      </c>
      <c r="V55" s="63">
        <f t="shared" si="35"/>
        <v>15.666666666666666</v>
      </c>
      <c r="W55" s="111">
        <f t="shared" si="36"/>
        <v>1425.6666666666665</v>
      </c>
      <c r="X55" s="64">
        <f>SUM(D55+E55+F55+I55+J55+K55+N55+O55+P55+S55+T55+U55)/12</f>
        <v>16.583333333333332</v>
      </c>
      <c r="Y55" s="65">
        <f t="shared" si="37"/>
        <v>6052.9166666666661</v>
      </c>
    </row>
    <row r="56" spans="1:25" ht="15" customHeight="1" thickBot="1" x14ac:dyDescent="0.3">
      <c r="A56" s="50" t="s">
        <v>145</v>
      </c>
      <c r="B56" s="498" t="s">
        <v>460</v>
      </c>
      <c r="C56" s="498" t="s">
        <v>114</v>
      </c>
      <c r="D56" s="5">
        <v>437</v>
      </c>
      <c r="E56" s="5">
        <v>420</v>
      </c>
      <c r="F56" s="5">
        <v>429</v>
      </c>
      <c r="G56" s="63">
        <f t="shared" si="29"/>
        <v>428.66666666666669</v>
      </c>
      <c r="H56" s="108">
        <f t="shared" si="30"/>
        <v>39437.333333333336</v>
      </c>
      <c r="I56" s="5">
        <v>447</v>
      </c>
      <c r="J56" s="5">
        <v>466</v>
      </c>
      <c r="K56" s="5">
        <v>437</v>
      </c>
      <c r="L56" s="63">
        <f t="shared" si="31"/>
        <v>450</v>
      </c>
      <c r="M56" s="108">
        <f t="shared" si="32"/>
        <v>41400</v>
      </c>
      <c r="N56" s="5">
        <v>419</v>
      </c>
      <c r="O56" s="75">
        <v>404</v>
      </c>
      <c r="P56" s="75">
        <v>410</v>
      </c>
      <c r="Q56" s="63">
        <f t="shared" si="33"/>
        <v>411</v>
      </c>
      <c r="R56" s="108">
        <f t="shared" si="34"/>
        <v>36990</v>
      </c>
      <c r="S56" s="5">
        <v>404</v>
      </c>
      <c r="T56" s="75">
        <v>383</v>
      </c>
      <c r="U56" s="76">
        <v>373</v>
      </c>
      <c r="V56" s="63">
        <f t="shared" si="35"/>
        <v>386.66666666666669</v>
      </c>
      <c r="W56" s="111">
        <f t="shared" si="36"/>
        <v>35186.666666666672</v>
      </c>
      <c r="X56" s="64">
        <f>SUM(D56+E56+F56+I56+J56+K56+N56+O56+P56+S56+T56+U56)/12</f>
        <v>419.08333333333331</v>
      </c>
      <c r="Y56" s="65">
        <f t="shared" si="37"/>
        <v>152965.41666666666</v>
      </c>
    </row>
    <row r="57" spans="1:25" ht="15" customHeight="1" thickBot="1" x14ac:dyDescent="0.3">
      <c r="A57" s="50" t="s">
        <v>359</v>
      </c>
      <c r="B57" s="498">
        <v>1050</v>
      </c>
      <c r="C57" s="498" t="s">
        <v>114</v>
      </c>
      <c r="D57" s="5" t="s">
        <v>591</v>
      </c>
      <c r="E57" s="5" t="s">
        <v>591</v>
      </c>
      <c r="F57" s="5" t="s">
        <v>591</v>
      </c>
      <c r="G57" s="63">
        <f t="shared" si="29"/>
        <v>0</v>
      </c>
      <c r="H57" s="108">
        <f t="shared" si="30"/>
        <v>0</v>
      </c>
      <c r="I57" s="5" t="s">
        <v>591</v>
      </c>
      <c r="J57" s="5" t="s">
        <v>591</v>
      </c>
      <c r="K57" s="5" t="s">
        <v>591</v>
      </c>
      <c r="L57" s="63">
        <f t="shared" si="31"/>
        <v>0</v>
      </c>
      <c r="M57" s="108">
        <f t="shared" si="32"/>
        <v>0</v>
      </c>
      <c r="N57" s="5" t="s">
        <v>591</v>
      </c>
      <c r="O57" s="75" t="s">
        <v>591</v>
      </c>
      <c r="P57" s="75" t="s">
        <v>591</v>
      </c>
      <c r="Q57" s="63">
        <f t="shared" si="33"/>
        <v>0</v>
      </c>
      <c r="R57" s="108">
        <f t="shared" si="34"/>
        <v>0</v>
      </c>
      <c r="S57" s="5" t="s">
        <v>591</v>
      </c>
      <c r="T57" s="75" t="s">
        <v>591</v>
      </c>
      <c r="U57" s="76" t="s">
        <v>591</v>
      </c>
      <c r="V57" s="63">
        <f t="shared" si="35"/>
        <v>0</v>
      </c>
      <c r="W57" s="111">
        <f t="shared" si="36"/>
        <v>0</v>
      </c>
      <c r="X57" s="64">
        <v>0</v>
      </c>
      <c r="Y57" s="65">
        <f t="shared" si="37"/>
        <v>0</v>
      </c>
    </row>
    <row r="58" spans="1:25" ht="15" customHeight="1" thickBot="1" x14ac:dyDescent="0.3">
      <c r="A58" s="50" t="s">
        <v>148</v>
      </c>
      <c r="B58" s="498" t="s">
        <v>460</v>
      </c>
      <c r="C58" s="498" t="s">
        <v>114</v>
      </c>
      <c r="D58" s="5">
        <v>12</v>
      </c>
      <c r="E58" s="5">
        <v>12</v>
      </c>
      <c r="F58" s="5">
        <v>12</v>
      </c>
      <c r="G58" s="63">
        <f t="shared" si="29"/>
        <v>12</v>
      </c>
      <c r="H58" s="108">
        <f t="shared" si="30"/>
        <v>1104</v>
      </c>
      <c r="I58" s="5">
        <v>12</v>
      </c>
      <c r="J58" s="5">
        <v>11</v>
      </c>
      <c r="K58" s="5">
        <v>11</v>
      </c>
      <c r="L58" s="63">
        <f t="shared" si="31"/>
        <v>11.333333333333334</v>
      </c>
      <c r="M58" s="108">
        <f t="shared" si="32"/>
        <v>1042.6666666666667</v>
      </c>
      <c r="N58" s="5">
        <v>10</v>
      </c>
      <c r="O58" s="75">
        <v>9</v>
      </c>
      <c r="P58" s="75">
        <v>9</v>
      </c>
      <c r="Q58" s="63">
        <f t="shared" si="33"/>
        <v>9.3333333333333339</v>
      </c>
      <c r="R58" s="108">
        <f t="shared" si="34"/>
        <v>840</v>
      </c>
      <c r="S58" s="5">
        <v>9</v>
      </c>
      <c r="T58" s="75">
        <v>9</v>
      </c>
      <c r="U58" s="76">
        <v>9</v>
      </c>
      <c r="V58" s="63">
        <f t="shared" si="35"/>
        <v>9</v>
      </c>
      <c r="W58" s="112">
        <f t="shared" si="36"/>
        <v>819</v>
      </c>
      <c r="X58" s="64">
        <f>SUM(D58+E58+F58+I58+J58+K58+N58+O58+P58+S58+T58+U58)/12</f>
        <v>10.416666666666666</v>
      </c>
      <c r="Y58" s="65">
        <f t="shared" si="37"/>
        <v>3802.083333333333</v>
      </c>
    </row>
    <row r="59" spans="1:25" ht="15" customHeight="1" thickBot="1" x14ac:dyDescent="0.3">
      <c r="A59" s="53" t="s">
        <v>152</v>
      </c>
      <c r="B59" s="37"/>
      <c r="C59" s="37"/>
      <c r="D59" s="80">
        <f>SUM(D53:D58)</f>
        <v>1141.81</v>
      </c>
      <c r="E59" s="80">
        <f>SUM(E53:E58)</f>
        <v>1133.33</v>
      </c>
      <c r="F59" s="80">
        <f>SUM(F53:F58)</f>
        <v>1147.9000000000001</v>
      </c>
      <c r="G59" s="68">
        <f t="shared" si="29"/>
        <v>1141.0133333333333</v>
      </c>
      <c r="H59" s="108">
        <f t="shared" si="30"/>
        <v>104973.22666666667</v>
      </c>
      <c r="I59" s="94">
        <f>SUM(I53:I58)</f>
        <v>1133.0999999999999</v>
      </c>
      <c r="J59" s="80">
        <f>SUM(J53:J58)</f>
        <v>1136.73</v>
      </c>
      <c r="K59" s="80">
        <f>SUM(K53:K58)</f>
        <v>1121</v>
      </c>
      <c r="L59" s="68">
        <f t="shared" si="31"/>
        <v>1130.2766666666666</v>
      </c>
      <c r="M59" s="119">
        <f t="shared" si="32"/>
        <v>103985.45333333334</v>
      </c>
      <c r="N59" s="94">
        <f>SUM(N53:N58)</f>
        <v>1082.6399999999999</v>
      </c>
      <c r="O59" s="80">
        <f>SUM(O53:O58)</f>
        <v>1047.1399999999999</v>
      </c>
      <c r="P59" s="80">
        <f>SUM(P53:P58)</f>
        <v>1094</v>
      </c>
      <c r="Q59" s="68">
        <f t="shared" si="33"/>
        <v>1074.5933333333332</v>
      </c>
      <c r="R59" s="108">
        <f t="shared" si="34"/>
        <v>96713.4</v>
      </c>
      <c r="S59" s="94">
        <f>SUM(S53:S58)</f>
        <v>1063.27</v>
      </c>
      <c r="T59" s="80">
        <f>SUM(T53:T58)</f>
        <v>1005.65</v>
      </c>
      <c r="U59" s="81">
        <f>SUM(U53:U58)</f>
        <v>973.23</v>
      </c>
      <c r="V59" s="68">
        <f t="shared" si="35"/>
        <v>1014.0500000000001</v>
      </c>
      <c r="W59" s="120">
        <f t="shared" si="36"/>
        <v>92278.55</v>
      </c>
      <c r="X59" s="69">
        <f>SUM(X53:X58)</f>
        <v>1089.9833333333333</v>
      </c>
      <c r="Y59" s="69">
        <f>SUM(Y53:Y58)</f>
        <v>397843.91666666657</v>
      </c>
    </row>
    <row r="60" spans="1:25" ht="15" customHeight="1" thickBot="1" x14ac:dyDescent="0.3">
      <c r="A60" s="54" t="s">
        <v>156</v>
      </c>
      <c r="B60" s="38"/>
      <c r="C60" s="38"/>
      <c r="D60" s="80">
        <f>D51+D59</f>
        <v>6080.5099999999984</v>
      </c>
      <c r="E60" s="80">
        <f>E51+E59</f>
        <v>6111.2300000000005</v>
      </c>
      <c r="F60" s="80">
        <f>F51+F59</f>
        <v>6106</v>
      </c>
      <c r="G60" s="80">
        <f>G51+G59</f>
        <v>6099.246666666666</v>
      </c>
      <c r="H60" s="68">
        <f>SUM(H51+H59)</f>
        <v>561130.69333333324</v>
      </c>
      <c r="I60" s="80">
        <f>I51+I59</f>
        <v>6020.5</v>
      </c>
      <c r="J60" s="80">
        <f>J51+J59</f>
        <v>6012.83</v>
      </c>
      <c r="K60" s="80">
        <f>K51+K59</f>
        <v>5869.9</v>
      </c>
      <c r="L60" s="120">
        <f t="shared" si="31"/>
        <v>5967.7433333333329</v>
      </c>
      <c r="M60" s="68">
        <f>SUM(M51+M59)</f>
        <v>549032.3866666666</v>
      </c>
      <c r="N60" s="94">
        <f>N51+N59</f>
        <v>5829.84</v>
      </c>
      <c r="O60" s="80">
        <f>O51+O59</f>
        <v>5859.9400000000005</v>
      </c>
      <c r="P60" s="80">
        <f>P51+P59</f>
        <v>5818.8</v>
      </c>
      <c r="Q60" s="99">
        <f t="shared" si="33"/>
        <v>5836.1933333333336</v>
      </c>
      <c r="R60" s="68">
        <f>SUM(R51+R59)</f>
        <v>525257.39999999991</v>
      </c>
      <c r="S60" s="94">
        <f>S51+S59</f>
        <v>5798.4699999999993</v>
      </c>
      <c r="T60" s="80">
        <f>T51+T59</f>
        <v>5692.75</v>
      </c>
      <c r="U60" s="81">
        <f>U51+U59</f>
        <v>5647.0300000000007</v>
      </c>
      <c r="V60" s="99">
        <f t="shared" si="35"/>
        <v>5712.75</v>
      </c>
      <c r="W60" s="68">
        <f>SUM(W51+W59)</f>
        <v>519860.25</v>
      </c>
      <c r="X60" s="80">
        <f>X51+X59</f>
        <v>5903.9833333333336</v>
      </c>
      <c r="Y60" s="82">
        <f>Y51+Y59</f>
        <v>2154953.9166666665</v>
      </c>
    </row>
    <row r="61" spans="1:25" ht="15" customHeight="1" x14ac:dyDescent="0.25">
      <c r="A61" s="114" t="s">
        <v>592</v>
      </c>
      <c r="B61" s="19"/>
      <c r="C61" s="19"/>
      <c r="D61" s="115"/>
      <c r="E61" s="115"/>
      <c r="F61" s="115"/>
      <c r="G61" s="115"/>
      <c r="H61" s="113"/>
      <c r="I61" s="115"/>
      <c r="J61" s="115"/>
      <c r="K61" s="115"/>
      <c r="L61" s="139"/>
      <c r="M61" s="113"/>
      <c r="N61" s="115"/>
      <c r="O61" s="115"/>
      <c r="P61" s="115"/>
      <c r="Q61" s="93"/>
      <c r="R61" s="113"/>
      <c r="S61" s="115"/>
      <c r="T61" s="115"/>
      <c r="U61" s="115"/>
      <c r="V61" s="93"/>
      <c r="W61" s="113"/>
      <c r="X61" s="115"/>
      <c r="Y61" s="115"/>
    </row>
    <row r="62" spans="1:25" ht="15" customHeight="1" x14ac:dyDescent="0.25">
      <c r="A62" s="114" t="s">
        <v>593</v>
      </c>
      <c r="B62" s="19"/>
      <c r="C62" s="19"/>
      <c r="D62" s="115"/>
      <c r="E62" s="115"/>
      <c r="F62" s="115"/>
      <c r="G62" s="115"/>
      <c r="H62" s="113"/>
      <c r="I62" s="115"/>
      <c r="J62" s="115"/>
      <c r="K62" s="115"/>
      <c r="L62" s="139"/>
      <c r="M62" s="113"/>
      <c r="N62" s="115"/>
      <c r="O62" s="115"/>
      <c r="P62" s="115"/>
      <c r="Q62" s="93"/>
      <c r="R62" s="113"/>
      <c r="S62" s="115"/>
      <c r="T62" s="115"/>
      <c r="U62" s="115"/>
      <c r="V62" s="93"/>
      <c r="W62" s="113"/>
      <c r="X62" s="115"/>
      <c r="Y62" s="115"/>
    </row>
    <row r="63" spans="1:25" ht="15" customHeight="1" x14ac:dyDescent="0.25">
      <c r="A63" s="114" t="s">
        <v>497</v>
      </c>
      <c r="B63" s="19"/>
      <c r="C63" s="19"/>
      <c r="D63" s="115"/>
      <c r="E63" s="115"/>
      <c r="F63" s="115"/>
      <c r="G63" s="115"/>
      <c r="H63" s="113"/>
      <c r="I63" s="115"/>
      <c r="J63" s="115"/>
      <c r="K63" s="115"/>
      <c r="L63" s="139"/>
      <c r="M63" s="113"/>
      <c r="N63" s="115"/>
      <c r="O63" s="115"/>
      <c r="P63" s="115"/>
      <c r="Q63" s="93"/>
      <c r="R63" s="113"/>
      <c r="S63" s="115"/>
      <c r="T63" s="115"/>
      <c r="U63" s="115"/>
      <c r="V63" s="93"/>
      <c r="W63" s="113"/>
      <c r="X63" s="115"/>
      <c r="Y63" s="115"/>
    </row>
    <row r="64" spans="1:25" ht="15" customHeight="1" x14ac:dyDescent="0.25">
      <c r="A64" s="114" t="s">
        <v>543</v>
      </c>
      <c r="B64" s="19"/>
      <c r="C64" s="19"/>
      <c r="D64" s="115"/>
      <c r="E64" s="115"/>
      <c r="F64" s="115"/>
      <c r="G64" s="115"/>
      <c r="H64" s="113"/>
      <c r="I64" s="115"/>
      <c r="J64" s="115"/>
      <c r="K64" s="115"/>
      <c r="L64" s="139"/>
      <c r="M64" s="113"/>
      <c r="N64" s="115"/>
      <c r="O64" s="115"/>
      <c r="P64" s="115"/>
      <c r="Q64" s="93"/>
      <c r="R64" s="113"/>
      <c r="S64" s="115"/>
      <c r="T64" s="115"/>
      <c r="U64" s="115"/>
      <c r="V64" s="93"/>
      <c r="W64" s="113"/>
      <c r="X64" s="115"/>
      <c r="Y64" s="115"/>
    </row>
    <row r="65" spans="1:25" ht="15" customHeight="1" x14ac:dyDescent="0.2">
      <c r="A65" s="45" t="s">
        <v>155</v>
      </c>
      <c r="B65" s="10"/>
      <c r="C65" s="10"/>
      <c r="D65" s="13"/>
      <c r="E65" s="13"/>
      <c r="F65" s="13"/>
      <c r="G65" s="13"/>
      <c r="H65" s="13"/>
      <c r="I65" s="13"/>
      <c r="J65" s="13"/>
      <c r="K65" s="13"/>
      <c r="L65" s="13"/>
      <c r="M65" s="13"/>
      <c r="N65" s="13"/>
      <c r="O65" s="13"/>
      <c r="P65" s="13"/>
      <c r="Q65" s="13"/>
      <c r="R65" s="13"/>
      <c r="S65" s="13"/>
      <c r="T65" s="13"/>
      <c r="U65" s="13"/>
      <c r="V65" s="13"/>
      <c r="W65" s="13"/>
      <c r="X65" s="13"/>
      <c r="Y65" s="13"/>
    </row>
    <row r="66" spans="1:25" ht="15" customHeight="1" x14ac:dyDescent="0.2">
      <c r="A66" s="45" t="s">
        <v>155</v>
      </c>
      <c r="B66" s="10"/>
      <c r="C66" s="10"/>
      <c r="D66" s="13"/>
      <c r="E66" s="13"/>
      <c r="F66" s="13"/>
      <c r="G66" s="13"/>
      <c r="H66" s="13"/>
      <c r="I66" s="13"/>
      <c r="J66" s="13"/>
      <c r="K66" s="13"/>
      <c r="L66" s="13"/>
      <c r="M66" s="13"/>
      <c r="N66" s="13"/>
      <c r="O66" s="13"/>
      <c r="P66" s="13"/>
      <c r="Q66" s="13"/>
      <c r="R66" s="13"/>
      <c r="S66" s="13"/>
      <c r="T66" s="13"/>
      <c r="U66" s="13"/>
      <c r="V66" s="13"/>
      <c r="W66" s="13"/>
      <c r="X66" s="13"/>
      <c r="Y66" s="13"/>
    </row>
    <row r="68" spans="1:25" ht="20.25" customHeight="1" x14ac:dyDescent="0.2">
      <c r="A68" s="45"/>
      <c r="B68" s="10"/>
      <c r="C68" s="13"/>
      <c r="D68" s="13"/>
      <c r="E68" s="13"/>
      <c r="F68" s="13"/>
      <c r="G68" s="13"/>
      <c r="H68" s="13"/>
      <c r="I68" s="13"/>
      <c r="J68" s="13"/>
      <c r="K68" s="13"/>
      <c r="L68" s="13"/>
      <c r="M68" s="13"/>
      <c r="N68" s="13"/>
      <c r="O68" s="13"/>
      <c r="P68" s="13"/>
      <c r="Q68" s="13"/>
      <c r="R68" s="13"/>
      <c r="S68" s="13"/>
      <c r="T68" s="13"/>
      <c r="U68" s="13"/>
      <c r="V68" s="13"/>
      <c r="W68" s="13"/>
      <c r="X68" s="13"/>
    </row>
    <row r="69" spans="1:25" ht="15" customHeight="1" thickBot="1" x14ac:dyDescent="0.25">
      <c r="A69" s="45" t="s">
        <v>155</v>
      </c>
      <c r="B69" s="10"/>
      <c r="C69" s="13"/>
      <c r="D69" s="13"/>
      <c r="E69" s="13"/>
      <c r="F69" s="13"/>
      <c r="G69" s="13"/>
      <c r="H69" s="13"/>
      <c r="I69" s="13"/>
      <c r="J69" s="13"/>
      <c r="K69" s="13"/>
      <c r="L69" s="13"/>
      <c r="M69" s="13"/>
      <c r="N69" s="13"/>
      <c r="O69" s="13"/>
      <c r="P69" s="13"/>
      <c r="Q69" s="13"/>
      <c r="R69" s="13"/>
      <c r="S69" s="13"/>
      <c r="T69" s="13"/>
      <c r="U69" s="13"/>
      <c r="V69" s="13"/>
      <c r="W69" s="13"/>
      <c r="X69" s="13"/>
    </row>
    <row r="70" spans="1:25" ht="15" customHeight="1" thickBot="1" x14ac:dyDescent="0.3">
      <c r="A70" s="723" t="s">
        <v>594</v>
      </c>
      <c r="B70" s="1200" t="s">
        <v>153</v>
      </c>
      <c r="C70" s="1201"/>
      <c r="D70" s="1201"/>
      <c r="E70" s="1201"/>
      <c r="F70" s="1201"/>
      <c r="G70" s="1201"/>
      <c r="H70" s="1201"/>
      <c r="I70" s="1201"/>
      <c r="J70" s="1201"/>
      <c r="K70" s="1201"/>
      <c r="L70" s="1201"/>
      <c r="M70" s="1201"/>
      <c r="N70" s="1201"/>
      <c r="O70" s="1201"/>
      <c r="P70" s="1201"/>
      <c r="Q70" s="1201"/>
      <c r="R70" s="1201"/>
      <c r="S70" s="1201"/>
      <c r="T70" s="1201"/>
      <c r="U70" s="39"/>
      <c r="V70" s="39"/>
      <c r="W70" s="92"/>
      <c r="X70" s="13"/>
    </row>
    <row r="71" spans="1:25" ht="15" customHeight="1" x14ac:dyDescent="0.25">
      <c r="A71" s="56"/>
      <c r="B71" s="40" t="s">
        <v>261</v>
      </c>
      <c r="C71" s="57"/>
      <c r="D71" s="58"/>
      <c r="E71" s="58"/>
      <c r="F71" s="1192" t="s">
        <v>258</v>
      </c>
      <c r="G71" s="1194" t="s">
        <v>278</v>
      </c>
      <c r="H71" s="58"/>
      <c r="I71" s="58"/>
      <c r="J71" s="58"/>
      <c r="K71" s="1192" t="s">
        <v>258</v>
      </c>
      <c r="L71" s="1194" t="s">
        <v>278</v>
      </c>
      <c r="M71" s="58"/>
      <c r="N71" s="58"/>
      <c r="O71" s="58"/>
      <c r="P71" s="1192" t="s">
        <v>258</v>
      </c>
      <c r="Q71" s="1184" t="s">
        <v>278</v>
      </c>
      <c r="R71" s="58"/>
      <c r="S71" s="58"/>
      <c r="T71" s="59"/>
      <c r="U71" s="1192" t="s">
        <v>258</v>
      </c>
      <c r="V71" s="1184" t="s">
        <v>278</v>
      </c>
      <c r="W71" s="1186" t="s">
        <v>154</v>
      </c>
      <c r="X71" s="1188" t="s">
        <v>155</v>
      </c>
    </row>
    <row r="72" spans="1:25" ht="15" customHeight="1" thickBot="1" x14ac:dyDescent="0.3">
      <c r="A72" s="47" t="s">
        <v>56</v>
      </c>
      <c r="B72" s="41" t="s">
        <v>455</v>
      </c>
      <c r="C72" s="60">
        <v>41821</v>
      </c>
      <c r="D72" s="61">
        <v>41852</v>
      </c>
      <c r="E72" s="61">
        <v>41883</v>
      </c>
      <c r="F72" s="1193"/>
      <c r="G72" s="1195"/>
      <c r="H72" s="61">
        <v>41913</v>
      </c>
      <c r="I72" s="61">
        <v>41944</v>
      </c>
      <c r="J72" s="61">
        <v>41974</v>
      </c>
      <c r="K72" s="1193"/>
      <c r="L72" s="1195"/>
      <c r="M72" s="61">
        <v>42005</v>
      </c>
      <c r="N72" s="61">
        <v>42036</v>
      </c>
      <c r="O72" s="61">
        <v>42064</v>
      </c>
      <c r="P72" s="1193"/>
      <c r="Q72" s="1185"/>
      <c r="R72" s="61">
        <v>42095</v>
      </c>
      <c r="S72" s="61">
        <v>42125</v>
      </c>
      <c r="T72" s="62">
        <v>42156</v>
      </c>
      <c r="U72" s="1193"/>
      <c r="V72" s="1185"/>
      <c r="W72" s="1187"/>
      <c r="X72" s="1189"/>
    </row>
    <row r="73" spans="1:25" ht="15" customHeight="1" thickBot="1" x14ac:dyDescent="0.3">
      <c r="A73" s="48" t="s">
        <v>310</v>
      </c>
      <c r="B73" s="42" t="s">
        <v>492</v>
      </c>
      <c r="C73" s="125">
        <v>839.9</v>
      </c>
      <c r="D73" s="125">
        <v>851.6</v>
      </c>
      <c r="E73" s="117">
        <v>853.9</v>
      </c>
      <c r="F73" s="63">
        <f>SUM(C73:E73)/3</f>
        <v>848.4666666666667</v>
      </c>
      <c r="G73" s="108">
        <f>F73*92</f>
        <v>78058.933333333334</v>
      </c>
      <c r="H73" s="117">
        <v>843.4</v>
      </c>
      <c r="I73" s="117">
        <v>852.8</v>
      </c>
      <c r="J73" s="117">
        <v>853.2</v>
      </c>
      <c r="K73" s="63">
        <f>SUM(H73:J73)/3</f>
        <v>849.79999999999984</v>
      </c>
      <c r="L73" s="108">
        <f>K73*92</f>
        <v>78181.599999999991</v>
      </c>
      <c r="M73" s="117">
        <v>871.8</v>
      </c>
      <c r="N73" s="85">
        <v>857.3</v>
      </c>
      <c r="O73" s="85">
        <v>830.4</v>
      </c>
      <c r="P73" s="63">
        <f>SUM(M73:O73)/3</f>
        <v>853.16666666666663</v>
      </c>
      <c r="Q73" s="108">
        <f>P73*90</f>
        <v>76785</v>
      </c>
      <c r="R73" s="117">
        <v>837.8</v>
      </c>
      <c r="S73" s="85">
        <v>849.1</v>
      </c>
      <c r="T73" s="135">
        <v>843.6</v>
      </c>
      <c r="U73" s="63">
        <f>SUM(R73:T73)/3</f>
        <v>843.5</v>
      </c>
      <c r="V73" s="111">
        <f>U73*91</f>
        <v>76758.5</v>
      </c>
      <c r="W73" s="64">
        <f>SUM(C73+D73+E73+H73+I73+J73+M73+N73+O73+R73+S73+T73)/12</f>
        <v>848.73333333333346</v>
      </c>
      <c r="X73" s="65">
        <f>W73*365</f>
        <v>309787.66666666669</v>
      </c>
    </row>
    <row r="74" spans="1:25" ht="15" customHeight="1" thickBot="1" x14ac:dyDescent="0.3">
      <c r="A74" s="49" t="s">
        <v>138</v>
      </c>
      <c r="B74" s="43" t="s">
        <v>456</v>
      </c>
      <c r="C74" s="126">
        <v>121.1</v>
      </c>
      <c r="D74" s="126">
        <v>118.2</v>
      </c>
      <c r="E74" s="118">
        <v>119.4</v>
      </c>
      <c r="F74" s="63">
        <f>SUM(C74:E74)/3</f>
        <v>119.56666666666668</v>
      </c>
      <c r="G74" s="108">
        <f>F74*92</f>
        <v>11000.133333333335</v>
      </c>
      <c r="H74" s="118">
        <v>110.9</v>
      </c>
      <c r="I74" s="118">
        <v>105.6</v>
      </c>
      <c r="J74" s="118">
        <v>106.7</v>
      </c>
      <c r="K74" s="63">
        <f>SUM(H74:J74)/3</f>
        <v>107.73333333333333</v>
      </c>
      <c r="L74" s="108">
        <f>K74*92</f>
        <v>9911.4666666666672</v>
      </c>
      <c r="M74" s="118">
        <v>114.6</v>
      </c>
      <c r="N74" s="86">
        <v>117.9</v>
      </c>
      <c r="O74" s="86">
        <v>94.3</v>
      </c>
      <c r="P74" s="63">
        <f>SUM(M74:O74)/3</f>
        <v>108.93333333333334</v>
      </c>
      <c r="Q74" s="108">
        <f>P74*90</f>
        <v>9804</v>
      </c>
      <c r="R74" s="118">
        <v>95.7</v>
      </c>
      <c r="S74" s="86">
        <v>126.2</v>
      </c>
      <c r="T74" s="89">
        <v>114.7</v>
      </c>
      <c r="U74" s="63">
        <f>SUM(R74:T74)/3</f>
        <v>112.2</v>
      </c>
      <c r="V74" s="111">
        <f>U74*91</f>
        <v>10210.200000000001</v>
      </c>
      <c r="W74" s="64">
        <f t="shared" ref="W74:W85" si="38">SUM(C74+D74+E74+H74+I74+J74+M74+N74+O74+R74+S74+T74)/12</f>
        <v>112.10833333333335</v>
      </c>
      <c r="X74" s="65">
        <f t="shared" ref="X74:X86" si="39">W74*365</f>
        <v>40919.541666666672</v>
      </c>
    </row>
    <row r="75" spans="1:25" ht="15" customHeight="1" thickBot="1" x14ac:dyDescent="0.3">
      <c r="A75" s="50" t="s">
        <v>337</v>
      </c>
      <c r="B75" s="44" t="s">
        <v>336</v>
      </c>
      <c r="C75" s="4">
        <v>263.89999999999998</v>
      </c>
      <c r="D75" s="4">
        <v>249.5</v>
      </c>
      <c r="E75" s="3">
        <v>258.7</v>
      </c>
      <c r="F75" s="63">
        <f>SUM(C75:E75)/3</f>
        <v>257.36666666666662</v>
      </c>
      <c r="G75" s="108">
        <f>F75*92</f>
        <v>23677.73333333333</v>
      </c>
      <c r="H75" s="3">
        <v>248.3</v>
      </c>
      <c r="I75" s="3">
        <v>268.3</v>
      </c>
      <c r="J75" s="3">
        <v>265</v>
      </c>
      <c r="K75" s="63">
        <f>SUM(H75:J75)/3</f>
        <v>260.53333333333336</v>
      </c>
      <c r="L75" s="108">
        <f>K75*92</f>
        <v>23969.066666666669</v>
      </c>
      <c r="M75" s="3">
        <v>277.5</v>
      </c>
      <c r="N75" s="87">
        <v>292.3</v>
      </c>
      <c r="O75" s="87">
        <v>273.3</v>
      </c>
      <c r="P75" s="63">
        <f>SUM(M75:O75)/3</f>
        <v>281.0333333333333</v>
      </c>
      <c r="Q75" s="108">
        <f>P75*90</f>
        <v>25292.999999999996</v>
      </c>
      <c r="R75" s="3">
        <v>280.7</v>
      </c>
      <c r="S75" s="87">
        <v>286.5</v>
      </c>
      <c r="T75" s="90">
        <v>272.60000000000002</v>
      </c>
      <c r="U75" s="63">
        <f>SUM(R75:T75)/3</f>
        <v>279.93333333333334</v>
      </c>
      <c r="V75" s="111">
        <f>U75*91</f>
        <v>25473.933333333334</v>
      </c>
      <c r="W75" s="64">
        <f t="shared" si="38"/>
        <v>269.71666666666664</v>
      </c>
      <c r="X75" s="65">
        <f t="shared" si="39"/>
        <v>98446.583333333328</v>
      </c>
    </row>
    <row r="76" spans="1:25" ht="15" customHeight="1" thickBot="1" x14ac:dyDescent="0.3">
      <c r="A76" s="50" t="s">
        <v>462</v>
      </c>
      <c r="B76" s="44" t="s">
        <v>587</v>
      </c>
      <c r="C76" s="4">
        <v>1388.4</v>
      </c>
      <c r="D76" s="4">
        <v>1411.3</v>
      </c>
      <c r="E76" s="3">
        <v>1411.3</v>
      </c>
      <c r="F76" s="63">
        <f>SUM(C76:E76)/3</f>
        <v>1403.6666666666667</v>
      </c>
      <c r="G76" s="108">
        <f>F76*92</f>
        <v>129137.33333333334</v>
      </c>
      <c r="H76" s="3">
        <v>1411.9</v>
      </c>
      <c r="I76" s="3">
        <v>1424.9</v>
      </c>
      <c r="J76" s="3">
        <v>1416.8</v>
      </c>
      <c r="K76" s="63">
        <f>SUM(H76:J76)/3</f>
        <v>1417.8666666666668</v>
      </c>
      <c r="L76" s="108">
        <f>K76*92</f>
        <v>130443.73333333334</v>
      </c>
      <c r="M76" s="3">
        <v>1421</v>
      </c>
      <c r="N76" s="87">
        <v>1423.6</v>
      </c>
      <c r="O76" s="87">
        <v>1422.7</v>
      </c>
      <c r="P76" s="63">
        <f>SUM(M76:O76)/3</f>
        <v>1422.4333333333334</v>
      </c>
      <c r="Q76" s="108">
        <f>P76*90</f>
        <v>128019</v>
      </c>
      <c r="R76" s="3">
        <v>1393</v>
      </c>
      <c r="S76" s="87">
        <v>1378.3</v>
      </c>
      <c r="T76" s="90">
        <v>1367.1</v>
      </c>
      <c r="U76" s="63">
        <f>SUM(R76:T76)/3</f>
        <v>1379.4666666666665</v>
      </c>
      <c r="V76" s="111">
        <f>U76*91</f>
        <v>125531.46666666665</v>
      </c>
      <c r="W76" s="64">
        <f t="shared" si="38"/>
        <v>1405.8583333333333</v>
      </c>
      <c r="X76" s="65">
        <f t="shared" si="39"/>
        <v>513138.29166666669</v>
      </c>
    </row>
    <row r="77" spans="1:25" ht="15" customHeight="1" thickBot="1" x14ac:dyDescent="0.3">
      <c r="A77" s="51" t="s">
        <v>275</v>
      </c>
      <c r="B77" s="44" t="s">
        <v>299</v>
      </c>
      <c r="C77" s="4">
        <v>414.8</v>
      </c>
      <c r="D77" s="4">
        <v>409.1</v>
      </c>
      <c r="E77" s="3">
        <v>439.9</v>
      </c>
      <c r="F77" s="63">
        <f t="shared" ref="F77:F86" si="40">SUM(C77:E77)/3</f>
        <v>421.26666666666671</v>
      </c>
      <c r="G77" s="108">
        <f t="shared" ref="G77:G86" si="41">F77*92</f>
        <v>38756.53333333334</v>
      </c>
      <c r="H77" s="3">
        <v>423.5</v>
      </c>
      <c r="I77" s="3">
        <v>413.7</v>
      </c>
      <c r="J77" s="3">
        <v>407.7</v>
      </c>
      <c r="K77" s="63">
        <f t="shared" ref="K77:K87" si="42">SUM(H77:J77)/3</f>
        <v>414.9666666666667</v>
      </c>
      <c r="L77" s="108">
        <f t="shared" ref="L77:L87" si="43">K77*92</f>
        <v>38176.933333333334</v>
      </c>
      <c r="M77" s="3">
        <v>441.6</v>
      </c>
      <c r="N77" s="87">
        <v>429.2</v>
      </c>
      <c r="O77" s="87">
        <v>433.3</v>
      </c>
      <c r="P77" s="63">
        <f t="shared" ref="P77:P87" si="44">SUM(M77:O77)/3</f>
        <v>434.7</v>
      </c>
      <c r="Q77" s="108">
        <f t="shared" ref="Q77:Q87" si="45">P77*90</f>
        <v>39123</v>
      </c>
      <c r="R77" s="3">
        <v>421.7</v>
      </c>
      <c r="S77" s="87">
        <v>425</v>
      </c>
      <c r="T77" s="90">
        <v>426</v>
      </c>
      <c r="U77" s="63">
        <f t="shared" ref="U77:U87" si="46">SUM(R77:T77)/3</f>
        <v>424.23333333333335</v>
      </c>
      <c r="V77" s="111">
        <f t="shared" ref="V77:V87" si="47">U77*91</f>
        <v>38605.233333333337</v>
      </c>
      <c r="W77" s="64">
        <f t="shared" si="38"/>
        <v>423.79166666666669</v>
      </c>
      <c r="X77" s="65">
        <f t="shared" si="39"/>
        <v>154683.95833333334</v>
      </c>
    </row>
    <row r="78" spans="1:25" ht="15" customHeight="1" thickBot="1" x14ac:dyDescent="0.3">
      <c r="A78" s="50" t="s">
        <v>16</v>
      </c>
      <c r="B78" s="44" t="s">
        <v>268</v>
      </c>
      <c r="C78" s="4">
        <v>66.2</v>
      </c>
      <c r="D78" s="4">
        <v>72.599999999999994</v>
      </c>
      <c r="E78" s="3">
        <v>69</v>
      </c>
      <c r="F78" s="63">
        <f t="shared" si="40"/>
        <v>69.266666666666666</v>
      </c>
      <c r="G78" s="108">
        <f t="shared" si="41"/>
        <v>6372.5333333333328</v>
      </c>
      <c r="H78" s="3">
        <v>75</v>
      </c>
      <c r="I78" s="3">
        <v>61.9</v>
      </c>
      <c r="J78" s="3">
        <v>57.8</v>
      </c>
      <c r="K78" s="63">
        <f t="shared" si="42"/>
        <v>64.899999999999991</v>
      </c>
      <c r="L78" s="108">
        <f t="shared" si="43"/>
        <v>5970.7999999999993</v>
      </c>
      <c r="M78" s="3">
        <v>59</v>
      </c>
      <c r="N78" s="87">
        <v>62.9</v>
      </c>
      <c r="O78" s="87">
        <v>55.2</v>
      </c>
      <c r="P78" s="63">
        <f t="shared" si="44"/>
        <v>59.033333333333339</v>
      </c>
      <c r="Q78" s="108">
        <f t="shared" si="45"/>
        <v>5313.0000000000009</v>
      </c>
      <c r="R78" s="3">
        <v>62.2</v>
      </c>
      <c r="S78" s="87">
        <v>55.8</v>
      </c>
      <c r="T78" s="90">
        <v>58.4</v>
      </c>
      <c r="U78" s="63">
        <f t="shared" si="46"/>
        <v>58.800000000000004</v>
      </c>
      <c r="V78" s="111">
        <f t="shared" si="47"/>
        <v>5350.8</v>
      </c>
      <c r="W78" s="64">
        <f t="shared" si="38"/>
        <v>63</v>
      </c>
      <c r="X78" s="65">
        <f t="shared" si="39"/>
        <v>22995</v>
      </c>
    </row>
    <row r="79" spans="1:25" ht="15" customHeight="1" thickBot="1" x14ac:dyDescent="0.3">
      <c r="A79" s="50" t="s">
        <v>17</v>
      </c>
      <c r="B79" s="44" t="s">
        <v>494</v>
      </c>
      <c r="C79" s="4">
        <v>231.5</v>
      </c>
      <c r="D79" s="4">
        <v>231.6</v>
      </c>
      <c r="E79" s="3">
        <v>225.7</v>
      </c>
      <c r="F79" s="63">
        <f t="shared" si="40"/>
        <v>229.6</v>
      </c>
      <c r="G79" s="108">
        <f t="shared" si="41"/>
        <v>21123.200000000001</v>
      </c>
      <c r="H79" s="3">
        <v>229.4</v>
      </c>
      <c r="I79" s="3">
        <v>237.3</v>
      </c>
      <c r="J79" s="3">
        <v>244.4</v>
      </c>
      <c r="K79" s="63">
        <f t="shared" si="42"/>
        <v>237.03333333333333</v>
      </c>
      <c r="L79" s="108">
        <f t="shared" si="43"/>
        <v>21807.066666666666</v>
      </c>
      <c r="M79" s="3">
        <v>253</v>
      </c>
      <c r="N79" s="87">
        <v>248.4</v>
      </c>
      <c r="O79" s="87">
        <v>243.2</v>
      </c>
      <c r="P79" s="63">
        <f t="shared" si="44"/>
        <v>248.19999999999996</v>
      </c>
      <c r="Q79" s="108">
        <f t="shared" si="45"/>
        <v>22337.999999999996</v>
      </c>
      <c r="R79" s="3">
        <v>233</v>
      </c>
      <c r="S79" s="87">
        <v>228.4</v>
      </c>
      <c r="T79" s="90">
        <v>236.7</v>
      </c>
      <c r="U79" s="63">
        <f t="shared" si="46"/>
        <v>232.69999999999996</v>
      </c>
      <c r="V79" s="111">
        <f t="shared" si="47"/>
        <v>21175.699999999997</v>
      </c>
      <c r="W79" s="64">
        <f t="shared" si="38"/>
        <v>236.88333333333333</v>
      </c>
      <c r="X79" s="65">
        <f t="shared" si="39"/>
        <v>86462.416666666657</v>
      </c>
    </row>
    <row r="80" spans="1:25" ht="15" customHeight="1" thickBot="1" x14ac:dyDescent="0.3">
      <c r="A80" s="50" t="s">
        <v>140</v>
      </c>
      <c r="B80" s="44" t="s">
        <v>301</v>
      </c>
      <c r="C80" s="4">
        <v>110.1</v>
      </c>
      <c r="D80" s="4">
        <v>107.3</v>
      </c>
      <c r="E80" s="3">
        <v>110.1</v>
      </c>
      <c r="F80" s="63">
        <f t="shared" si="40"/>
        <v>109.16666666666667</v>
      </c>
      <c r="G80" s="108">
        <f t="shared" si="41"/>
        <v>10043.333333333334</v>
      </c>
      <c r="H80" s="3">
        <v>112.2</v>
      </c>
      <c r="I80" s="3">
        <v>112.1</v>
      </c>
      <c r="J80" s="3">
        <v>105</v>
      </c>
      <c r="K80" s="63">
        <f t="shared" si="42"/>
        <v>109.76666666666667</v>
      </c>
      <c r="L80" s="108">
        <f t="shared" si="43"/>
        <v>10098.533333333333</v>
      </c>
      <c r="M80" s="3">
        <v>108.2</v>
      </c>
      <c r="N80" s="87">
        <v>110.9</v>
      </c>
      <c r="O80" s="87">
        <v>103.6</v>
      </c>
      <c r="P80" s="63">
        <f t="shared" si="44"/>
        <v>107.56666666666668</v>
      </c>
      <c r="Q80" s="108">
        <f t="shared" si="45"/>
        <v>9681.0000000000018</v>
      </c>
      <c r="R80" s="3">
        <v>102.6</v>
      </c>
      <c r="S80" s="87">
        <v>101.1</v>
      </c>
      <c r="T80" s="90">
        <v>99</v>
      </c>
      <c r="U80" s="63">
        <f t="shared" si="46"/>
        <v>100.89999999999999</v>
      </c>
      <c r="V80" s="111">
        <f t="shared" si="47"/>
        <v>9181.9</v>
      </c>
      <c r="W80" s="64">
        <f t="shared" si="38"/>
        <v>106.84999999999998</v>
      </c>
      <c r="X80" s="65">
        <f t="shared" si="39"/>
        <v>39000.249999999993</v>
      </c>
    </row>
    <row r="81" spans="1:24" ht="15" customHeight="1" thickBot="1" x14ac:dyDescent="0.3">
      <c r="A81" s="51" t="s">
        <v>276</v>
      </c>
      <c r="B81" s="44" t="s">
        <v>308</v>
      </c>
      <c r="C81" s="4">
        <f>318.4+175.9</f>
        <v>494.29999999999995</v>
      </c>
      <c r="D81" s="4">
        <f>333.5+175.9</f>
        <v>509.4</v>
      </c>
      <c r="E81" s="3">
        <f>330+175.9</f>
        <v>505.9</v>
      </c>
      <c r="F81" s="63">
        <f t="shared" si="40"/>
        <v>503.2</v>
      </c>
      <c r="G81" s="108">
        <f t="shared" si="41"/>
        <v>46294.400000000001</v>
      </c>
      <c r="H81" s="3">
        <f>333.6+175.6</f>
        <v>509.20000000000005</v>
      </c>
      <c r="I81" s="3">
        <f>333.4+175.7</f>
        <v>509.09999999999997</v>
      </c>
      <c r="J81" s="3">
        <f>331.5+175.9</f>
        <v>507.4</v>
      </c>
      <c r="K81" s="63">
        <f t="shared" si="42"/>
        <v>508.56666666666661</v>
      </c>
      <c r="L81" s="108">
        <f t="shared" si="43"/>
        <v>46788.133333333331</v>
      </c>
      <c r="M81" s="3">
        <f>330+175.9</f>
        <v>505.9</v>
      </c>
      <c r="N81" s="87">
        <f>334.2+176</f>
        <v>510.2</v>
      </c>
      <c r="O81" s="87">
        <f>325.2+175.8</f>
        <v>501</v>
      </c>
      <c r="P81" s="63">
        <f t="shared" si="44"/>
        <v>505.7</v>
      </c>
      <c r="Q81" s="108">
        <f t="shared" si="45"/>
        <v>45513</v>
      </c>
      <c r="R81" s="3">
        <f>322.3+175.9</f>
        <v>498.20000000000005</v>
      </c>
      <c r="S81" s="87">
        <f>321.4+175.7</f>
        <v>497.09999999999997</v>
      </c>
      <c r="T81" s="90">
        <f>310.7+175.6</f>
        <v>486.29999999999995</v>
      </c>
      <c r="U81" s="63">
        <f t="shared" si="46"/>
        <v>493.86666666666662</v>
      </c>
      <c r="V81" s="111">
        <f t="shared" si="47"/>
        <v>44941.866666666661</v>
      </c>
      <c r="W81" s="64">
        <f t="shared" si="38"/>
        <v>502.83333333333331</v>
      </c>
      <c r="X81" s="65">
        <f t="shared" si="39"/>
        <v>183534.16666666666</v>
      </c>
    </row>
    <row r="82" spans="1:24" ht="15" customHeight="1" thickBot="1" x14ac:dyDescent="0.3">
      <c r="A82" s="50" t="s">
        <v>149</v>
      </c>
      <c r="B82" s="121" t="s">
        <v>302</v>
      </c>
      <c r="C82" s="4">
        <v>0</v>
      </c>
      <c r="D82" s="4">
        <v>0</v>
      </c>
      <c r="E82" s="4">
        <v>0</v>
      </c>
      <c r="F82" s="63">
        <v>0</v>
      </c>
      <c r="G82" s="108">
        <f t="shared" si="41"/>
        <v>0</v>
      </c>
      <c r="H82" s="4">
        <v>0</v>
      </c>
      <c r="I82" s="4">
        <v>0</v>
      </c>
      <c r="J82" s="4">
        <v>0</v>
      </c>
      <c r="K82" s="63">
        <f t="shared" si="42"/>
        <v>0</v>
      </c>
      <c r="L82" s="108">
        <f t="shared" si="43"/>
        <v>0</v>
      </c>
      <c r="M82" s="4">
        <v>0</v>
      </c>
      <c r="N82" s="4">
        <v>0</v>
      </c>
      <c r="O82" s="4">
        <v>0</v>
      </c>
      <c r="P82" s="63">
        <f t="shared" si="44"/>
        <v>0</v>
      </c>
      <c r="Q82" s="108">
        <f t="shared" si="45"/>
        <v>0</v>
      </c>
      <c r="R82" s="4">
        <v>0</v>
      </c>
      <c r="S82" s="4">
        <v>0</v>
      </c>
      <c r="T82" s="4">
        <v>0</v>
      </c>
      <c r="U82" s="63">
        <f t="shared" si="46"/>
        <v>0</v>
      </c>
      <c r="V82" s="111">
        <f t="shared" si="47"/>
        <v>0</v>
      </c>
      <c r="W82" s="64">
        <f t="shared" si="38"/>
        <v>0</v>
      </c>
      <c r="X82" s="65">
        <f>W82*365</f>
        <v>0</v>
      </c>
    </row>
    <row r="83" spans="1:24" ht="15" customHeight="1" thickBot="1" x14ac:dyDescent="0.3">
      <c r="A83" s="49" t="s">
        <v>20</v>
      </c>
      <c r="B83" s="43" t="s">
        <v>588</v>
      </c>
      <c r="C83" s="126">
        <v>527.5</v>
      </c>
      <c r="D83" s="126">
        <v>525.79999999999995</v>
      </c>
      <c r="E83" s="118">
        <v>536.1</v>
      </c>
      <c r="F83" s="63">
        <f t="shared" si="40"/>
        <v>529.80000000000007</v>
      </c>
      <c r="G83" s="108">
        <f t="shared" si="41"/>
        <v>48741.600000000006</v>
      </c>
      <c r="H83" s="118">
        <v>527.1</v>
      </c>
      <c r="I83" s="3">
        <v>527</v>
      </c>
      <c r="J83" s="118">
        <v>523.70000000000005</v>
      </c>
      <c r="K83" s="63">
        <f t="shared" si="42"/>
        <v>525.93333333333328</v>
      </c>
      <c r="L83" s="111">
        <f t="shared" si="43"/>
        <v>48385.866666666661</v>
      </c>
      <c r="M83" s="3">
        <v>525</v>
      </c>
      <c r="N83" s="86">
        <v>523</v>
      </c>
      <c r="O83" s="86">
        <v>527.5</v>
      </c>
      <c r="P83" s="63">
        <f t="shared" si="44"/>
        <v>525.16666666666663</v>
      </c>
      <c r="Q83" s="108">
        <f t="shared" si="45"/>
        <v>47265</v>
      </c>
      <c r="R83" s="3">
        <v>532</v>
      </c>
      <c r="S83" s="86">
        <v>529.20000000000005</v>
      </c>
      <c r="T83" s="89">
        <v>529.20000000000005</v>
      </c>
      <c r="U83" s="63">
        <f t="shared" si="46"/>
        <v>530.13333333333333</v>
      </c>
      <c r="V83" s="111">
        <f t="shared" si="47"/>
        <v>48242.133333333331</v>
      </c>
      <c r="W83" s="64">
        <f t="shared" si="38"/>
        <v>527.75833333333333</v>
      </c>
      <c r="X83" s="65">
        <f t="shared" si="39"/>
        <v>192631.79166666666</v>
      </c>
    </row>
    <row r="84" spans="1:24" ht="15" customHeight="1" thickBot="1" x14ac:dyDescent="0.3">
      <c r="A84" s="51" t="s">
        <v>457</v>
      </c>
      <c r="B84" s="44" t="s">
        <v>589</v>
      </c>
      <c r="C84" s="4">
        <f>311.6+96.8</f>
        <v>408.40000000000003</v>
      </c>
      <c r="D84" s="4">
        <f>310.5+102.5</f>
        <v>413</v>
      </c>
      <c r="E84" s="3">
        <f>321.3+111.1</f>
        <v>432.4</v>
      </c>
      <c r="F84" s="63">
        <f t="shared" si="40"/>
        <v>417.93333333333339</v>
      </c>
      <c r="G84" s="108">
        <f t="shared" si="41"/>
        <v>38449.866666666669</v>
      </c>
      <c r="H84" s="3">
        <f>315.6+121.3</f>
        <v>436.90000000000003</v>
      </c>
      <c r="I84" s="3">
        <f>308+122</f>
        <v>430</v>
      </c>
      <c r="J84" s="3">
        <f>294.8+124.6</f>
        <v>419.4</v>
      </c>
      <c r="K84" s="63">
        <f t="shared" si="42"/>
        <v>428.76666666666671</v>
      </c>
      <c r="L84" s="108">
        <f t="shared" si="43"/>
        <v>39446.53333333334</v>
      </c>
      <c r="M84" s="3">
        <f>311.7+127.5</f>
        <v>439.2</v>
      </c>
      <c r="N84" s="87">
        <f>311.1+124.9</f>
        <v>436</v>
      </c>
      <c r="O84" s="87">
        <f>323.3+116.3</f>
        <v>439.6</v>
      </c>
      <c r="P84" s="63">
        <f t="shared" si="44"/>
        <v>438.26666666666671</v>
      </c>
      <c r="Q84" s="108">
        <f t="shared" si="45"/>
        <v>39444.000000000007</v>
      </c>
      <c r="R84" s="3">
        <f>332.3+107.1</f>
        <v>439.4</v>
      </c>
      <c r="S84" s="87">
        <f>343.1+107.9</f>
        <v>451</v>
      </c>
      <c r="T84" s="90">
        <f>326.3+101.3</f>
        <v>427.6</v>
      </c>
      <c r="U84" s="63">
        <f t="shared" si="46"/>
        <v>439.33333333333331</v>
      </c>
      <c r="V84" s="111">
        <f t="shared" si="47"/>
        <v>39979.333333333328</v>
      </c>
      <c r="W84" s="64">
        <f t="shared" si="38"/>
        <v>431.07500000000005</v>
      </c>
      <c r="X84" s="65">
        <f t="shared" si="39"/>
        <v>157342.37500000003</v>
      </c>
    </row>
    <row r="85" spans="1:24" ht="15" customHeight="1" thickBot="1" x14ac:dyDescent="0.3">
      <c r="A85" s="50" t="s">
        <v>141</v>
      </c>
      <c r="B85" s="44" t="s">
        <v>590</v>
      </c>
      <c r="C85" s="4">
        <v>204.2</v>
      </c>
      <c r="D85" s="4">
        <v>191.2</v>
      </c>
      <c r="E85" s="3">
        <v>197</v>
      </c>
      <c r="F85" s="63">
        <f t="shared" si="40"/>
        <v>197.46666666666667</v>
      </c>
      <c r="G85" s="108">
        <f t="shared" si="41"/>
        <v>18166.933333333334</v>
      </c>
      <c r="H85" s="3">
        <v>194.9</v>
      </c>
      <c r="I85" s="3">
        <v>194.2</v>
      </c>
      <c r="J85" s="3">
        <v>195.5</v>
      </c>
      <c r="K85" s="63">
        <f t="shared" si="42"/>
        <v>194.86666666666667</v>
      </c>
      <c r="L85" s="108">
        <f t="shared" si="43"/>
        <v>17927.733333333334</v>
      </c>
      <c r="M85" s="3">
        <v>204.8</v>
      </c>
      <c r="N85" s="87">
        <v>191.9</v>
      </c>
      <c r="O85" s="87">
        <v>199.9</v>
      </c>
      <c r="P85" s="63">
        <f t="shared" si="44"/>
        <v>198.86666666666667</v>
      </c>
      <c r="Q85" s="108">
        <f t="shared" si="45"/>
        <v>17898</v>
      </c>
      <c r="R85" s="3">
        <v>191.4</v>
      </c>
      <c r="S85" s="87">
        <v>182.6</v>
      </c>
      <c r="T85" s="90">
        <v>170.3</v>
      </c>
      <c r="U85" s="63">
        <f t="shared" si="46"/>
        <v>181.43333333333331</v>
      </c>
      <c r="V85" s="111">
        <f t="shared" si="47"/>
        <v>16510.433333333331</v>
      </c>
      <c r="W85" s="64">
        <f t="shared" si="38"/>
        <v>193.15833333333339</v>
      </c>
      <c r="X85" s="65">
        <f t="shared" si="39"/>
        <v>70502.791666666686</v>
      </c>
    </row>
    <row r="86" spans="1:24" ht="15" customHeight="1" thickBot="1" x14ac:dyDescent="0.3">
      <c r="A86" s="50" t="s">
        <v>142</v>
      </c>
      <c r="B86" s="34"/>
      <c r="C86" s="4">
        <v>0</v>
      </c>
      <c r="D86" s="4">
        <v>0</v>
      </c>
      <c r="E86" s="4">
        <v>0</v>
      </c>
      <c r="F86" s="67">
        <f t="shared" si="40"/>
        <v>0</v>
      </c>
      <c r="G86" s="108">
        <f t="shared" si="41"/>
        <v>0</v>
      </c>
      <c r="H86" s="4">
        <v>0</v>
      </c>
      <c r="I86" s="4">
        <v>0</v>
      </c>
      <c r="J86" s="4">
        <v>0</v>
      </c>
      <c r="K86" s="67">
        <f t="shared" si="42"/>
        <v>0</v>
      </c>
      <c r="L86" s="108">
        <f t="shared" si="43"/>
        <v>0</v>
      </c>
      <c r="M86" s="4">
        <v>0</v>
      </c>
      <c r="N86" s="4">
        <v>0</v>
      </c>
      <c r="O86" s="4">
        <v>0</v>
      </c>
      <c r="P86" s="67">
        <f t="shared" si="44"/>
        <v>0</v>
      </c>
      <c r="Q86" s="108">
        <f t="shared" si="45"/>
        <v>0</v>
      </c>
      <c r="R86" s="3" t="s">
        <v>114</v>
      </c>
      <c r="S86" s="3" t="s">
        <v>114</v>
      </c>
      <c r="T86" s="4" t="s">
        <v>114</v>
      </c>
      <c r="U86" s="67">
        <f t="shared" si="46"/>
        <v>0</v>
      </c>
      <c r="V86" s="112">
        <f t="shared" si="47"/>
        <v>0</v>
      </c>
      <c r="W86" s="64">
        <v>0</v>
      </c>
      <c r="X86" s="65">
        <f t="shared" si="39"/>
        <v>0</v>
      </c>
    </row>
    <row r="87" spans="1:24" ht="15" customHeight="1" thickBot="1" x14ac:dyDescent="0.3">
      <c r="A87" s="701" t="s">
        <v>150</v>
      </c>
      <c r="B87" s="702"/>
      <c r="C87" s="703">
        <f>SUM(C73:C86)</f>
        <v>5070.2999999999993</v>
      </c>
      <c r="D87" s="703">
        <f>SUM(D73:D86)</f>
        <v>5090.6000000000004</v>
      </c>
      <c r="E87" s="703">
        <f>SUM(E73:E86)</f>
        <v>5159.3999999999996</v>
      </c>
      <c r="F87" s="704">
        <f>SUM(C87:E87)/3</f>
        <v>5106.7666666666664</v>
      </c>
      <c r="G87" s="705">
        <f>F87*92</f>
        <v>469822.53333333333</v>
      </c>
      <c r="H87" s="706">
        <f>SUM(H73:H86)</f>
        <v>5122.7</v>
      </c>
      <c r="I87" s="703">
        <f>SUM(I73:I86)</f>
        <v>5136.9000000000005</v>
      </c>
      <c r="J87" s="703">
        <f>SUM(J73:J86)</f>
        <v>5102.5999999999995</v>
      </c>
      <c r="K87" s="704">
        <f t="shared" si="42"/>
        <v>5120.7333333333336</v>
      </c>
      <c r="L87" s="707">
        <f t="shared" si="43"/>
        <v>471107.46666666667</v>
      </c>
      <c r="M87" s="708">
        <f>SUM(M73:M86)</f>
        <v>5221.6000000000004</v>
      </c>
      <c r="N87" s="703">
        <f>SUM(N73:N86)</f>
        <v>5203.5999999999995</v>
      </c>
      <c r="O87" s="703">
        <f>SUM(O73:O86)</f>
        <v>5124</v>
      </c>
      <c r="P87" s="704">
        <f t="shared" si="44"/>
        <v>5183.0666666666666</v>
      </c>
      <c r="Q87" s="707">
        <f t="shared" si="45"/>
        <v>466476</v>
      </c>
      <c r="R87" s="706">
        <f>SUM(R73:R86)</f>
        <v>5087.6999999999989</v>
      </c>
      <c r="S87" s="703">
        <f>SUM(S73:S86)</f>
        <v>5110.3000000000011</v>
      </c>
      <c r="T87" s="709">
        <f>SUM(T73:T86)</f>
        <v>5031.5</v>
      </c>
      <c r="U87" s="704">
        <f t="shared" si="46"/>
        <v>5076.5</v>
      </c>
      <c r="V87" s="710">
        <f t="shared" si="47"/>
        <v>461961.5</v>
      </c>
      <c r="W87" s="711">
        <f>SUM(C87+D87+E87+H87+I87+J87+M87+N87+O87+R87+S87+T87)/12</f>
        <v>5121.7666666666664</v>
      </c>
      <c r="X87" s="722">
        <f>SUM(X73:X86)</f>
        <v>1869444.8333333337</v>
      </c>
    </row>
    <row r="88" spans="1:24" ht="15" customHeight="1" thickBot="1" x14ac:dyDescent="0.3">
      <c r="A88" s="46" t="s">
        <v>151</v>
      </c>
      <c r="B88" s="35"/>
      <c r="C88" s="70"/>
      <c r="D88" s="70"/>
      <c r="E88" s="71"/>
      <c r="F88" s="98"/>
      <c r="G88" s="98"/>
      <c r="H88" s="72"/>
      <c r="I88" s="70"/>
      <c r="J88" s="71"/>
      <c r="K88" s="97"/>
      <c r="L88" s="97"/>
      <c r="M88" s="72"/>
      <c r="N88" s="70"/>
      <c r="O88" s="71"/>
      <c r="P88" s="97"/>
      <c r="Q88" s="97"/>
      <c r="R88" s="72"/>
      <c r="S88" s="70"/>
      <c r="T88" s="71"/>
      <c r="U88" s="71"/>
      <c r="V88" s="70"/>
      <c r="W88" s="96"/>
      <c r="X88" s="69" t="s">
        <v>0</v>
      </c>
    </row>
    <row r="89" spans="1:24" ht="15" customHeight="1" thickBot="1" x14ac:dyDescent="0.3">
      <c r="A89" s="712" t="s">
        <v>143</v>
      </c>
      <c r="B89" s="713" t="s">
        <v>496</v>
      </c>
      <c r="C89" s="714">
        <v>739.16</v>
      </c>
      <c r="D89" s="714">
        <v>734</v>
      </c>
      <c r="E89" s="714">
        <v>727.13</v>
      </c>
      <c r="F89" s="715">
        <f t="shared" ref="F89:F95" si="48">SUM(C89:E89)/3</f>
        <v>733.43</v>
      </c>
      <c r="G89" s="716">
        <f t="shared" ref="G89:G95" si="49">F89*92</f>
        <v>67475.56</v>
      </c>
      <c r="H89" s="714">
        <f>655.87+53</f>
        <v>708.87</v>
      </c>
      <c r="I89" s="714">
        <v>686.93</v>
      </c>
      <c r="J89" s="714">
        <v>643</v>
      </c>
      <c r="K89" s="715">
        <f t="shared" ref="K89:K96" si="50">SUM(H89:J89)/3</f>
        <v>679.6</v>
      </c>
      <c r="L89" s="716">
        <f t="shared" ref="L89:L95" si="51">K89*92</f>
        <v>62523.200000000004</v>
      </c>
      <c r="M89" s="714">
        <v>633.03</v>
      </c>
      <c r="N89" s="717">
        <v>647</v>
      </c>
      <c r="O89" s="717">
        <v>708.84</v>
      </c>
      <c r="P89" s="715">
        <f t="shared" ref="P89:P96" si="52">SUM(M89:O89)/3</f>
        <v>662.95666666666659</v>
      </c>
      <c r="Q89" s="716">
        <f t="shared" ref="Q89:Q95" si="53">P89*90</f>
        <v>59666.099999999991</v>
      </c>
      <c r="R89" s="714">
        <v>694.6</v>
      </c>
      <c r="S89" s="717">
        <v>682.87</v>
      </c>
      <c r="T89" s="718">
        <v>683.07</v>
      </c>
      <c r="U89" s="715">
        <f t="shared" ref="U89:U96" si="54">SUM(R89:T89)/3</f>
        <v>686.84666666666669</v>
      </c>
      <c r="V89" s="719">
        <f t="shared" ref="V89:V95" si="55">U89*91</f>
        <v>62503.046666666669</v>
      </c>
      <c r="W89" s="720">
        <f t="shared" ref="W89:W92" si="56">SUM(C89+D89+E89+H89+I89+J89+M89+N89+O89+R89+S89+T89)/12</f>
        <v>690.70833333333337</v>
      </c>
      <c r="X89" s="721">
        <f t="shared" ref="X89:X94" si="57">W89*365</f>
        <v>252108.54166666669</v>
      </c>
    </row>
    <row r="90" spans="1:24" ht="15" customHeight="1" thickBot="1" x14ac:dyDescent="0.3">
      <c r="A90" s="50" t="s">
        <v>144</v>
      </c>
      <c r="B90" s="498">
        <v>35</v>
      </c>
      <c r="C90" s="5">
        <v>11</v>
      </c>
      <c r="D90" s="5">
        <v>10.71</v>
      </c>
      <c r="E90" s="5">
        <v>9.9700000000000006</v>
      </c>
      <c r="F90" s="63">
        <f t="shared" si="48"/>
        <v>10.56</v>
      </c>
      <c r="G90" s="108">
        <f t="shared" si="49"/>
        <v>971.5200000000001</v>
      </c>
      <c r="H90" s="5">
        <v>10</v>
      </c>
      <c r="I90" s="5">
        <v>10</v>
      </c>
      <c r="J90" s="5">
        <v>9.52</v>
      </c>
      <c r="K90" s="63">
        <f t="shared" si="50"/>
        <v>9.84</v>
      </c>
      <c r="L90" s="108">
        <f t="shared" si="51"/>
        <v>905.28</v>
      </c>
      <c r="M90" s="5">
        <v>8.35</v>
      </c>
      <c r="N90" s="75">
        <v>6</v>
      </c>
      <c r="O90" s="75">
        <v>5.71</v>
      </c>
      <c r="P90" s="63">
        <f t="shared" si="52"/>
        <v>6.6866666666666665</v>
      </c>
      <c r="Q90" s="108">
        <f t="shared" si="53"/>
        <v>601.79999999999995</v>
      </c>
      <c r="R90" s="5">
        <v>5.53</v>
      </c>
      <c r="S90" s="75">
        <v>5.84</v>
      </c>
      <c r="T90" s="76">
        <v>5.2</v>
      </c>
      <c r="U90" s="63">
        <f t="shared" si="54"/>
        <v>5.5233333333333334</v>
      </c>
      <c r="V90" s="111">
        <f t="shared" si="55"/>
        <v>502.62333333333333</v>
      </c>
      <c r="W90" s="64">
        <f t="shared" si="56"/>
        <v>8.1524999999999999</v>
      </c>
      <c r="X90" s="65">
        <f t="shared" si="57"/>
        <v>2975.6624999999999</v>
      </c>
    </row>
    <row r="91" spans="1:24" ht="15" customHeight="1" thickBot="1" x14ac:dyDescent="0.3">
      <c r="A91" s="50" t="s">
        <v>146</v>
      </c>
      <c r="B91" s="498">
        <v>26</v>
      </c>
      <c r="C91" s="5">
        <v>13</v>
      </c>
      <c r="D91" s="5">
        <v>14</v>
      </c>
      <c r="E91" s="5">
        <v>16</v>
      </c>
      <c r="F91" s="63">
        <f t="shared" si="48"/>
        <v>14.333333333333334</v>
      </c>
      <c r="G91" s="108">
        <f t="shared" si="49"/>
        <v>1318.6666666666667</v>
      </c>
      <c r="H91" s="5">
        <v>18</v>
      </c>
      <c r="I91" s="5">
        <v>19</v>
      </c>
      <c r="J91" s="5">
        <v>19</v>
      </c>
      <c r="K91" s="63">
        <f t="shared" si="50"/>
        <v>18.666666666666668</v>
      </c>
      <c r="L91" s="108">
        <f t="shared" si="51"/>
        <v>1717.3333333333335</v>
      </c>
      <c r="M91" s="5">
        <v>15</v>
      </c>
      <c r="N91" s="75">
        <v>13</v>
      </c>
      <c r="O91" s="75">
        <v>11</v>
      </c>
      <c r="P91" s="63">
        <f t="shared" si="52"/>
        <v>13</v>
      </c>
      <c r="Q91" s="108">
        <f t="shared" si="53"/>
        <v>1170</v>
      </c>
      <c r="R91" s="5">
        <v>11</v>
      </c>
      <c r="S91" s="75">
        <v>11</v>
      </c>
      <c r="T91" s="76">
        <v>12</v>
      </c>
      <c r="U91" s="63">
        <f t="shared" si="54"/>
        <v>11.333333333333334</v>
      </c>
      <c r="V91" s="111">
        <f t="shared" si="55"/>
        <v>1031.3333333333335</v>
      </c>
      <c r="W91" s="64">
        <f t="shared" si="56"/>
        <v>14.333333333333334</v>
      </c>
      <c r="X91" s="65">
        <f t="shared" si="57"/>
        <v>5231.666666666667</v>
      </c>
    </row>
    <row r="92" spans="1:24" ht="15" customHeight="1" thickBot="1" x14ac:dyDescent="0.3">
      <c r="A92" s="50" t="s">
        <v>145</v>
      </c>
      <c r="B92" s="498" t="s">
        <v>460</v>
      </c>
      <c r="C92" s="5">
        <v>426</v>
      </c>
      <c r="D92" s="5">
        <v>416</v>
      </c>
      <c r="E92" s="5">
        <v>425</v>
      </c>
      <c r="F92" s="63">
        <f t="shared" si="48"/>
        <v>422.33333333333331</v>
      </c>
      <c r="G92" s="108">
        <f t="shared" si="49"/>
        <v>38854.666666666664</v>
      </c>
      <c r="H92" s="5">
        <v>428</v>
      </c>
      <c r="I92" s="5">
        <v>427</v>
      </c>
      <c r="J92" s="5">
        <v>441</v>
      </c>
      <c r="K92" s="63">
        <f t="shared" si="50"/>
        <v>432</v>
      </c>
      <c r="L92" s="108">
        <f t="shared" si="51"/>
        <v>39744</v>
      </c>
      <c r="M92" s="5">
        <v>452</v>
      </c>
      <c r="N92" s="75">
        <v>467</v>
      </c>
      <c r="O92" s="75">
        <v>449</v>
      </c>
      <c r="P92" s="63">
        <f t="shared" si="52"/>
        <v>456</v>
      </c>
      <c r="Q92" s="108">
        <f t="shared" si="53"/>
        <v>41040</v>
      </c>
      <c r="R92" s="5">
        <v>449</v>
      </c>
      <c r="S92" s="75">
        <v>448</v>
      </c>
      <c r="T92" s="76">
        <v>455</v>
      </c>
      <c r="U92" s="63">
        <f t="shared" si="54"/>
        <v>450.66666666666669</v>
      </c>
      <c r="V92" s="111">
        <f t="shared" si="55"/>
        <v>41010.666666666672</v>
      </c>
      <c r="W92" s="64">
        <f t="shared" si="56"/>
        <v>440.25</v>
      </c>
      <c r="X92" s="65">
        <f t="shared" si="57"/>
        <v>160691.25</v>
      </c>
    </row>
    <row r="93" spans="1:24" ht="15" customHeight="1" thickBot="1" x14ac:dyDescent="0.3">
      <c r="A93" s="50" t="s">
        <v>359</v>
      </c>
      <c r="B93" s="498">
        <v>1050</v>
      </c>
      <c r="C93" s="5" t="s">
        <v>591</v>
      </c>
      <c r="D93" s="5" t="s">
        <v>591</v>
      </c>
      <c r="E93" s="5" t="s">
        <v>591</v>
      </c>
      <c r="F93" s="63">
        <f t="shared" si="48"/>
        <v>0</v>
      </c>
      <c r="G93" s="108">
        <f t="shared" si="49"/>
        <v>0</v>
      </c>
      <c r="H93" s="5" t="s">
        <v>591</v>
      </c>
      <c r="I93" s="5" t="s">
        <v>591</v>
      </c>
      <c r="J93" s="5" t="s">
        <v>591</v>
      </c>
      <c r="K93" s="63">
        <f t="shared" si="50"/>
        <v>0</v>
      </c>
      <c r="L93" s="108">
        <f t="shared" si="51"/>
        <v>0</v>
      </c>
      <c r="M93" s="5" t="s">
        <v>591</v>
      </c>
      <c r="N93" s="75" t="s">
        <v>591</v>
      </c>
      <c r="O93" s="75" t="s">
        <v>591</v>
      </c>
      <c r="P93" s="63">
        <f t="shared" si="52"/>
        <v>0</v>
      </c>
      <c r="Q93" s="108">
        <f t="shared" si="53"/>
        <v>0</v>
      </c>
      <c r="R93" s="5" t="s">
        <v>591</v>
      </c>
      <c r="S93" s="75" t="s">
        <v>591</v>
      </c>
      <c r="T93" s="76" t="s">
        <v>591</v>
      </c>
      <c r="U93" s="63">
        <f t="shared" si="54"/>
        <v>0</v>
      </c>
      <c r="V93" s="111">
        <f t="shared" si="55"/>
        <v>0</v>
      </c>
      <c r="W93" s="64">
        <v>0</v>
      </c>
      <c r="X93" s="65">
        <f t="shared" si="57"/>
        <v>0</v>
      </c>
    </row>
    <row r="94" spans="1:24" ht="15" customHeight="1" thickBot="1" x14ac:dyDescent="0.3">
      <c r="A94" s="50" t="s">
        <v>148</v>
      </c>
      <c r="B94" s="498" t="s">
        <v>460</v>
      </c>
      <c r="C94" s="5">
        <v>14</v>
      </c>
      <c r="D94" s="5">
        <v>13</v>
      </c>
      <c r="E94" s="5">
        <v>13</v>
      </c>
      <c r="F94" s="63">
        <f t="shared" si="48"/>
        <v>13.333333333333334</v>
      </c>
      <c r="G94" s="108">
        <f t="shared" si="49"/>
        <v>1226.6666666666667</v>
      </c>
      <c r="H94" s="5">
        <v>13</v>
      </c>
      <c r="I94" s="5">
        <v>13</v>
      </c>
      <c r="J94" s="5">
        <v>12</v>
      </c>
      <c r="K94" s="63">
        <f t="shared" si="50"/>
        <v>12.666666666666666</v>
      </c>
      <c r="L94" s="108">
        <f t="shared" si="51"/>
        <v>1165.3333333333333</v>
      </c>
      <c r="M94" s="5">
        <v>12</v>
      </c>
      <c r="N94" s="75">
        <v>12</v>
      </c>
      <c r="O94" s="75">
        <v>12</v>
      </c>
      <c r="P94" s="63">
        <f t="shared" si="52"/>
        <v>12</v>
      </c>
      <c r="Q94" s="108">
        <f t="shared" si="53"/>
        <v>1080</v>
      </c>
      <c r="R94" s="5">
        <v>12</v>
      </c>
      <c r="S94" s="75">
        <v>12</v>
      </c>
      <c r="T94" s="76">
        <v>12</v>
      </c>
      <c r="U94" s="63">
        <f t="shared" si="54"/>
        <v>12</v>
      </c>
      <c r="V94" s="112">
        <f t="shared" si="55"/>
        <v>1092</v>
      </c>
      <c r="W94" s="64">
        <f>SUM(C94+D94+E94+H94+I94+J94+M94+N94+O94+R94+S94+T94)/12</f>
        <v>12.5</v>
      </c>
      <c r="X94" s="65">
        <f t="shared" si="57"/>
        <v>4562.5</v>
      </c>
    </row>
    <row r="95" spans="1:24" ht="15" customHeight="1" thickBot="1" x14ac:dyDescent="0.3">
      <c r="A95" s="53" t="s">
        <v>152</v>
      </c>
      <c r="B95" s="37"/>
      <c r="C95" s="80">
        <f>SUM(C89:C94)</f>
        <v>1203.1599999999999</v>
      </c>
      <c r="D95" s="80">
        <f>SUM(D89:D94)</f>
        <v>1187.71</v>
      </c>
      <c r="E95" s="80">
        <f>SUM(E89:E94)</f>
        <v>1191.0999999999999</v>
      </c>
      <c r="F95" s="68">
        <f t="shared" si="48"/>
        <v>1193.99</v>
      </c>
      <c r="G95" s="108">
        <f t="shared" si="49"/>
        <v>109847.08</v>
      </c>
      <c r="H95" s="94">
        <f>SUM(H89:H94)</f>
        <v>1177.8699999999999</v>
      </c>
      <c r="I95" s="80">
        <f>SUM(I89:I94)</f>
        <v>1155.9299999999998</v>
      </c>
      <c r="J95" s="80">
        <f>SUM(J89:J94)</f>
        <v>1124.52</v>
      </c>
      <c r="K95" s="68">
        <f t="shared" si="50"/>
        <v>1152.7733333333333</v>
      </c>
      <c r="L95" s="119">
        <f t="shared" si="51"/>
        <v>106055.14666666667</v>
      </c>
      <c r="M95" s="94">
        <f>SUM(M89:M94)</f>
        <v>1120.3800000000001</v>
      </c>
      <c r="N95" s="80">
        <f>SUM(N89:N94)</f>
        <v>1145</v>
      </c>
      <c r="O95" s="80">
        <f>SUM(O89:O94)</f>
        <v>1186.5500000000002</v>
      </c>
      <c r="P95" s="68">
        <f t="shared" si="52"/>
        <v>1150.6433333333334</v>
      </c>
      <c r="Q95" s="108">
        <f t="shared" si="53"/>
        <v>103557.90000000001</v>
      </c>
      <c r="R95" s="94">
        <f>SUM(R89:R94)</f>
        <v>1172.1300000000001</v>
      </c>
      <c r="S95" s="80">
        <f>SUM(S89:S94)</f>
        <v>1159.71</v>
      </c>
      <c r="T95" s="81">
        <f>SUM(T89:T94)</f>
        <v>1167.27</v>
      </c>
      <c r="U95" s="68">
        <f t="shared" si="54"/>
        <v>1166.3700000000001</v>
      </c>
      <c r="V95" s="120">
        <f t="shared" si="55"/>
        <v>106139.67000000001</v>
      </c>
      <c r="W95" s="69">
        <f>SUM(W89:W94)</f>
        <v>1165.9441666666667</v>
      </c>
      <c r="X95" s="69">
        <f>SUM(X89:X94)</f>
        <v>425569.62083333335</v>
      </c>
    </row>
    <row r="96" spans="1:24" ht="15" customHeight="1" thickBot="1" x14ac:dyDescent="0.3">
      <c r="A96" s="54" t="s">
        <v>156</v>
      </c>
      <c r="B96" s="38"/>
      <c r="C96" s="80">
        <f>C87+C95</f>
        <v>6273.4599999999991</v>
      </c>
      <c r="D96" s="80">
        <f>D87+D95</f>
        <v>6278.31</v>
      </c>
      <c r="E96" s="80">
        <f>E87+E95</f>
        <v>6350.5</v>
      </c>
      <c r="F96" s="80">
        <f>F87+F95</f>
        <v>6300.7566666666662</v>
      </c>
      <c r="G96" s="68">
        <f>SUM(G87+G95)</f>
        <v>579669.61333333328</v>
      </c>
      <c r="H96" s="80">
        <f>H87+H95</f>
        <v>6300.57</v>
      </c>
      <c r="I96" s="80">
        <f>I87+I95</f>
        <v>6292.83</v>
      </c>
      <c r="J96" s="80">
        <f>J87+J95</f>
        <v>6227.119999999999</v>
      </c>
      <c r="K96" s="120">
        <f t="shared" si="50"/>
        <v>6273.5066666666653</v>
      </c>
      <c r="L96" s="68">
        <f>SUM(L87+L95)</f>
        <v>577162.61333333328</v>
      </c>
      <c r="M96" s="94">
        <f>M87+M95</f>
        <v>6341.9800000000005</v>
      </c>
      <c r="N96" s="80">
        <f>N87+N95</f>
        <v>6348.5999999999995</v>
      </c>
      <c r="O96" s="80">
        <f>O87+O95</f>
        <v>6310.55</v>
      </c>
      <c r="P96" s="99">
        <f t="shared" si="52"/>
        <v>6333.71</v>
      </c>
      <c r="Q96" s="68">
        <f>SUM(Q87+Q95)</f>
        <v>570033.9</v>
      </c>
      <c r="R96" s="94">
        <f>R87+R95</f>
        <v>6259.829999999999</v>
      </c>
      <c r="S96" s="80">
        <f>S87+S95</f>
        <v>6270.0100000000011</v>
      </c>
      <c r="T96" s="81">
        <f>T87+T95</f>
        <v>6198.77</v>
      </c>
      <c r="U96" s="99">
        <f t="shared" si="54"/>
        <v>6242.87</v>
      </c>
      <c r="V96" s="68">
        <f>SUM(V87+V95)</f>
        <v>568101.17000000004</v>
      </c>
      <c r="W96" s="80">
        <f>W87+W95</f>
        <v>6287.7108333333326</v>
      </c>
      <c r="X96" s="82">
        <f>X87+X95</f>
        <v>2295014.4541666671</v>
      </c>
    </row>
    <row r="97" spans="1:24" ht="15" customHeight="1" x14ac:dyDescent="0.25">
      <c r="A97" s="114" t="s">
        <v>592</v>
      </c>
      <c r="B97" s="19"/>
      <c r="C97" s="115"/>
      <c r="D97" s="115"/>
      <c r="E97" s="115"/>
      <c r="F97" s="115"/>
      <c r="G97" s="113"/>
      <c r="H97" s="115"/>
      <c r="I97" s="115"/>
      <c r="J97" s="115"/>
      <c r="K97" s="139"/>
      <c r="L97" s="113"/>
      <c r="M97" s="115"/>
      <c r="N97" s="115"/>
      <c r="O97" s="115"/>
      <c r="P97" s="93"/>
      <c r="Q97" s="113"/>
      <c r="R97" s="115"/>
      <c r="S97" s="115"/>
      <c r="T97" s="115"/>
      <c r="U97" s="93"/>
      <c r="V97" s="113"/>
      <c r="W97" s="115"/>
      <c r="X97" s="115"/>
    </row>
    <row r="98" spans="1:24" ht="15" customHeight="1" x14ac:dyDescent="0.25">
      <c r="A98" s="114" t="s">
        <v>593</v>
      </c>
      <c r="B98" s="19"/>
      <c r="C98" s="115"/>
      <c r="D98" s="115"/>
      <c r="E98" s="115"/>
      <c r="F98" s="115"/>
      <c r="G98" s="113"/>
      <c r="H98" s="115"/>
      <c r="I98" s="115"/>
      <c r="J98" s="115"/>
      <c r="K98" s="139"/>
      <c r="L98" s="113"/>
      <c r="M98" s="115"/>
      <c r="N98" s="115"/>
      <c r="O98" s="115"/>
      <c r="P98" s="93"/>
      <c r="Q98" s="113"/>
      <c r="R98" s="115"/>
      <c r="S98" s="115"/>
      <c r="T98" s="115"/>
      <c r="U98" s="93"/>
      <c r="V98" s="113"/>
      <c r="W98" s="115"/>
      <c r="X98" s="115"/>
    </row>
    <row r="99" spans="1:24" ht="15" customHeight="1" x14ac:dyDescent="0.25">
      <c r="A99" s="114" t="s">
        <v>497</v>
      </c>
      <c r="B99" s="19"/>
      <c r="C99" s="115"/>
      <c r="D99" s="115"/>
      <c r="E99" s="115"/>
      <c r="F99" s="115"/>
      <c r="G99" s="113"/>
      <c r="H99" s="115"/>
      <c r="I99" s="115"/>
      <c r="J99" s="115"/>
      <c r="K99" s="139"/>
      <c r="L99" s="113"/>
      <c r="M99" s="115"/>
      <c r="N99" s="115"/>
      <c r="O99" s="115"/>
      <c r="P99" s="93"/>
      <c r="Q99" s="113"/>
      <c r="R99" s="115"/>
      <c r="S99" s="115"/>
      <c r="T99" s="115"/>
      <c r="U99" s="93"/>
      <c r="V99" s="113"/>
      <c r="W99" s="115"/>
      <c r="X99" s="115"/>
    </row>
    <row r="100" spans="1:24" ht="15" customHeight="1" x14ac:dyDescent="0.25">
      <c r="A100" s="114" t="s">
        <v>543</v>
      </c>
      <c r="B100" s="19"/>
      <c r="C100" s="115"/>
      <c r="D100" s="115"/>
      <c r="E100" s="115"/>
      <c r="F100" s="115"/>
      <c r="G100" s="113"/>
      <c r="H100" s="115"/>
      <c r="I100" s="115"/>
      <c r="J100" s="115"/>
      <c r="K100" s="139"/>
      <c r="L100" s="113"/>
      <c r="M100" s="115"/>
      <c r="N100" s="115"/>
      <c r="O100" s="115"/>
      <c r="P100" s="93"/>
      <c r="Q100" s="113"/>
      <c r="R100" s="115"/>
      <c r="S100" s="115"/>
      <c r="T100" s="115"/>
      <c r="U100" s="93"/>
      <c r="V100" s="113"/>
      <c r="W100" s="115"/>
      <c r="X100" s="115"/>
    </row>
    <row r="101" spans="1:24" ht="15" customHeight="1" x14ac:dyDescent="0.2">
      <c r="A101" s="45"/>
      <c r="B101" s="10"/>
      <c r="C101" s="13"/>
      <c r="D101" s="13"/>
      <c r="E101" s="13"/>
      <c r="F101" s="13"/>
      <c r="G101" s="13"/>
      <c r="H101" s="13"/>
      <c r="I101" s="13"/>
      <c r="J101" s="13"/>
      <c r="K101" s="13"/>
      <c r="L101" s="13"/>
      <c r="M101" s="13"/>
      <c r="N101" s="13"/>
      <c r="O101" s="13"/>
      <c r="P101" s="13"/>
      <c r="Q101" s="13"/>
      <c r="R101" s="13"/>
      <c r="S101" s="13"/>
      <c r="T101" s="13"/>
      <c r="U101" s="13"/>
      <c r="V101" s="13"/>
      <c r="W101" s="13"/>
      <c r="X101" s="13"/>
    </row>
    <row r="102" spans="1:24" ht="15" customHeight="1" x14ac:dyDescent="0.2">
      <c r="A102" s="45"/>
      <c r="B102" s="10"/>
      <c r="C102" s="13"/>
      <c r="D102" s="13"/>
      <c r="E102" s="13"/>
      <c r="F102" s="13"/>
      <c r="G102" s="13"/>
      <c r="H102" s="13"/>
      <c r="I102" s="13"/>
      <c r="J102" s="13"/>
      <c r="K102" s="13"/>
      <c r="L102" s="13"/>
      <c r="M102" s="13"/>
      <c r="N102" s="13"/>
      <c r="O102" s="13"/>
      <c r="P102" s="13"/>
      <c r="Q102" s="13"/>
      <c r="R102" s="13"/>
      <c r="S102" s="13"/>
      <c r="T102" s="13"/>
      <c r="U102" s="13"/>
      <c r="V102" s="13"/>
      <c r="W102" s="13"/>
      <c r="X102" s="13"/>
    </row>
    <row r="103" spans="1:24" ht="15" customHeight="1" thickBot="1" x14ac:dyDescent="0.25">
      <c r="A103" s="45" t="s">
        <v>155</v>
      </c>
      <c r="B103" s="10"/>
      <c r="C103" s="13"/>
      <c r="D103" s="13"/>
      <c r="E103" s="13"/>
      <c r="F103" s="13"/>
      <c r="G103" s="13"/>
      <c r="H103" s="13"/>
      <c r="I103" s="13"/>
      <c r="J103" s="13"/>
      <c r="K103" s="13"/>
      <c r="L103" s="13"/>
      <c r="M103" s="13"/>
      <c r="N103" s="13"/>
      <c r="O103" s="13"/>
      <c r="P103" s="13"/>
      <c r="Q103" s="13"/>
      <c r="R103" s="13"/>
      <c r="S103" s="13"/>
      <c r="T103" s="13"/>
      <c r="U103" s="13"/>
      <c r="V103" s="13"/>
      <c r="W103" s="13"/>
      <c r="X103" s="13"/>
    </row>
    <row r="104" spans="1:24" ht="15" customHeight="1" thickBot="1" x14ac:dyDescent="0.25">
      <c r="A104" s="634" t="s">
        <v>544</v>
      </c>
      <c r="B104" s="1203" t="s">
        <v>153</v>
      </c>
      <c r="C104" s="1204"/>
      <c r="D104" s="1204"/>
      <c r="E104" s="1204"/>
      <c r="F104" s="1204"/>
      <c r="G104" s="1204"/>
      <c r="H104" s="1204"/>
      <c r="I104" s="1204"/>
      <c r="J104" s="1204"/>
      <c r="K104" s="1204"/>
      <c r="L104" s="1204"/>
      <c r="M104" s="1204"/>
      <c r="N104" s="1204"/>
      <c r="O104" s="1204"/>
      <c r="P104" s="1204"/>
      <c r="Q104" s="1204"/>
      <c r="R104" s="1204"/>
      <c r="S104" s="1204"/>
      <c r="T104" s="1204"/>
      <c r="U104" s="39"/>
      <c r="V104" s="39"/>
      <c r="W104" s="92"/>
      <c r="X104" s="13"/>
    </row>
    <row r="105" spans="1:24" ht="15" customHeight="1" x14ac:dyDescent="0.25">
      <c r="A105" s="56"/>
      <c r="B105" s="40" t="s">
        <v>261</v>
      </c>
      <c r="C105" s="57"/>
      <c r="D105" s="58"/>
      <c r="E105" s="58"/>
      <c r="F105" s="1192" t="s">
        <v>258</v>
      </c>
      <c r="G105" s="1184" t="s">
        <v>278</v>
      </c>
      <c r="H105" s="58"/>
      <c r="I105" s="58"/>
      <c r="J105" s="58"/>
      <c r="K105" s="1192" t="s">
        <v>258</v>
      </c>
      <c r="L105" s="1184" t="s">
        <v>278</v>
      </c>
      <c r="M105" s="58"/>
      <c r="N105" s="58"/>
      <c r="O105" s="58"/>
      <c r="P105" s="1192" t="s">
        <v>258</v>
      </c>
      <c r="Q105" s="1184" t="s">
        <v>278</v>
      </c>
      <c r="R105" s="58"/>
      <c r="S105" s="58"/>
      <c r="T105" s="59"/>
      <c r="U105" s="1192" t="s">
        <v>258</v>
      </c>
      <c r="V105" s="1184" t="s">
        <v>278</v>
      </c>
      <c r="W105" s="1186" t="s">
        <v>154</v>
      </c>
      <c r="X105" s="1188" t="s">
        <v>155</v>
      </c>
    </row>
    <row r="106" spans="1:24" ht="23.25" customHeight="1" thickBot="1" x14ac:dyDescent="0.3">
      <c r="A106" s="47" t="s">
        <v>56</v>
      </c>
      <c r="B106" s="41" t="s">
        <v>455</v>
      </c>
      <c r="C106" s="60">
        <v>41456</v>
      </c>
      <c r="D106" s="61">
        <v>41487</v>
      </c>
      <c r="E106" s="61">
        <v>41518</v>
      </c>
      <c r="F106" s="1193"/>
      <c r="G106" s="1185"/>
      <c r="H106" s="61">
        <v>41548</v>
      </c>
      <c r="I106" s="61">
        <v>41579</v>
      </c>
      <c r="J106" s="61">
        <v>41609</v>
      </c>
      <c r="K106" s="1193"/>
      <c r="L106" s="1185"/>
      <c r="M106" s="61">
        <v>41640</v>
      </c>
      <c r="N106" s="61">
        <v>41671</v>
      </c>
      <c r="O106" s="61">
        <v>41699</v>
      </c>
      <c r="P106" s="1193"/>
      <c r="Q106" s="1185"/>
      <c r="R106" s="61">
        <v>41730</v>
      </c>
      <c r="S106" s="61">
        <v>41760</v>
      </c>
      <c r="T106" s="62">
        <v>41791</v>
      </c>
      <c r="U106" s="1193"/>
      <c r="V106" s="1185"/>
      <c r="W106" s="1187"/>
      <c r="X106" s="1189"/>
    </row>
    <row r="107" spans="1:24" ht="15" customHeight="1" thickBot="1" x14ac:dyDescent="0.3">
      <c r="A107" s="48" t="s">
        <v>310</v>
      </c>
      <c r="B107" s="42" t="s">
        <v>492</v>
      </c>
      <c r="C107" s="125">
        <v>941.97</v>
      </c>
      <c r="D107" s="125">
        <v>957.77</v>
      </c>
      <c r="E107" s="117">
        <v>933.83</v>
      </c>
      <c r="F107" s="63">
        <f>SUM(C107:E107)/3</f>
        <v>944.52333333333343</v>
      </c>
      <c r="G107" s="108">
        <f>F107*92</f>
        <v>86896.146666666682</v>
      </c>
      <c r="H107" s="117">
        <v>918.42</v>
      </c>
      <c r="I107" s="117">
        <v>899.6</v>
      </c>
      <c r="J107" s="117">
        <v>866.23</v>
      </c>
      <c r="K107" s="63">
        <f>SUM(H107:J107)/3</f>
        <v>894.75</v>
      </c>
      <c r="L107" s="108">
        <f>K107*92</f>
        <v>82317</v>
      </c>
      <c r="M107" s="117">
        <v>899.3</v>
      </c>
      <c r="N107" s="85">
        <v>927.3</v>
      </c>
      <c r="O107" s="85">
        <v>896.5</v>
      </c>
      <c r="P107" s="63">
        <f>SUM(M107:O107)/3</f>
        <v>907.69999999999993</v>
      </c>
      <c r="Q107" s="108">
        <f>P107*90</f>
        <v>81693</v>
      </c>
      <c r="R107" s="117">
        <v>793.4</v>
      </c>
      <c r="S107" s="85">
        <v>764.2</v>
      </c>
      <c r="T107" s="135">
        <v>819.9</v>
      </c>
      <c r="U107" s="63">
        <f>SUM(R107:T107)/3</f>
        <v>792.5</v>
      </c>
      <c r="V107" s="111">
        <f>U107*91</f>
        <v>72117.5</v>
      </c>
      <c r="W107" s="64">
        <f>SUM(C107+D107+E107+H107+I107+J107+M107+N107+O107+R107+S107+T107)/12</f>
        <v>884.86833333333334</v>
      </c>
      <c r="X107" s="65">
        <f>W107*365</f>
        <v>322976.94166666665</v>
      </c>
    </row>
    <row r="108" spans="1:24" ht="15" customHeight="1" thickBot="1" x14ac:dyDescent="0.3">
      <c r="A108" s="49" t="s">
        <v>138</v>
      </c>
      <c r="B108" s="43" t="s">
        <v>456</v>
      </c>
      <c r="C108" s="126">
        <v>123.42</v>
      </c>
      <c r="D108" s="126">
        <v>136.22999999999999</v>
      </c>
      <c r="E108" s="118">
        <v>140.37</v>
      </c>
      <c r="F108" s="63">
        <f>SUM(C108:E108)/3</f>
        <v>133.34</v>
      </c>
      <c r="G108" s="108">
        <f>F108*92</f>
        <v>12267.28</v>
      </c>
      <c r="H108" s="118">
        <v>136.38999999999999</v>
      </c>
      <c r="I108" s="118">
        <v>125.57</v>
      </c>
      <c r="J108" s="118">
        <v>113.52</v>
      </c>
      <c r="K108" s="63">
        <f>SUM(H108:J108)/3</f>
        <v>125.15999999999998</v>
      </c>
      <c r="L108" s="108">
        <f>K108*92</f>
        <v>11514.719999999998</v>
      </c>
      <c r="M108" s="118">
        <v>114.2</v>
      </c>
      <c r="N108" s="86">
        <v>120.6</v>
      </c>
      <c r="O108" s="86">
        <v>108.2</v>
      </c>
      <c r="P108" s="63">
        <f>SUM(M108:O108)/3</f>
        <v>114.33333333333333</v>
      </c>
      <c r="Q108" s="108">
        <f>P108*90</f>
        <v>10290</v>
      </c>
      <c r="R108" s="118">
        <v>121.4</v>
      </c>
      <c r="S108" s="86">
        <v>117.1</v>
      </c>
      <c r="T108" s="89">
        <v>115.3</v>
      </c>
      <c r="U108" s="63">
        <f>SUM(R108:T108)/3</f>
        <v>117.93333333333334</v>
      </c>
      <c r="V108" s="111">
        <f>U108*91</f>
        <v>10731.933333333334</v>
      </c>
      <c r="W108" s="64">
        <f>SUM(C108+D108+E108+H108+I108+J108+M108+N108+O108+R108+S108+T108)/12</f>
        <v>122.69166666666666</v>
      </c>
      <c r="X108" s="65">
        <f>W108*365</f>
        <v>44782.458333333328</v>
      </c>
    </row>
    <row r="109" spans="1:24" ht="15" customHeight="1" thickBot="1" x14ac:dyDescent="0.3">
      <c r="A109" s="50" t="s">
        <v>337</v>
      </c>
      <c r="B109" s="44" t="s">
        <v>336</v>
      </c>
      <c r="C109" s="4">
        <v>286.64999999999998</v>
      </c>
      <c r="D109" s="4">
        <v>295.10000000000002</v>
      </c>
      <c r="E109" s="3">
        <v>302.02999999999997</v>
      </c>
      <c r="F109" s="63">
        <f>SUM(C109:E109)/3</f>
        <v>294.59333333333331</v>
      </c>
      <c r="G109" s="108">
        <f>F109*92</f>
        <v>27102.586666666662</v>
      </c>
      <c r="H109" s="3">
        <v>277.16000000000003</v>
      </c>
      <c r="I109" s="3">
        <v>255.03</v>
      </c>
      <c r="J109" s="3">
        <v>254.71</v>
      </c>
      <c r="K109" s="63">
        <f>SUM(H109:J109)/3</f>
        <v>262.3</v>
      </c>
      <c r="L109" s="108">
        <f>K109*92</f>
        <v>24131.600000000002</v>
      </c>
      <c r="M109" s="3">
        <v>259</v>
      </c>
      <c r="N109" s="87">
        <v>265.89999999999998</v>
      </c>
      <c r="O109" s="87">
        <v>275</v>
      </c>
      <c r="P109" s="63">
        <f>SUM(M109:O109)/3</f>
        <v>266.63333333333333</v>
      </c>
      <c r="Q109" s="108">
        <f>P109*90</f>
        <v>23997</v>
      </c>
      <c r="R109" s="3">
        <v>277.8</v>
      </c>
      <c r="S109" s="87">
        <v>266.8</v>
      </c>
      <c r="T109" s="90">
        <v>273.10000000000002</v>
      </c>
      <c r="U109" s="63">
        <f>SUM(R109:T109)/3</f>
        <v>272.56666666666666</v>
      </c>
      <c r="V109" s="111">
        <f>U109*91</f>
        <v>24803.566666666666</v>
      </c>
      <c r="W109" s="64">
        <f>SUM(C109+D109+E109+H109+I109+J109+M109+N109+O109+R109+S109+T109)/12</f>
        <v>274.02333333333337</v>
      </c>
      <c r="X109" s="65">
        <f>W109*365</f>
        <v>100018.51666666668</v>
      </c>
    </row>
    <row r="110" spans="1:24" ht="15" customHeight="1" thickBot="1" x14ac:dyDescent="0.3">
      <c r="A110" s="50" t="s">
        <v>462</v>
      </c>
      <c r="B110" s="44" t="s">
        <v>493</v>
      </c>
      <c r="C110" s="4">
        <v>941.71</v>
      </c>
      <c r="D110" s="4">
        <v>964.48</v>
      </c>
      <c r="E110" s="3">
        <v>1066.43</v>
      </c>
      <c r="F110" s="63">
        <f>SUM(C110:E110)/3</f>
        <v>990.87333333333333</v>
      </c>
      <c r="G110" s="108">
        <f>F110*92</f>
        <v>91160.346666666665</v>
      </c>
      <c r="H110" s="3">
        <v>1272.03</v>
      </c>
      <c r="I110" s="3">
        <v>1329.67</v>
      </c>
      <c r="J110" s="3">
        <v>1339.94</v>
      </c>
      <c r="K110" s="63">
        <f>SUM(H110:J110)/3</f>
        <v>1313.8799999999999</v>
      </c>
      <c r="L110" s="108">
        <f>K110*92</f>
        <v>120876.95999999999</v>
      </c>
      <c r="M110" s="3">
        <v>1310.9</v>
      </c>
      <c r="N110" s="87">
        <v>1272.8</v>
      </c>
      <c r="O110" s="87">
        <v>1299</v>
      </c>
      <c r="P110" s="63">
        <f>SUM(M110:O110)/3</f>
        <v>1294.2333333333333</v>
      </c>
      <c r="Q110" s="108">
        <f>P110*90</f>
        <v>116481</v>
      </c>
      <c r="R110" s="3">
        <v>1376.6</v>
      </c>
      <c r="S110" s="87">
        <v>1384.1</v>
      </c>
      <c r="T110" s="90">
        <v>1359.6</v>
      </c>
      <c r="U110" s="63">
        <f>SUM(R110:T110)/3</f>
        <v>1373.4333333333332</v>
      </c>
      <c r="V110" s="111">
        <f>U110*91</f>
        <v>124982.43333333332</v>
      </c>
      <c r="W110" s="64">
        <f>SUM(C110+D110+E110+H110+I110+J110+M110+N110+O110+R110+S110+T110)/12</f>
        <v>1243.105</v>
      </c>
      <c r="X110" s="65">
        <f>W110*365</f>
        <v>453733.32500000001</v>
      </c>
    </row>
    <row r="111" spans="1:24" ht="15" customHeight="1" thickBot="1" x14ac:dyDescent="0.3">
      <c r="A111" s="51" t="s">
        <v>275</v>
      </c>
      <c r="B111" s="44" t="s">
        <v>299</v>
      </c>
      <c r="C111" s="4">
        <v>411.26</v>
      </c>
      <c r="D111" s="4">
        <v>427.84</v>
      </c>
      <c r="E111" s="3">
        <v>413.47</v>
      </c>
      <c r="F111" s="63">
        <f t="shared" ref="F111:F120" si="58">SUM(C111:E111)/3</f>
        <v>417.52333333333331</v>
      </c>
      <c r="G111" s="108">
        <f t="shared" ref="G111:G120" si="59">F111*92</f>
        <v>38412.146666666667</v>
      </c>
      <c r="H111" s="3">
        <v>420.9</v>
      </c>
      <c r="I111" s="3">
        <v>424.1</v>
      </c>
      <c r="J111" s="3">
        <v>416.9</v>
      </c>
      <c r="K111" s="63">
        <f t="shared" ref="K111:K121" si="60">SUM(H111:J111)/3</f>
        <v>420.63333333333338</v>
      </c>
      <c r="L111" s="108">
        <f t="shared" ref="L111:L121" si="61">K111*92</f>
        <v>38698.26666666667</v>
      </c>
      <c r="M111" s="3">
        <v>428.3</v>
      </c>
      <c r="N111" s="87">
        <v>431.7</v>
      </c>
      <c r="O111" s="87">
        <v>423.3</v>
      </c>
      <c r="P111" s="63">
        <f t="shared" ref="P111:P121" si="62">SUM(M111:O111)/3</f>
        <v>427.76666666666665</v>
      </c>
      <c r="Q111" s="108">
        <f t="shared" ref="Q111:Q121" si="63">P111*90</f>
        <v>38499</v>
      </c>
      <c r="R111" s="3">
        <v>427.4</v>
      </c>
      <c r="S111" s="87">
        <v>421.6</v>
      </c>
      <c r="T111" s="90">
        <v>412.1</v>
      </c>
      <c r="U111" s="63">
        <f t="shared" ref="U111:U121" si="64">SUM(R111:T111)/3</f>
        <v>420.36666666666662</v>
      </c>
      <c r="V111" s="111">
        <f t="shared" ref="V111:V121" si="65">U111*91</f>
        <v>38253.366666666661</v>
      </c>
      <c r="W111" s="64">
        <f t="shared" ref="W111:W121" si="66">SUM(C111+D111+E111+H111+I111+J111+M111+N111+O111+R111+S111+T111)/12</f>
        <v>421.57250000000005</v>
      </c>
      <c r="X111" s="65">
        <f t="shared" ref="X111:X120" si="67">W111*365</f>
        <v>153873.96250000002</v>
      </c>
    </row>
    <row r="112" spans="1:24" ht="15" customHeight="1" thickBot="1" x14ac:dyDescent="0.3">
      <c r="A112" s="50" t="s">
        <v>16</v>
      </c>
      <c r="B112" s="44" t="s">
        <v>268</v>
      </c>
      <c r="C112" s="4">
        <v>69.55</v>
      </c>
      <c r="D112" s="4">
        <v>68.94</v>
      </c>
      <c r="E112" s="3">
        <v>73.2</v>
      </c>
      <c r="F112" s="63">
        <f t="shared" si="58"/>
        <v>70.563333333333333</v>
      </c>
      <c r="G112" s="108">
        <f t="shared" si="59"/>
        <v>6491.8266666666668</v>
      </c>
      <c r="H112" s="3">
        <v>71.61</v>
      </c>
      <c r="I112" s="3">
        <v>66.77</v>
      </c>
      <c r="J112" s="3">
        <v>61.16</v>
      </c>
      <c r="K112" s="63">
        <f t="shared" si="60"/>
        <v>66.513333333333335</v>
      </c>
      <c r="L112" s="108">
        <f t="shared" si="61"/>
        <v>6119.2266666666665</v>
      </c>
      <c r="M112" s="3">
        <v>69.7</v>
      </c>
      <c r="N112" s="87">
        <v>71</v>
      </c>
      <c r="O112" s="87">
        <v>60.4</v>
      </c>
      <c r="P112" s="63">
        <f t="shared" si="62"/>
        <v>67.033333333333331</v>
      </c>
      <c r="Q112" s="108">
        <f t="shared" si="63"/>
        <v>6033</v>
      </c>
      <c r="R112" s="3">
        <v>64.8</v>
      </c>
      <c r="S112" s="87">
        <v>62.6</v>
      </c>
      <c r="T112" s="90">
        <v>65.099999999999994</v>
      </c>
      <c r="U112" s="63">
        <f t="shared" si="64"/>
        <v>64.166666666666671</v>
      </c>
      <c r="V112" s="111">
        <f t="shared" si="65"/>
        <v>5839.166666666667</v>
      </c>
      <c r="W112" s="64">
        <f t="shared" si="66"/>
        <v>67.069166666666675</v>
      </c>
      <c r="X112" s="65">
        <f t="shared" si="67"/>
        <v>24480.245833333338</v>
      </c>
    </row>
    <row r="113" spans="1:24" ht="15" customHeight="1" thickBot="1" x14ac:dyDescent="0.3">
      <c r="A113" s="50" t="s">
        <v>17</v>
      </c>
      <c r="B113" s="44" t="s">
        <v>494</v>
      </c>
      <c r="C113" s="4">
        <v>236.26</v>
      </c>
      <c r="D113" s="4">
        <v>236.81</v>
      </c>
      <c r="E113" s="3">
        <v>240.63</v>
      </c>
      <c r="F113" s="63">
        <f t="shared" si="58"/>
        <v>237.9</v>
      </c>
      <c r="G113" s="108">
        <f t="shared" si="59"/>
        <v>21886.799999999999</v>
      </c>
      <c r="H113" s="3">
        <v>252.13</v>
      </c>
      <c r="I113" s="3">
        <v>249.3</v>
      </c>
      <c r="J113" s="3">
        <v>258.16000000000003</v>
      </c>
      <c r="K113" s="63">
        <f t="shared" si="60"/>
        <v>253.19666666666669</v>
      </c>
      <c r="L113" s="108">
        <f t="shared" si="61"/>
        <v>23294.093333333334</v>
      </c>
      <c r="M113" s="3">
        <v>250.6</v>
      </c>
      <c r="N113" s="87">
        <v>214.1</v>
      </c>
      <c r="O113" s="87">
        <v>228.3</v>
      </c>
      <c r="P113" s="63">
        <f t="shared" si="62"/>
        <v>231</v>
      </c>
      <c r="Q113" s="108">
        <f t="shared" si="63"/>
        <v>20790</v>
      </c>
      <c r="R113" s="3">
        <v>224.4</v>
      </c>
      <c r="S113" s="87">
        <v>238.2</v>
      </c>
      <c r="T113" s="90">
        <v>246.8</v>
      </c>
      <c r="U113" s="63">
        <f t="shared" si="64"/>
        <v>236.4666666666667</v>
      </c>
      <c r="V113" s="111">
        <f t="shared" si="65"/>
        <v>21518.466666666671</v>
      </c>
      <c r="W113" s="64">
        <f t="shared" si="66"/>
        <v>239.64083333333335</v>
      </c>
      <c r="X113" s="65">
        <f t="shared" si="67"/>
        <v>87468.904166666674</v>
      </c>
    </row>
    <row r="114" spans="1:24" ht="15" customHeight="1" thickBot="1" x14ac:dyDescent="0.3">
      <c r="A114" s="50" t="s">
        <v>140</v>
      </c>
      <c r="B114" s="44" t="s">
        <v>301</v>
      </c>
      <c r="C114" s="4">
        <v>108.48</v>
      </c>
      <c r="D114" s="4">
        <v>104.16</v>
      </c>
      <c r="E114" s="3">
        <v>102.9</v>
      </c>
      <c r="F114" s="63">
        <f t="shared" si="58"/>
        <v>105.17999999999999</v>
      </c>
      <c r="G114" s="108">
        <f t="shared" si="59"/>
        <v>9676.56</v>
      </c>
      <c r="H114" s="3">
        <v>104.23</v>
      </c>
      <c r="I114" s="3">
        <v>99.27</v>
      </c>
      <c r="J114" s="3">
        <v>97.68</v>
      </c>
      <c r="K114" s="63">
        <f t="shared" si="60"/>
        <v>100.39333333333333</v>
      </c>
      <c r="L114" s="108">
        <f t="shared" si="61"/>
        <v>9236.1866666666665</v>
      </c>
      <c r="M114" s="3">
        <v>104.5</v>
      </c>
      <c r="N114" s="87">
        <v>103.8</v>
      </c>
      <c r="O114" s="87">
        <v>103.7</v>
      </c>
      <c r="P114" s="63">
        <f t="shared" si="62"/>
        <v>104</v>
      </c>
      <c r="Q114" s="108">
        <f t="shared" si="63"/>
        <v>9360</v>
      </c>
      <c r="R114" s="3">
        <v>107.9</v>
      </c>
      <c r="S114" s="87">
        <v>105.1</v>
      </c>
      <c r="T114" s="90">
        <v>107.9</v>
      </c>
      <c r="U114" s="63">
        <f t="shared" si="64"/>
        <v>106.96666666666665</v>
      </c>
      <c r="V114" s="111">
        <f t="shared" si="65"/>
        <v>9733.9666666666653</v>
      </c>
      <c r="W114" s="64">
        <f t="shared" si="66"/>
        <v>104.13500000000001</v>
      </c>
      <c r="X114" s="65">
        <f t="shared" si="67"/>
        <v>38009.275000000001</v>
      </c>
    </row>
    <row r="115" spans="1:24" ht="15" customHeight="1" thickBot="1" x14ac:dyDescent="0.3">
      <c r="A115" s="51" t="s">
        <v>276</v>
      </c>
      <c r="B115" s="44" t="s">
        <v>308</v>
      </c>
      <c r="C115" s="4">
        <f>332.55+175.84</f>
        <v>508.39</v>
      </c>
      <c r="D115" s="4">
        <f>324.42+175.81</f>
        <v>500.23</v>
      </c>
      <c r="E115" s="3">
        <f>329.47+175.3</f>
        <v>504.77000000000004</v>
      </c>
      <c r="F115" s="63">
        <f t="shared" si="58"/>
        <v>504.46333333333337</v>
      </c>
      <c r="G115" s="108">
        <f t="shared" si="59"/>
        <v>46410.626666666671</v>
      </c>
      <c r="H115" s="3">
        <f>327.9+173.16</f>
        <v>501.05999999999995</v>
      </c>
      <c r="I115" s="3">
        <f>313.67+171.43</f>
        <v>485.1</v>
      </c>
      <c r="J115" s="3">
        <f>317.03+173.48</f>
        <v>490.51</v>
      </c>
      <c r="K115" s="63">
        <f t="shared" si="60"/>
        <v>492.22333333333336</v>
      </c>
      <c r="L115" s="108">
        <f t="shared" si="61"/>
        <v>45284.546666666669</v>
      </c>
      <c r="M115" s="3">
        <f>329.5+175.9</f>
        <v>505.4</v>
      </c>
      <c r="N115" s="87">
        <f>333.1+175.9</f>
        <v>509</v>
      </c>
      <c r="O115" s="87">
        <f>335.5+175.9</f>
        <v>511.4</v>
      </c>
      <c r="P115" s="63">
        <f t="shared" si="62"/>
        <v>508.59999999999997</v>
      </c>
      <c r="Q115" s="108">
        <f t="shared" si="63"/>
        <v>45774</v>
      </c>
      <c r="R115" s="3">
        <f>326.2+175.7</f>
        <v>501.9</v>
      </c>
      <c r="S115" s="87">
        <f>327.6+175.6</f>
        <v>503.20000000000005</v>
      </c>
      <c r="T115" s="90">
        <f>330.1+175.6</f>
        <v>505.70000000000005</v>
      </c>
      <c r="U115" s="63">
        <f t="shared" si="64"/>
        <v>503.60000000000008</v>
      </c>
      <c r="V115" s="111">
        <f t="shared" si="65"/>
        <v>45827.600000000006</v>
      </c>
      <c r="W115" s="64">
        <f t="shared" si="66"/>
        <v>502.22166666666664</v>
      </c>
      <c r="X115" s="65">
        <f t="shared" si="67"/>
        <v>183310.90833333333</v>
      </c>
    </row>
    <row r="116" spans="1:24" ht="15" customHeight="1" thickBot="1" x14ac:dyDescent="0.3">
      <c r="A116" s="50" t="s">
        <v>149</v>
      </c>
      <c r="B116" s="121" t="s">
        <v>302</v>
      </c>
      <c r="C116" s="4">
        <v>121.23</v>
      </c>
      <c r="D116" s="4">
        <v>107.94</v>
      </c>
      <c r="E116" s="3">
        <v>105.6</v>
      </c>
      <c r="F116" s="63">
        <f t="shared" si="58"/>
        <v>111.58999999999999</v>
      </c>
      <c r="G116" s="108">
        <f t="shared" si="59"/>
        <v>10266.279999999999</v>
      </c>
      <c r="H116" s="3">
        <v>98.77</v>
      </c>
      <c r="I116" s="3">
        <v>99.77</v>
      </c>
      <c r="J116" s="3">
        <v>99.03</v>
      </c>
      <c r="K116" s="63">
        <f t="shared" si="60"/>
        <v>99.19</v>
      </c>
      <c r="L116" s="108">
        <f t="shared" si="61"/>
        <v>9125.48</v>
      </c>
      <c r="M116" s="3">
        <v>90.5</v>
      </c>
      <c r="N116" s="87">
        <v>95.1</v>
      </c>
      <c r="O116" s="87">
        <v>85.2</v>
      </c>
      <c r="P116" s="63">
        <f t="shared" si="62"/>
        <v>90.266666666666666</v>
      </c>
      <c r="Q116" s="108">
        <f t="shared" si="63"/>
        <v>8124</v>
      </c>
      <c r="R116" s="3">
        <v>88.4</v>
      </c>
      <c r="S116" s="87">
        <v>67.400000000000006</v>
      </c>
      <c r="T116" s="90">
        <v>1.4</v>
      </c>
      <c r="U116" s="63">
        <f t="shared" si="64"/>
        <v>52.400000000000006</v>
      </c>
      <c r="V116" s="111">
        <f t="shared" si="65"/>
        <v>4768.4000000000005</v>
      </c>
      <c r="W116" s="64">
        <f t="shared" si="66"/>
        <v>88.361666666666679</v>
      </c>
      <c r="X116" s="65">
        <f t="shared" si="67"/>
        <v>32252.008333333339</v>
      </c>
    </row>
    <row r="117" spans="1:24" ht="15" customHeight="1" thickBot="1" x14ac:dyDescent="0.3">
      <c r="A117" s="49" t="s">
        <v>20</v>
      </c>
      <c r="B117" s="43" t="s">
        <v>303</v>
      </c>
      <c r="C117" s="126">
        <v>299.83999999999997</v>
      </c>
      <c r="D117" s="126">
        <v>332.32</v>
      </c>
      <c r="E117" s="118">
        <v>393.43</v>
      </c>
      <c r="F117" s="63">
        <f t="shared" si="58"/>
        <v>341.86333333333329</v>
      </c>
      <c r="G117" s="108">
        <f t="shared" si="59"/>
        <v>31451.426666666663</v>
      </c>
      <c r="H117" s="118">
        <v>509.35</v>
      </c>
      <c r="I117" s="3">
        <v>500.67</v>
      </c>
      <c r="J117" s="118">
        <v>493.52</v>
      </c>
      <c r="K117" s="63">
        <f t="shared" si="60"/>
        <v>501.18</v>
      </c>
      <c r="L117" s="111">
        <f t="shared" si="61"/>
        <v>46108.56</v>
      </c>
      <c r="M117" s="3">
        <v>485</v>
      </c>
      <c r="N117" s="86">
        <v>494.8</v>
      </c>
      <c r="O117" s="86">
        <v>494.3</v>
      </c>
      <c r="P117" s="63">
        <f t="shared" si="62"/>
        <v>491.36666666666662</v>
      </c>
      <c r="Q117" s="108">
        <f t="shared" si="63"/>
        <v>44222.999999999993</v>
      </c>
      <c r="R117" s="3">
        <f>518.2</f>
        <v>518.20000000000005</v>
      </c>
      <c r="S117" s="86">
        <v>495.5</v>
      </c>
      <c r="T117" s="89">
        <v>517.9</v>
      </c>
      <c r="U117" s="63">
        <f t="shared" si="64"/>
        <v>510.5333333333333</v>
      </c>
      <c r="V117" s="111">
        <f t="shared" si="65"/>
        <v>46458.533333333333</v>
      </c>
      <c r="W117" s="64">
        <f t="shared" si="66"/>
        <v>461.23583333333335</v>
      </c>
      <c r="X117" s="65">
        <f t="shared" si="67"/>
        <v>168351.07916666666</v>
      </c>
    </row>
    <row r="118" spans="1:24" ht="15" customHeight="1" thickBot="1" x14ac:dyDescent="0.3">
      <c r="A118" s="51" t="s">
        <v>457</v>
      </c>
      <c r="B118" s="44" t="s">
        <v>458</v>
      </c>
      <c r="C118" s="4">
        <f>329.68+135</f>
        <v>464.68</v>
      </c>
      <c r="D118" s="4">
        <f>322.13+136.55</f>
        <v>458.68</v>
      </c>
      <c r="E118" s="3">
        <f>334.4+135.43</f>
        <v>469.83</v>
      </c>
      <c r="F118" s="63">
        <f t="shared" si="58"/>
        <v>464.3966666666667</v>
      </c>
      <c r="G118" s="108">
        <f t="shared" si="59"/>
        <v>42724.493333333339</v>
      </c>
      <c r="H118" s="3">
        <f>338.03+133.74</f>
        <v>471.77</v>
      </c>
      <c r="I118" s="3">
        <f>321.27+127.63</f>
        <v>448.9</v>
      </c>
      <c r="J118" s="3">
        <f>303.55+113.58</f>
        <v>417.13</v>
      </c>
      <c r="K118" s="63">
        <f t="shared" si="60"/>
        <v>445.93333333333334</v>
      </c>
      <c r="L118" s="108">
        <f t="shared" si="61"/>
        <v>41025.866666666669</v>
      </c>
      <c r="M118" s="3">
        <f>296.4+119.1</f>
        <v>415.5</v>
      </c>
      <c r="N118" s="87">
        <f>319+12.6</f>
        <v>331.6</v>
      </c>
      <c r="O118" s="87">
        <f>317.5+122.8</f>
        <v>440.3</v>
      </c>
      <c r="P118" s="63">
        <f t="shared" si="62"/>
        <v>395.8</v>
      </c>
      <c r="Q118" s="108">
        <f t="shared" si="63"/>
        <v>35622</v>
      </c>
      <c r="R118" s="3">
        <f>318.7+115.7</f>
        <v>434.4</v>
      </c>
      <c r="S118" s="87">
        <f>325.5+101.9</f>
        <v>427.4</v>
      </c>
      <c r="T118" s="90">
        <f>323.5+92.7</f>
        <v>416.2</v>
      </c>
      <c r="U118" s="63">
        <f t="shared" si="64"/>
        <v>426</v>
      </c>
      <c r="V118" s="111">
        <f t="shared" si="65"/>
        <v>38766</v>
      </c>
      <c r="W118" s="64">
        <f t="shared" si="66"/>
        <v>433.03249999999997</v>
      </c>
      <c r="X118" s="65">
        <f t="shared" si="67"/>
        <v>158056.86249999999</v>
      </c>
    </row>
    <row r="119" spans="1:24" ht="15" customHeight="1" thickBot="1" x14ac:dyDescent="0.3">
      <c r="A119" s="50" t="s">
        <v>141</v>
      </c>
      <c r="B119" s="44" t="s">
        <v>495</v>
      </c>
      <c r="C119" s="4">
        <v>195.52</v>
      </c>
      <c r="D119" s="4">
        <v>205.48</v>
      </c>
      <c r="E119" s="3">
        <v>206.43</v>
      </c>
      <c r="F119" s="63">
        <f t="shared" si="58"/>
        <v>202.47666666666669</v>
      </c>
      <c r="G119" s="108">
        <f t="shared" si="59"/>
        <v>18627.853333333336</v>
      </c>
      <c r="H119" s="3">
        <v>190.35</v>
      </c>
      <c r="I119" s="3">
        <v>190.57</v>
      </c>
      <c r="J119" s="3">
        <v>178.94</v>
      </c>
      <c r="K119" s="63">
        <f t="shared" si="60"/>
        <v>186.61999999999998</v>
      </c>
      <c r="L119" s="108">
        <f t="shared" si="61"/>
        <v>17169.039999999997</v>
      </c>
      <c r="M119" s="3">
        <v>177.7</v>
      </c>
      <c r="N119" s="87">
        <v>173.3</v>
      </c>
      <c r="O119" s="87">
        <v>198.1</v>
      </c>
      <c r="P119" s="63">
        <f t="shared" si="62"/>
        <v>183.03333333333333</v>
      </c>
      <c r="Q119" s="108">
        <f t="shared" si="63"/>
        <v>16473</v>
      </c>
      <c r="R119" s="3">
        <v>216.1</v>
      </c>
      <c r="S119" s="87">
        <v>216.6</v>
      </c>
      <c r="T119" s="90">
        <v>201.3</v>
      </c>
      <c r="U119" s="63">
        <f t="shared" si="64"/>
        <v>211.33333333333334</v>
      </c>
      <c r="V119" s="111">
        <f t="shared" si="65"/>
        <v>19231.333333333336</v>
      </c>
      <c r="W119" s="64">
        <f t="shared" si="66"/>
        <v>195.86583333333337</v>
      </c>
      <c r="X119" s="65">
        <f t="shared" si="67"/>
        <v>71491.029166666674</v>
      </c>
    </row>
    <row r="120" spans="1:24" ht="15" customHeight="1" thickBot="1" x14ac:dyDescent="0.3">
      <c r="A120" s="50" t="s">
        <v>142</v>
      </c>
      <c r="B120" s="34"/>
      <c r="C120" s="4">
        <v>0</v>
      </c>
      <c r="D120" s="4">
        <v>0</v>
      </c>
      <c r="E120" s="18"/>
      <c r="F120" s="67">
        <f t="shared" si="58"/>
        <v>0</v>
      </c>
      <c r="G120" s="108">
        <f t="shared" si="59"/>
        <v>0</v>
      </c>
      <c r="H120" s="18"/>
      <c r="I120" s="18"/>
      <c r="J120" s="18"/>
      <c r="K120" s="67">
        <f t="shared" si="60"/>
        <v>0</v>
      </c>
      <c r="L120" s="108">
        <f t="shared" si="61"/>
        <v>0</v>
      </c>
      <c r="M120" s="18"/>
      <c r="N120" s="4"/>
      <c r="O120" s="87"/>
      <c r="P120" s="67">
        <f t="shared" si="62"/>
        <v>0</v>
      </c>
      <c r="Q120" s="108">
        <f t="shared" si="63"/>
        <v>0</v>
      </c>
      <c r="R120" s="3"/>
      <c r="S120" s="3"/>
      <c r="T120" s="4"/>
      <c r="U120" s="67">
        <f t="shared" si="64"/>
        <v>0</v>
      </c>
      <c r="V120" s="112">
        <f t="shared" si="65"/>
        <v>0</v>
      </c>
      <c r="W120" s="137">
        <f t="shared" si="66"/>
        <v>0</v>
      </c>
      <c r="X120" s="65">
        <f t="shared" si="67"/>
        <v>0</v>
      </c>
    </row>
    <row r="121" spans="1:24" ht="15" customHeight="1" thickBot="1" x14ac:dyDescent="0.3">
      <c r="A121" s="46" t="s">
        <v>150</v>
      </c>
      <c r="B121" s="35"/>
      <c r="C121" s="80">
        <f>SUM(C107:C120)</f>
        <v>4708.9600000000009</v>
      </c>
      <c r="D121" s="80">
        <f>SUM(D107:D120)</f>
        <v>4795.9799999999996</v>
      </c>
      <c r="E121" s="80">
        <f>SUM(E107:E120)</f>
        <v>4952.92</v>
      </c>
      <c r="F121" s="68">
        <f>SUM(C121:E121)/3</f>
        <v>4819.2866666666669</v>
      </c>
      <c r="G121" s="108">
        <f>F121*92</f>
        <v>443374.37333333335</v>
      </c>
      <c r="H121" s="94">
        <f>SUM(H107:H120)</f>
        <v>5224.17</v>
      </c>
      <c r="I121" s="80">
        <f>SUM(I107:I120)</f>
        <v>5174.3199999999988</v>
      </c>
      <c r="J121" s="80">
        <f>SUM(J107:J120)</f>
        <v>5087.4299999999994</v>
      </c>
      <c r="K121" s="68">
        <f t="shared" si="60"/>
        <v>5161.9733333333324</v>
      </c>
      <c r="L121" s="119">
        <f t="shared" si="61"/>
        <v>474901.54666666657</v>
      </c>
      <c r="M121" s="9">
        <f>SUM(M107:M120)</f>
        <v>5110.5999999999995</v>
      </c>
      <c r="N121" s="80">
        <f>SUM(N107:N120)</f>
        <v>5011</v>
      </c>
      <c r="O121" s="80">
        <f>SUM(O107:O120)</f>
        <v>5123.7000000000007</v>
      </c>
      <c r="P121" s="68">
        <f t="shared" si="62"/>
        <v>5081.7666666666664</v>
      </c>
      <c r="Q121" s="119">
        <f t="shared" si="63"/>
        <v>457359</v>
      </c>
      <c r="R121" s="94">
        <f>SUM(R107:R120)</f>
        <v>5152.7000000000007</v>
      </c>
      <c r="S121" s="80">
        <f>SUM(S107:S120)</f>
        <v>5069.7999999999993</v>
      </c>
      <c r="T121" s="81">
        <f>SUM(T107:T120)</f>
        <v>5042.3</v>
      </c>
      <c r="U121" s="68">
        <f t="shared" si="64"/>
        <v>5088.2666666666664</v>
      </c>
      <c r="V121" s="120">
        <f t="shared" si="65"/>
        <v>463032.26666666666</v>
      </c>
      <c r="W121" s="138">
        <f t="shared" si="66"/>
        <v>5037.8233333333337</v>
      </c>
      <c r="X121" s="646">
        <f>SUM(X107:X120)</f>
        <v>1838805.5166666661</v>
      </c>
    </row>
    <row r="122" spans="1:24" ht="15" customHeight="1" thickBot="1" x14ac:dyDescent="0.3">
      <c r="A122" s="46" t="s">
        <v>151</v>
      </c>
      <c r="B122" s="35"/>
      <c r="C122" s="70"/>
      <c r="D122" s="70"/>
      <c r="E122" s="71"/>
      <c r="F122" s="98"/>
      <c r="G122" s="98"/>
      <c r="H122" s="72"/>
      <c r="I122" s="70" t="s">
        <v>251</v>
      </c>
      <c r="J122" s="71"/>
      <c r="K122" s="97"/>
      <c r="L122" s="97"/>
      <c r="M122" s="72"/>
      <c r="N122" s="70"/>
      <c r="O122" s="71"/>
      <c r="P122" s="97"/>
      <c r="Q122" s="97"/>
      <c r="R122" s="72"/>
      <c r="S122" s="70"/>
      <c r="T122" s="71"/>
      <c r="U122" s="71"/>
      <c r="V122" s="70"/>
      <c r="W122" s="96"/>
      <c r="X122" s="69" t="s">
        <v>0</v>
      </c>
    </row>
    <row r="123" spans="1:24" ht="15" customHeight="1" thickBot="1" x14ac:dyDescent="0.3">
      <c r="A123" s="635" t="s">
        <v>143</v>
      </c>
      <c r="B123" s="636" t="s">
        <v>496</v>
      </c>
      <c r="C123" s="637">
        <v>779.06</v>
      </c>
      <c r="D123" s="637">
        <v>776.29</v>
      </c>
      <c r="E123" s="637">
        <v>789.97</v>
      </c>
      <c r="F123" s="638">
        <f t="shared" ref="F123:F129" si="68">SUM(C123:E123)/3</f>
        <v>781.7733333333332</v>
      </c>
      <c r="G123" s="639">
        <f t="shared" ref="G123:G129" si="69">F123*92</f>
        <v>71923.146666666653</v>
      </c>
      <c r="H123" s="637">
        <v>756.94</v>
      </c>
      <c r="I123" s="637">
        <v>766.6</v>
      </c>
      <c r="J123" s="637">
        <v>741.45</v>
      </c>
      <c r="K123" s="638">
        <f t="shared" ref="K123:K130" si="70">SUM(H123:J123)/3</f>
        <v>754.99666666666656</v>
      </c>
      <c r="L123" s="639">
        <f t="shared" ref="L123:L129" si="71">K123*92</f>
        <v>69459.693333333329</v>
      </c>
      <c r="M123" s="637">
        <v>742.32</v>
      </c>
      <c r="N123" s="640">
        <v>764</v>
      </c>
      <c r="O123" s="640">
        <v>776.68</v>
      </c>
      <c r="P123" s="638">
        <f t="shared" ref="P123:P130" si="72">SUM(M123:O123)/3</f>
        <v>761</v>
      </c>
      <c r="Q123" s="639">
        <f t="shared" ref="Q123:Q129" si="73">P123*90</f>
        <v>68490</v>
      </c>
      <c r="R123" s="637">
        <v>753.07</v>
      </c>
      <c r="S123" s="640">
        <v>741.45</v>
      </c>
      <c r="T123" s="641">
        <v>739.17</v>
      </c>
      <c r="U123" s="638">
        <f t="shared" ref="U123:U130" si="74">SUM(R123:T123)/3</f>
        <v>744.56333333333339</v>
      </c>
      <c r="V123" s="642">
        <f t="shared" ref="V123:V129" si="75">U123*91</f>
        <v>67755.263333333336</v>
      </c>
      <c r="W123" s="643">
        <f t="shared" ref="W123:W128" si="76">SUM(C123+D123+E123+H123+I123+J123+M123+N123+O123+R123+S123+T123)/12</f>
        <v>760.58333333333337</v>
      </c>
      <c r="X123" s="644">
        <f t="shared" ref="X123:X128" si="77">W123*365</f>
        <v>277612.91666666669</v>
      </c>
    </row>
    <row r="124" spans="1:24" ht="15" customHeight="1" thickBot="1" x14ac:dyDescent="0.3">
      <c r="A124" s="50" t="s">
        <v>144</v>
      </c>
      <c r="B124" s="498">
        <v>35</v>
      </c>
      <c r="C124" s="5">
        <v>9.94</v>
      </c>
      <c r="D124" s="5">
        <v>10</v>
      </c>
      <c r="E124" s="5">
        <v>10.5</v>
      </c>
      <c r="F124" s="63">
        <f t="shared" si="68"/>
        <v>10.146666666666667</v>
      </c>
      <c r="G124" s="108">
        <f t="shared" si="69"/>
        <v>933.49333333333334</v>
      </c>
      <c r="H124" s="5">
        <v>10</v>
      </c>
      <c r="I124" s="5">
        <f>10+0.37</f>
        <v>10.37</v>
      </c>
      <c r="J124" s="5">
        <f>1+9.13</f>
        <v>10.130000000000001</v>
      </c>
      <c r="K124" s="63">
        <f t="shared" si="70"/>
        <v>10.166666666666666</v>
      </c>
      <c r="L124" s="108">
        <f t="shared" si="71"/>
        <v>935.33333333333326</v>
      </c>
      <c r="M124" s="5">
        <f>1+11.71</f>
        <v>12.71</v>
      </c>
      <c r="N124" s="75">
        <f>1+11.32</f>
        <v>12.32</v>
      </c>
      <c r="O124" s="75">
        <f>1+10.55</f>
        <v>11.55</v>
      </c>
      <c r="P124" s="63">
        <f t="shared" si="72"/>
        <v>12.193333333333333</v>
      </c>
      <c r="Q124" s="108">
        <f t="shared" si="73"/>
        <v>1097.4000000000001</v>
      </c>
      <c r="R124" s="5">
        <f>1+11</f>
        <v>12</v>
      </c>
      <c r="S124" s="75">
        <f>1+11</f>
        <v>12</v>
      </c>
      <c r="T124" s="76">
        <f>0.43+11</f>
        <v>11.43</v>
      </c>
      <c r="U124" s="63">
        <f t="shared" si="74"/>
        <v>11.81</v>
      </c>
      <c r="V124" s="111">
        <f t="shared" si="75"/>
        <v>1074.71</v>
      </c>
      <c r="W124" s="64">
        <f t="shared" si="76"/>
        <v>11.079166666666666</v>
      </c>
      <c r="X124" s="66">
        <f t="shared" si="77"/>
        <v>4043.895833333333</v>
      </c>
    </row>
    <row r="125" spans="1:24" ht="15" customHeight="1" thickBot="1" x14ac:dyDescent="0.3">
      <c r="A125" s="50" t="s">
        <v>146</v>
      </c>
      <c r="B125" s="498">
        <v>26</v>
      </c>
      <c r="C125" s="5">
        <v>17</v>
      </c>
      <c r="D125" s="5">
        <v>19</v>
      </c>
      <c r="E125" s="5">
        <v>18</v>
      </c>
      <c r="F125" s="63">
        <f t="shared" si="68"/>
        <v>18</v>
      </c>
      <c r="G125" s="108">
        <f t="shared" si="69"/>
        <v>1656</v>
      </c>
      <c r="H125" s="5">
        <v>17</v>
      </c>
      <c r="I125" s="5">
        <v>18</v>
      </c>
      <c r="J125" s="5">
        <v>19</v>
      </c>
      <c r="K125" s="63">
        <f t="shared" si="70"/>
        <v>18</v>
      </c>
      <c r="L125" s="108">
        <f t="shared" si="71"/>
        <v>1656</v>
      </c>
      <c r="M125" s="5">
        <v>33</v>
      </c>
      <c r="N125" s="75">
        <v>26</v>
      </c>
      <c r="O125" s="75">
        <v>11</v>
      </c>
      <c r="P125" s="63">
        <f t="shared" si="72"/>
        <v>23.333333333333332</v>
      </c>
      <c r="Q125" s="108">
        <f t="shared" si="73"/>
        <v>2100</v>
      </c>
      <c r="R125" s="5">
        <v>11</v>
      </c>
      <c r="S125" s="75">
        <v>14</v>
      </c>
      <c r="T125" s="76">
        <v>15</v>
      </c>
      <c r="U125" s="63">
        <f t="shared" si="74"/>
        <v>13.333333333333334</v>
      </c>
      <c r="V125" s="111">
        <f t="shared" si="75"/>
        <v>1213.3333333333335</v>
      </c>
      <c r="W125" s="64">
        <f t="shared" si="76"/>
        <v>18.166666666666668</v>
      </c>
      <c r="X125" s="65">
        <f t="shared" si="77"/>
        <v>6630.8333333333339</v>
      </c>
    </row>
    <row r="126" spans="1:24" ht="15" customHeight="1" thickBot="1" x14ac:dyDescent="0.3">
      <c r="A126" s="50" t="s">
        <v>145</v>
      </c>
      <c r="B126" s="498" t="s">
        <v>460</v>
      </c>
      <c r="C126" s="5">
        <v>345</v>
      </c>
      <c r="D126" s="5">
        <v>350</v>
      </c>
      <c r="E126" s="5">
        <v>355</v>
      </c>
      <c r="F126" s="63">
        <f t="shared" si="68"/>
        <v>350</v>
      </c>
      <c r="G126" s="108">
        <f t="shared" si="69"/>
        <v>32200</v>
      </c>
      <c r="H126" s="5">
        <v>381</v>
      </c>
      <c r="I126" s="5">
        <v>372</v>
      </c>
      <c r="J126" s="5">
        <v>371</v>
      </c>
      <c r="K126" s="63">
        <f t="shared" si="70"/>
        <v>374.66666666666669</v>
      </c>
      <c r="L126" s="108">
        <f t="shared" si="71"/>
        <v>34469.333333333336</v>
      </c>
      <c r="M126" s="5">
        <v>375</v>
      </c>
      <c r="N126" s="75">
        <v>394</v>
      </c>
      <c r="O126" s="75">
        <v>403</v>
      </c>
      <c r="P126" s="63">
        <f t="shared" si="72"/>
        <v>390.66666666666669</v>
      </c>
      <c r="Q126" s="108">
        <f t="shared" si="73"/>
        <v>35160</v>
      </c>
      <c r="R126" s="5">
        <v>422</v>
      </c>
      <c r="S126" s="75">
        <v>435</v>
      </c>
      <c r="T126" s="76">
        <v>431</v>
      </c>
      <c r="U126" s="63">
        <f t="shared" si="74"/>
        <v>429.33333333333331</v>
      </c>
      <c r="V126" s="111">
        <f t="shared" si="75"/>
        <v>39069.333333333328</v>
      </c>
      <c r="W126" s="64">
        <f t="shared" si="76"/>
        <v>386.16666666666669</v>
      </c>
      <c r="X126" s="66">
        <f t="shared" si="77"/>
        <v>140950.83333333334</v>
      </c>
    </row>
    <row r="127" spans="1:24" ht="15" customHeight="1" thickBot="1" x14ac:dyDescent="0.3">
      <c r="A127" s="50" t="s">
        <v>359</v>
      </c>
      <c r="B127" s="498">
        <v>1050</v>
      </c>
      <c r="C127" s="5">
        <v>331</v>
      </c>
      <c r="D127" s="5">
        <v>327</v>
      </c>
      <c r="E127" s="5">
        <v>242</v>
      </c>
      <c r="F127" s="63">
        <f t="shared" si="68"/>
        <v>300</v>
      </c>
      <c r="G127" s="108">
        <f t="shared" si="69"/>
        <v>27600</v>
      </c>
      <c r="H127" s="5">
        <v>0</v>
      </c>
      <c r="I127" s="5">
        <v>0</v>
      </c>
      <c r="J127" s="5">
        <v>0</v>
      </c>
      <c r="K127" s="63">
        <f t="shared" si="70"/>
        <v>0</v>
      </c>
      <c r="L127" s="108">
        <f t="shared" si="71"/>
        <v>0</v>
      </c>
      <c r="M127" s="5">
        <v>0</v>
      </c>
      <c r="N127" s="75">
        <v>0</v>
      </c>
      <c r="O127" s="75">
        <v>0</v>
      </c>
      <c r="P127" s="63">
        <f t="shared" si="72"/>
        <v>0</v>
      </c>
      <c r="Q127" s="108">
        <f t="shared" si="73"/>
        <v>0</v>
      </c>
      <c r="R127" s="5">
        <v>0</v>
      </c>
      <c r="S127" s="75">
        <v>0</v>
      </c>
      <c r="T127" s="76">
        <v>0</v>
      </c>
      <c r="U127" s="63">
        <f t="shared" si="74"/>
        <v>0</v>
      </c>
      <c r="V127" s="111">
        <f t="shared" si="75"/>
        <v>0</v>
      </c>
      <c r="W127" s="64">
        <f t="shared" si="76"/>
        <v>75</v>
      </c>
      <c r="X127" s="65">
        <f t="shared" si="77"/>
        <v>27375</v>
      </c>
    </row>
    <row r="128" spans="1:24" ht="15" customHeight="1" thickBot="1" x14ac:dyDescent="0.3">
      <c r="A128" s="50" t="s">
        <v>148</v>
      </c>
      <c r="B128" s="498" t="s">
        <v>460</v>
      </c>
      <c r="C128" s="5">
        <v>16</v>
      </c>
      <c r="D128" s="5">
        <v>16</v>
      </c>
      <c r="E128" s="5">
        <v>16</v>
      </c>
      <c r="F128" s="63">
        <f t="shared" si="68"/>
        <v>16</v>
      </c>
      <c r="G128" s="108">
        <f t="shared" si="69"/>
        <v>1472</v>
      </c>
      <c r="H128" s="5">
        <v>15</v>
      </c>
      <c r="I128" s="5">
        <v>15</v>
      </c>
      <c r="J128" s="5">
        <v>15</v>
      </c>
      <c r="K128" s="63">
        <f t="shared" si="70"/>
        <v>15</v>
      </c>
      <c r="L128" s="108">
        <f t="shared" si="71"/>
        <v>1380</v>
      </c>
      <c r="M128" s="5">
        <v>15</v>
      </c>
      <c r="N128" s="75">
        <v>15</v>
      </c>
      <c r="O128" s="75">
        <v>16</v>
      </c>
      <c r="P128" s="63">
        <f t="shared" si="72"/>
        <v>15.333333333333334</v>
      </c>
      <c r="Q128" s="108">
        <f t="shared" si="73"/>
        <v>1380</v>
      </c>
      <c r="R128" s="5">
        <v>16</v>
      </c>
      <c r="S128" s="75">
        <v>15</v>
      </c>
      <c r="T128" s="76">
        <v>15</v>
      </c>
      <c r="U128" s="63">
        <f t="shared" si="74"/>
        <v>15.333333333333334</v>
      </c>
      <c r="V128" s="112">
        <f t="shared" si="75"/>
        <v>1395.3333333333335</v>
      </c>
      <c r="W128" s="64">
        <f t="shared" si="76"/>
        <v>15.416666666666666</v>
      </c>
      <c r="X128" s="66">
        <f t="shared" si="77"/>
        <v>5627.083333333333</v>
      </c>
    </row>
    <row r="129" spans="1:24" ht="15" customHeight="1" thickBot="1" x14ac:dyDescent="0.3">
      <c r="A129" s="53" t="s">
        <v>152</v>
      </c>
      <c r="B129" s="37"/>
      <c r="C129" s="80">
        <f>SUM(C123:C128)</f>
        <v>1498</v>
      </c>
      <c r="D129" s="80">
        <f>SUM(D123:D128)</f>
        <v>1498.29</v>
      </c>
      <c r="E129" s="80">
        <f>SUM(E123:E128)</f>
        <v>1431.47</v>
      </c>
      <c r="F129" s="68">
        <f t="shared" si="68"/>
        <v>1475.92</v>
      </c>
      <c r="G129" s="108">
        <f t="shared" si="69"/>
        <v>135784.64000000001</v>
      </c>
      <c r="H129" s="94">
        <f>SUM(H123:H128)</f>
        <v>1179.94</v>
      </c>
      <c r="I129" s="80">
        <f>SUM(I123:I128)</f>
        <v>1181.97</v>
      </c>
      <c r="J129" s="80">
        <f>SUM(J123:J128)</f>
        <v>1156.58</v>
      </c>
      <c r="K129" s="68">
        <f t="shared" si="70"/>
        <v>1172.83</v>
      </c>
      <c r="L129" s="119">
        <f t="shared" si="71"/>
        <v>107900.35999999999</v>
      </c>
      <c r="M129" s="94">
        <f>SUM(M123:M128)</f>
        <v>1178.0300000000002</v>
      </c>
      <c r="N129" s="80">
        <f>SUM(N123:N128)</f>
        <v>1211.3200000000002</v>
      </c>
      <c r="O129" s="80">
        <f>SUM(O123:O128)</f>
        <v>1218.23</v>
      </c>
      <c r="P129" s="68">
        <f t="shared" si="72"/>
        <v>1202.5266666666669</v>
      </c>
      <c r="Q129" s="108">
        <f t="shared" si="73"/>
        <v>108227.40000000002</v>
      </c>
      <c r="R129" s="94">
        <f>SUM(R123:R128)</f>
        <v>1214.0700000000002</v>
      </c>
      <c r="S129" s="80">
        <f>SUM(S123:S128)</f>
        <v>1217.45</v>
      </c>
      <c r="T129" s="81">
        <f>SUM(T123:T128)</f>
        <v>1211.5999999999999</v>
      </c>
      <c r="U129" s="68">
        <f t="shared" si="74"/>
        <v>1214.3733333333334</v>
      </c>
      <c r="V129" s="120">
        <f t="shared" si="75"/>
        <v>110507.97333333334</v>
      </c>
      <c r="W129" s="69">
        <f>SUM(W123:W128)</f>
        <v>1266.4125000000001</v>
      </c>
      <c r="X129" s="69">
        <f>SUM(X123:X128)</f>
        <v>462240.56249999994</v>
      </c>
    </row>
    <row r="130" spans="1:24" ht="15" customHeight="1" thickBot="1" x14ac:dyDescent="0.3">
      <c r="A130" s="54" t="s">
        <v>156</v>
      </c>
      <c r="B130" s="38"/>
      <c r="C130" s="80">
        <f>C121+C129</f>
        <v>6206.9600000000009</v>
      </c>
      <c r="D130" s="80">
        <f>D121+D129</f>
        <v>6294.2699999999995</v>
      </c>
      <c r="E130" s="80">
        <f>E121+E129</f>
        <v>6384.39</v>
      </c>
      <c r="F130" s="80">
        <f>F121+F129</f>
        <v>6295.2066666666669</v>
      </c>
      <c r="G130" s="68">
        <f>SUM(G121+G129)</f>
        <v>579159.01333333342</v>
      </c>
      <c r="H130" s="80">
        <f>H121+H129</f>
        <v>6404.1100000000006</v>
      </c>
      <c r="I130" s="80">
        <f>I121+I129</f>
        <v>6356.2899999999991</v>
      </c>
      <c r="J130" s="80">
        <f>J121+J129</f>
        <v>6244.0099999999993</v>
      </c>
      <c r="K130" s="120">
        <f t="shared" si="70"/>
        <v>6334.8033333333333</v>
      </c>
      <c r="L130" s="68">
        <f>SUM(L121+L129)</f>
        <v>582801.9066666665</v>
      </c>
      <c r="M130" s="94">
        <f>M121+M129</f>
        <v>6288.6299999999992</v>
      </c>
      <c r="N130" s="80">
        <f>N121+N129</f>
        <v>6222.32</v>
      </c>
      <c r="O130" s="80">
        <f>O121+O129</f>
        <v>6341.93</v>
      </c>
      <c r="P130" s="99">
        <f t="shared" si="72"/>
        <v>6284.2933333333322</v>
      </c>
      <c r="Q130" s="68">
        <f>SUM(Q121+Q129)</f>
        <v>565586.4</v>
      </c>
      <c r="R130" s="94">
        <f>R121+R129</f>
        <v>6366.77</v>
      </c>
      <c r="S130" s="80">
        <f>S121+S129</f>
        <v>6287.2499999999991</v>
      </c>
      <c r="T130" s="81">
        <f>T121+T129</f>
        <v>6253.9</v>
      </c>
      <c r="U130" s="99">
        <f t="shared" si="74"/>
        <v>6302.6399999999994</v>
      </c>
      <c r="V130" s="68">
        <f>SUM(V121+V129)</f>
        <v>573540.24</v>
      </c>
      <c r="W130" s="80">
        <f>W121+W129</f>
        <v>6304.2358333333341</v>
      </c>
      <c r="X130" s="82">
        <f>X121+X129</f>
        <v>2301046.0791666661</v>
      </c>
    </row>
    <row r="131" spans="1:24" s="627" customFormat="1" ht="15" customHeight="1" x14ac:dyDescent="0.2">
      <c r="A131" s="628" t="s">
        <v>497</v>
      </c>
      <c r="B131" s="629"/>
      <c r="C131" s="630"/>
      <c r="D131" s="630"/>
      <c r="E131" s="630"/>
      <c r="F131" s="630"/>
      <c r="G131" s="631"/>
      <c r="H131" s="630"/>
      <c r="I131" s="630"/>
      <c r="J131" s="630"/>
      <c r="K131" s="632"/>
      <c r="L131" s="631"/>
      <c r="M131" s="630"/>
      <c r="N131" s="630"/>
      <c r="O131" s="630"/>
      <c r="P131" s="633"/>
      <c r="Q131" s="631"/>
      <c r="R131" s="630"/>
      <c r="S131" s="630"/>
      <c r="T131" s="630"/>
      <c r="U131" s="633"/>
      <c r="V131" s="631"/>
      <c r="W131" s="630"/>
      <c r="X131" s="630"/>
    </row>
    <row r="132" spans="1:24" s="627" customFormat="1" ht="15" customHeight="1" x14ac:dyDescent="0.2">
      <c r="A132" s="628" t="s">
        <v>543</v>
      </c>
      <c r="B132" s="629"/>
      <c r="C132" s="630"/>
      <c r="D132" s="630"/>
      <c r="E132" s="630"/>
      <c r="F132" s="630"/>
      <c r="G132" s="631"/>
      <c r="H132" s="630"/>
      <c r="I132" s="630"/>
      <c r="J132" s="630"/>
      <c r="K132" s="632"/>
      <c r="L132" s="631"/>
      <c r="M132" s="630"/>
      <c r="N132" s="630"/>
      <c r="O132" s="630"/>
      <c r="P132" s="633"/>
      <c r="Q132" s="631"/>
      <c r="R132" s="630"/>
      <c r="S132" s="630"/>
      <c r="T132" s="630"/>
      <c r="U132" s="633"/>
      <c r="V132" s="631"/>
      <c r="W132" s="630"/>
      <c r="X132" s="630"/>
    </row>
    <row r="133" spans="1:24" ht="15" customHeight="1" x14ac:dyDescent="0.25">
      <c r="A133" s="114"/>
      <c r="B133" s="19"/>
      <c r="C133" s="115"/>
      <c r="D133" s="115"/>
      <c r="E133" s="115"/>
      <c r="F133" s="115"/>
      <c r="G133" s="113"/>
      <c r="H133" s="115"/>
      <c r="I133" s="115"/>
      <c r="J133" s="115"/>
      <c r="K133" s="139"/>
      <c r="L133" s="113"/>
      <c r="M133" s="115"/>
      <c r="N133" s="115"/>
      <c r="O133" s="115"/>
      <c r="P133" s="93"/>
      <c r="Q133" s="113"/>
      <c r="R133" s="115"/>
      <c r="S133" s="115"/>
      <c r="T133" s="115"/>
      <c r="U133" s="93"/>
      <c r="V133" s="113"/>
      <c r="W133" s="115"/>
      <c r="X133" s="115"/>
    </row>
    <row r="134" spans="1:24" ht="22.5" customHeight="1" thickBot="1" x14ac:dyDescent="0.25">
      <c r="A134" s="45" t="s">
        <v>155</v>
      </c>
    </row>
    <row r="135" spans="1:24" ht="21.75" customHeight="1" thickBot="1" x14ac:dyDescent="0.3">
      <c r="A135" s="616" t="s">
        <v>471</v>
      </c>
      <c r="B135" s="1201" t="s">
        <v>153</v>
      </c>
      <c r="C135" s="1201"/>
      <c r="D135" s="1201"/>
      <c r="E135" s="1201"/>
      <c r="F135" s="1201"/>
      <c r="G135" s="1201"/>
      <c r="H135" s="1201"/>
      <c r="I135" s="1201"/>
      <c r="J135" s="1201"/>
      <c r="K135" s="1201"/>
      <c r="L135" s="1201"/>
      <c r="M135" s="1201"/>
      <c r="N135" s="1201"/>
      <c r="O135" s="1201"/>
      <c r="P135" s="1201"/>
      <c r="Q135" s="1201"/>
      <c r="R135" s="1201"/>
      <c r="S135" s="1201"/>
      <c r="T135" s="1201"/>
      <c r="U135" s="39"/>
      <c r="V135" s="39"/>
      <c r="W135" s="92"/>
      <c r="X135" s="13"/>
    </row>
    <row r="136" spans="1:24" ht="15" customHeight="1" x14ac:dyDescent="0.25">
      <c r="A136" s="580"/>
      <c r="B136" s="40" t="s">
        <v>261</v>
      </c>
      <c r="C136" s="57"/>
      <c r="D136" s="58"/>
      <c r="E136" s="58"/>
      <c r="F136" s="1192" t="s">
        <v>258</v>
      </c>
      <c r="G136" s="1184" t="s">
        <v>278</v>
      </c>
      <c r="H136" s="58"/>
      <c r="I136" s="58"/>
      <c r="J136" s="58"/>
      <c r="K136" s="1192" t="s">
        <v>258</v>
      </c>
      <c r="L136" s="1184" t="s">
        <v>278</v>
      </c>
      <c r="M136" s="58"/>
      <c r="N136" s="58"/>
      <c r="O136" s="58"/>
      <c r="P136" s="1192" t="s">
        <v>258</v>
      </c>
      <c r="Q136" s="1184" t="s">
        <v>278</v>
      </c>
      <c r="R136" s="58"/>
      <c r="S136" s="58"/>
      <c r="T136" s="59"/>
      <c r="U136" s="1192" t="s">
        <v>258</v>
      </c>
      <c r="V136" s="1184" t="s">
        <v>278</v>
      </c>
      <c r="W136" s="1196" t="s">
        <v>154</v>
      </c>
      <c r="X136" s="1198" t="s">
        <v>155</v>
      </c>
    </row>
    <row r="137" spans="1:24" ht="31.5" customHeight="1" thickBot="1" x14ac:dyDescent="0.3">
      <c r="A137" s="47" t="s">
        <v>56</v>
      </c>
      <c r="B137" s="41" t="s">
        <v>455</v>
      </c>
      <c r="C137" s="60">
        <v>41091</v>
      </c>
      <c r="D137" s="61">
        <v>41122</v>
      </c>
      <c r="E137" s="61">
        <v>41153</v>
      </c>
      <c r="F137" s="1193"/>
      <c r="G137" s="1185"/>
      <c r="H137" s="61">
        <v>41183</v>
      </c>
      <c r="I137" s="61">
        <v>41214</v>
      </c>
      <c r="J137" s="61">
        <v>41244</v>
      </c>
      <c r="K137" s="1193"/>
      <c r="L137" s="1185"/>
      <c r="M137" s="61">
        <v>41275</v>
      </c>
      <c r="N137" s="61">
        <v>41306</v>
      </c>
      <c r="O137" s="61">
        <v>41334</v>
      </c>
      <c r="P137" s="1193"/>
      <c r="Q137" s="1185"/>
      <c r="R137" s="61">
        <v>41365</v>
      </c>
      <c r="S137" s="61">
        <v>41395</v>
      </c>
      <c r="T137" s="62">
        <v>41426</v>
      </c>
      <c r="U137" s="1193"/>
      <c r="V137" s="1185"/>
      <c r="W137" s="1197"/>
      <c r="X137" s="1199"/>
    </row>
    <row r="138" spans="1:24" ht="15" customHeight="1" thickBot="1" x14ac:dyDescent="0.3">
      <c r="A138" s="48" t="s">
        <v>310</v>
      </c>
      <c r="B138" s="42" t="s">
        <v>492</v>
      </c>
      <c r="C138" s="125">
        <v>921.84</v>
      </c>
      <c r="D138" s="125">
        <v>874.39</v>
      </c>
      <c r="E138" s="117">
        <v>884.74</v>
      </c>
      <c r="F138" s="63">
        <f>SUM(C138:E138)/3</f>
        <v>893.65666666666675</v>
      </c>
      <c r="G138" s="108">
        <f t="shared" ref="G138:G151" si="78">F138*92</f>
        <v>82216.413333333345</v>
      </c>
      <c r="H138" s="117">
        <v>860.03</v>
      </c>
      <c r="I138" s="117">
        <v>866.27</v>
      </c>
      <c r="J138" s="117">
        <v>859.7</v>
      </c>
      <c r="K138" s="63">
        <f t="shared" ref="K138:K152" si="79">SUM(H138:J138)/3</f>
        <v>862</v>
      </c>
      <c r="L138" s="108">
        <f t="shared" ref="L138:L152" si="80">K138*92</f>
        <v>79304</v>
      </c>
      <c r="M138" s="117">
        <v>900.52</v>
      </c>
      <c r="N138" s="85">
        <v>908.54</v>
      </c>
      <c r="O138" s="85">
        <v>879.87</v>
      </c>
      <c r="P138" s="63">
        <f t="shared" ref="P138:P152" si="81">SUM(M138:O138)/3</f>
        <v>896.31</v>
      </c>
      <c r="Q138" s="108">
        <f t="shared" ref="Q138:Q152" si="82">P138*90</f>
        <v>80667.899999999994</v>
      </c>
      <c r="R138" s="117">
        <v>907.7</v>
      </c>
      <c r="S138" s="85">
        <v>898.9</v>
      </c>
      <c r="T138" s="135">
        <v>914.4</v>
      </c>
      <c r="U138" s="63">
        <f t="shared" ref="U138:U152" si="83">SUM(R138:T138)/3</f>
        <v>907</v>
      </c>
      <c r="V138" s="111">
        <f t="shared" ref="V138:V152" si="84">U138*91</f>
        <v>82537</v>
      </c>
      <c r="W138" s="64">
        <f t="shared" ref="W138:W152" si="85">SUM(C138+D138+E138+H138+I138+J138+M138+N138+O138+R138+S138+T138)/12</f>
        <v>889.74166666666667</v>
      </c>
      <c r="X138" s="65">
        <f t="shared" ref="X138:X151" si="86">W138*365</f>
        <v>324755.70833333331</v>
      </c>
    </row>
    <row r="139" spans="1:24" ht="15" customHeight="1" thickBot="1" x14ac:dyDescent="0.3">
      <c r="A139" s="49" t="s">
        <v>138</v>
      </c>
      <c r="B139" s="43" t="s">
        <v>456</v>
      </c>
      <c r="C139" s="126">
        <v>116.48</v>
      </c>
      <c r="D139" s="126">
        <v>77.03</v>
      </c>
      <c r="E139" s="118">
        <v>83</v>
      </c>
      <c r="F139" s="63">
        <f t="shared" ref="F139:F151" si="87">SUM(C139:E139)/3</f>
        <v>92.17</v>
      </c>
      <c r="G139" s="108">
        <f t="shared" si="78"/>
        <v>8479.64</v>
      </c>
      <c r="H139" s="118">
        <v>101.29</v>
      </c>
      <c r="I139" s="118">
        <v>107.5</v>
      </c>
      <c r="J139" s="118">
        <v>113.06</v>
      </c>
      <c r="K139" s="63">
        <f t="shared" si="79"/>
        <v>107.28333333333335</v>
      </c>
      <c r="L139" s="108">
        <f t="shared" si="80"/>
        <v>9870.0666666666675</v>
      </c>
      <c r="M139" s="118">
        <v>107.26</v>
      </c>
      <c r="N139" s="86">
        <v>111.32</v>
      </c>
      <c r="O139" s="86">
        <v>118.81</v>
      </c>
      <c r="P139" s="63">
        <f t="shared" si="81"/>
        <v>112.46333333333332</v>
      </c>
      <c r="Q139" s="108">
        <f t="shared" si="82"/>
        <v>10121.699999999999</v>
      </c>
      <c r="R139" s="118">
        <v>120.23</v>
      </c>
      <c r="S139" s="86">
        <v>113.35</v>
      </c>
      <c r="T139" s="89">
        <v>130.4</v>
      </c>
      <c r="U139" s="63">
        <f t="shared" si="83"/>
        <v>121.32666666666667</v>
      </c>
      <c r="V139" s="111">
        <f t="shared" si="84"/>
        <v>11040.726666666667</v>
      </c>
      <c r="W139" s="64">
        <f t="shared" si="85"/>
        <v>108.31083333333333</v>
      </c>
      <c r="X139" s="65">
        <f t="shared" si="86"/>
        <v>39533.45416666667</v>
      </c>
    </row>
    <row r="140" spans="1:24" ht="15" customHeight="1" thickBot="1" x14ac:dyDescent="0.3">
      <c r="A140" s="50" t="s">
        <v>337</v>
      </c>
      <c r="B140" s="44" t="s">
        <v>336</v>
      </c>
      <c r="C140" s="4">
        <v>308.89999999999998</v>
      </c>
      <c r="D140" s="4">
        <v>302.10000000000002</v>
      </c>
      <c r="E140" s="3">
        <v>297.73</v>
      </c>
      <c r="F140" s="63">
        <f t="shared" si="87"/>
        <v>302.91000000000003</v>
      </c>
      <c r="G140" s="108">
        <f t="shared" si="78"/>
        <v>27867.72</v>
      </c>
      <c r="H140" s="3">
        <v>301.39</v>
      </c>
      <c r="I140" s="3">
        <v>290.23</v>
      </c>
      <c r="J140" s="3">
        <v>270.68</v>
      </c>
      <c r="K140" s="63">
        <f t="shared" si="79"/>
        <v>287.43333333333334</v>
      </c>
      <c r="L140" s="108">
        <f t="shared" si="80"/>
        <v>26443.866666666669</v>
      </c>
      <c r="M140" s="3">
        <v>283.64999999999998</v>
      </c>
      <c r="N140" s="87">
        <v>273.14</v>
      </c>
      <c r="O140" s="87">
        <v>273.32</v>
      </c>
      <c r="P140" s="63">
        <f t="shared" si="81"/>
        <v>276.70333333333332</v>
      </c>
      <c r="Q140" s="108">
        <f t="shared" si="82"/>
        <v>24903.3</v>
      </c>
      <c r="R140" s="3">
        <v>257.87</v>
      </c>
      <c r="S140" s="87">
        <v>281.45</v>
      </c>
      <c r="T140" s="90">
        <v>274.63</v>
      </c>
      <c r="U140" s="63">
        <f t="shared" si="83"/>
        <v>271.31666666666666</v>
      </c>
      <c r="V140" s="111">
        <f t="shared" si="84"/>
        <v>24689.816666666666</v>
      </c>
      <c r="W140" s="64">
        <f t="shared" si="85"/>
        <v>284.59083333333331</v>
      </c>
      <c r="X140" s="65">
        <f t="shared" si="86"/>
        <v>103875.65416666666</v>
      </c>
    </row>
    <row r="141" spans="1:24" ht="15" customHeight="1" thickBot="1" x14ac:dyDescent="0.3">
      <c r="A141" s="50" t="s">
        <v>462</v>
      </c>
      <c r="B141" s="44" t="s">
        <v>493</v>
      </c>
      <c r="C141" s="4">
        <v>36.1</v>
      </c>
      <c r="D141" s="4">
        <v>228.1</v>
      </c>
      <c r="E141" s="3">
        <v>261.02999999999997</v>
      </c>
      <c r="F141" s="63">
        <f>SUM(C141:E141)/3</f>
        <v>175.07666666666668</v>
      </c>
      <c r="G141" s="108">
        <f>F141*92</f>
        <v>16107.053333333335</v>
      </c>
      <c r="H141" s="3">
        <v>276.70999999999998</v>
      </c>
      <c r="I141" s="3">
        <v>398.07</v>
      </c>
      <c r="J141" s="3">
        <v>416.32</v>
      </c>
      <c r="K141" s="63">
        <f>SUM(H141:J141)/3</f>
        <v>363.7</v>
      </c>
      <c r="L141" s="108">
        <f>K141*92</f>
        <v>33460.400000000001</v>
      </c>
      <c r="M141" s="3">
        <v>421.61</v>
      </c>
      <c r="N141" s="87">
        <v>467.07</v>
      </c>
      <c r="O141" s="87">
        <v>546.48</v>
      </c>
      <c r="P141" s="63">
        <f>SUM(M141:O141)/3</f>
        <v>478.38666666666671</v>
      </c>
      <c r="Q141" s="108">
        <f>P141*90</f>
        <v>43054.8</v>
      </c>
      <c r="R141" s="3">
        <v>567.1</v>
      </c>
      <c r="S141" s="87">
        <v>698.55</v>
      </c>
      <c r="T141" s="90">
        <v>845.8</v>
      </c>
      <c r="U141" s="63">
        <f>SUM(R141:T141)/3</f>
        <v>703.81666666666661</v>
      </c>
      <c r="V141" s="111">
        <f>U141*91</f>
        <v>64047.316666666658</v>
      </c>
      <c r="W141" s="64">
        <f>SUM(C141+D141+E141+H141+I141+J141+M141+N141+O141+R141+S141+T141)/12</f>
        <v>430.24500000000006</v>
      </c>
      <c r="X141" s="65">
        <f>W141*365</f>
        <v>157039.42500000002</v>
      </c>
    </row>
    <row r="142" spans="1:24" ht="15" customHeight="1" thickBot="1" x14ac:dyDescent="0.3">
      <c r="A142" s="51" t="s">
        <v>275</v>
      </c>
      <c r="B142" s="44" t="s">
        <v>299</v>
      </c>
      <c r="C142" s="4">
        <v>419.77</v>
      </c>
      <c r="D142" s="4">
        <v>421.19</v>
      </c>
      <c r="E142" s="3">
        <v>425.03</v>
      </c>
      <c r="F142" s="63">
        <f t="shared" si="87"/>
        <v>421.99666666666667</v>
      </c>
      <c r="G142" s="108">
        <f t="shared" si="78"/>
        <v>38823.693333333336</v>
      </c>
      <c r="H142" s="3">
        <v>409.9</v>
      </c>
      <c r="I142" s="3">
        <v>420.37</v>
      </c>
      <c r="J142" s="3">
        <v>406.81</v>
      </c>
      <c r="K142" s="63">
        <f t="shared" si="79"/>
        <v>412.35999999999996</v>
      </c>
      <c r="L142" s="108">
        <f t="shared" si="80"/>
        <v>37937.119999999995</v>
      </c>
      <c r="M142" s="3">
        <v>416.35</v>
      </c>
      <c r="N142" s="87">
        <v>418.61</v>
      </c>
      <c r="O142" s="87">
        <v>407.13</v>
      </c>
      <c r="P142" s="63">
        <f t="shared" si="81"/>
        <v>414.03000000000003</v>
      </c>
      <c r="Q142" s="108">
        <f t="shared" si="82"/>
        <v>37262.700000000004</v>
      </c>
      <c r="R142" s="3">
        <v>417.63</v>
      </c>
      <c r="S142" s="87">
        <v>421.81</v>
      </c>
      <c r="T142" s="90">
        <v>407.9</v>
      </c>
      <c r="U142" s="63">
        <f t="shared" si="83"/>
        <v>415.78000000000003</v>
      </c>
      <c r="V142" s="111">
        <f t="shared" si="84"/>
        <v>37835.980000000003</v>
      </c>
      <c r="W142" s="64">
        <f t="shared" si="85"/>
        <v>416.04166666666669</v>
      </c>
      <c r="X142" s="65">
        <f t="shared" si="86"/>
        <v>151855.20833333334</v>
      </c>
    </row>
    <row r="143" spans="1:24" ht="15" customHeight="1" thickBot="1" x14ac:dyDescent="0.3">
      <c r="A143" s="50" t="s">
        <v>16</v>
      </c>
      <c r="B143" s="44" t="s">
        <v>268</v>
      </c>
      <c r="C143" s="4">
        <v>70.94</v>
      </c>
      <c r="D143" s="4">
        <v>71.900000000000006</v>
      </c>
      <c r="E143" s="3">
        <v>68.069999999999993</v>
      </c>
      <c r="F143" s="63">
        <f t="shared" si="87"/>
        <v>70.303333333333327</v>
      </c>
      <c r="G143" s="108">
        <f t="shared" si="78"/>
        <v>6467.9066666666658</v>
      </c>
      <c r="H143" s="3">
        <v>69.39</v>
      </c>
      <c r="I143" s="3">
        <v>69.3</v>
      </c>
      <c r="J143" s="3">
        <v>59.71</v>
      </c>
      <c r="K143" s="63">
        <f t="shared" si="79"/>
        <v>66.13333333333334</v>
      </c>
      <c r="L143" s="108">
        <f t="shared" si="80"/>
        <v>6084.2666666666673</v>
      </c>
      <c r="M143" s="3">
        <v>68.97</v>
      </c>
      <c r="N143" s="87">
        <v>70.709999999999994</v>
      </c>
      <c r="O143" s="87">
        <v>68.349999999999994</v>
      </c>
      <c r="P143" s="63">
        <f t="shared" si="81"/>
        <v>69.343333333333334</v>
      </c>
      <c r="Q143" s="108">
        <f t="shared" si="82"/>
        <v>6240.9</v>
      </c>
      <c r="R143" s="3">
        <v>66.930000000000007</v>
      </c>
      <c r="S143" s="87">
        <v>59.87</v>
      </c>
      <c r="T143" s="90">
        <v>63.13</v>
      </c>
      <c r="U143" s="63">
        <f t="shared" si="83"/>
        <v>63.31</v>
      </c>
      <c r="V143" s="111">
        <f t="shared" si="84"/>
        <v>5761.21</v>
      </c>
      <c r="W143" s="64">
        <f t="shared" si="85"/>
        <v>67.272499999999994</v>
      </c>
      <c r="X143" s="65">
        <f t="shared" si="86"/>
        <v>24554.462499999998</v>
      </c>
    </row>
    <row r="144" spans="1:24" ht="15" customHeight="1" thickBot="1" x14ac:dyDescent="0.3">
      <c r="A144" s="50" t="s">
        <v>17</v>
      </c>
      <c r="B144" s="44" t="s">
        <v>494</v>
      </c>
      <c r="C144" s="4">
        <v>235.45</v>
      </c>
      <c r="D144" s="4">
        <v>243.87</v>
      </c>
      <c r="E144" s="3">
        <v>244.83</v>
      </c>
      <c r="F144" s="63">
        <f t="shared" si="87"/>
        <v>241.38333333333333</v>
      </c>
      <c r="G144" s="108">
        <f t="shared" si="78"/>
        <v>22207.266666666666</v>
      </c>
      <c r="H144" s="3">
        <v>252.06</v>
      </c>
      <c r="I144" s="3">
        <v>237.4</v>
      </c>
      <c r="J144" s="3">
        <v>227.13</v>
      </c>
      <c r="K144" s="63">
        <f t="shared" si="79"/>
        <v>238.86333333333334</v>
      </c>
      <c r="L144" s="108">
        <f t="shared" si="80"/>
        <v>21975.426666666666</v>
      </c>
      <c r="M144" s="3">
        <v>223.06</v>
      </c>
      <c r="N144" s="87">
        <v>247.18</v>
      </c>
      <c r="O144" s="87">
        <v>247.45</v>
      </c>
      <c r="P144" s="63">
        <f t="shared" si="81"/>
        <v>239.23000000000002</v>
      </c>
      <c r="Q144" s="108">
        <f t="shared" si="82"/>
        <v>21530.7</v>
      </c>
      <c r="R144" s="3">
        <v>247.7</v>
      </c>
      <c r="S144" s="87">
        <v>240.77</v>
      </c>
      <c r="T144" s="90">
        <v>232.57</v>
      </c>
      <c r="U144" s="63">
        <f t="shared" si="83"/>
        <v>240.34666666666666</v>
      </c>
      <c r="V144" s="111">
        <f t="shared" si="84"/>
        <v>21871.546666666665</v>
      </c>
      <c r="W144" s="64">
        <f t="shared" si="85"/>
        <v>239.95583333333335</v>
      </c>
      <c r="X144" s="65">
        <f t="shared" si="86"/>
        <v>87583.879166666666</v>
      </c>
    </row>
    <row r="145" spans="1:24" ht="15" customHeight="1" thickBot="1" x14ac:dyDescent="0.3">
      <c r="A145" s="50" t="s">
        <v>140</v>
      </c>
      <c r="B145" s="44" t="s">
        <v>301</v>
      </c>
      <c r="C145" s="4">
        <v>98.45</v>
      </c>
      <c r="D145" s="4">
        <v>100.77</v>
      </c>
      <c r="E145" s="3">
        <v>100.23</v>
      </c>
      <c r="F145" s="63">
        <f t="shared" si="87"/>
        <v>99.816666666666663</v>
      </c>
      <c r="G145" s="108">
        <f t="shared" si="78"/>
        <v>9183.1333333333332</v>
      </c>
      <c r="H145" s="3">
        <v>103.61</v>
      </c>
      <c r="I145" s="3">
        <v>100.2</v>
      </c>
      <c r="J145" s="3">
        <v>97.06</v>
      </c>
      <c r="K145" s="63">
        <f t="shared" si="79"/>
        <v>100.29</v>
      </c>
      <c r="L145" s="108">
        <f t="shared" si="80"/>
        <v>9226.68</v>
      </c>
      <c r="M145" s="3">
        <v>102.94</v>
      </c>
      <c r="N145" s="87">
        <v>101.29</v>
      </c>
      <c r="O145" s="87">
        <v>103.16</v>
      </c>
      <c r="P145" s="63">
        <f t="shared" si="81"/>
        <v>102.46333333333332</v>
      </c>
      <c r="Q145" s="108">
        <f t="shared" si="82"/>
        <v>9221.6999999999989</v>
      </c>
      <c r="R145" s="3">
        <v>103.87</v>
      </c>
      <c r="S145" s="87">
        <v>103.29</v>
      </c>
      <c r="T145" s="90">
        <v>100.5</v>
      </c>
      <c r="U145" s="63">
        <f t="shared" si="83"/>
        <v>102.55333333333334</v>
      </c>
      <c r="V145" s="111">
        <f t="shared" si="84"/>
        <v>9332.3533333333344</v>
      </c>
      <c r="W145" s="64">
        <f t="shared" si="85"/>
        <v>101.28083333333332</v>
      </c>
      <c r="X145" s="65">
        <f t="shared" si="86"/>
        <v>36967.504166666658</v>
      </c>
    </row>
    <row r="146" spans="1:24" ht="15" customHeight="1" thickBot="1" x14ac:dyDescent="0.3">
      <c r="A146" s="51" t="s">
        <v>276</v>
      </c>
      <c r="B146" s="44" t="s">
        <v>308</v>
      </c>
      <c r="C146" s="4">
        <f>328.97+174.97</f>
        <v>503.94000000000005</v>
      </c>
      <c r="D146" s="4">
        <f>300.84+172.35</f>
        <v>473.18999999999994</v>
      </c>
      <c r="E146" s="3">
        <f>325.9+160.53</f>
        <v>486.42999999999995</v>
      </c>
      <c r="F146" s="63">
        <f t="shared" si="87"/>
        <v>487.8533333333333</v>
      </c>
      <c r="G146" s="108">
        <f t="shared" si="78"/>
        <v>44882.506666666661</v>
      </c>
      <c r="H146" s="3">
        <f>327.9+172.52</f>
        <v>500.41999999999996</v>
      </c>
      <c r="I146" s="3">
        <f>328.97+173.13</f>
        <v>502.1</v>
      </c>
      <c r="J146" s="3">
        <f>301.65+174.97</f>
        <v>476.62</v>
      </c>
      <c r="K146" s="63">
        <f t="shared" si="79"/>
        <v>493.04666666666662</v>
      </c>
      <c r="L146" s="108">
        <f t="shared" si="80"/>
        <v>45360.293333333328</v>
      </c>
      <c r="M146" s="3">
        <f>300.45+169.35</f>
        <v>469.79999999999995</v>
      </c>
      <c r="N146" s="87">
        <f>325.93+174.54</f>
        <v>500.47</v>
      </c>
      <c r="O146" s="87">
        <f>324.74+174.1</f>
        <v>498.84000000000003</v>
      </c>
      <c r="P146" s="63">
        <f t="shared" si="81"/>
        <v>489.70333333333338</v>
      </c>
      <c r="Q146" s="108">
        <f t="shared" si="82"/>
        <v>44073.3</v>
      </c>
      <c r="R146" s="3">
        <f>330.73+175.57</f>
        <v>506.3</v>
      </c>
      <c r="S146" s="87">
        <f>324.77+175.39</f>
        <v>500.15999999999997</v>
      </c>
      <c r="T146" s="90">
        <f>323.73+175.87</f>
        <v>499.6</v>
      </c>
      <c r="U146" s="63">
        <f t="shared" si="83"/>
        <v>502.02</v>
      </c>
      <c r="V146" s="111">
        <f t="shared" si="84"/>
        <v>45683.82</v>
      </c>
      <c r="W146" s="64">
        <f t="shared" si="85"/>
        <v>493.15583333333342</v>
      </c>
      <c r="X146" s="65">
        <f t="shared" si="86"/>
        <v>180001.87916666671</v>
      </c>
    </row>
    <row r="147" spans="1:24" ht="15" customHeight="1" thickBot="1" x14ac:dyDescent="0.3">
      <c r="A147" s="50" t="s">
        <v>149</v>
      </c>
      <c r="B147" s="121" t="s">
        <v>302</v>
      </c>
      <c r="C147" s="4">
        <v>48.97</v>
      </c>
      <c r="D147" s="4">
        <v>13.94</v>
      </c>
      <c r="E147" s="3">
        <v>14</v>
      </c>
      <c r="F147" s="63">
        <f t="shared" si="87"/>
        <v>25.636666666666667</v>
      </c>
      <c r="G147" s="108">
        <f t="shared" si="78"/>
        <v>2358.5733333333333</v>
      </c>
      <c r="H147" s="3">
        <v>17.350000000000001</v>
      </c>
      <c r="I147" s="3">
        <v>19.87</v>
      </c>
      <c r="J147" s="3">
        <v>17.55</v>
      </c>
      <c r="K147" s="63">
        <f t="shared" si="79"/>
        <v>18.256666666666664</v>
      </c>
      <c r="L147" s="108">
        <f t="shared" si="80"/>
        <v>1679.613333333333</v>
      </c>
      <c r="M147" s="3">
        <v>76.650000000000006</v>
      </c>
      <c r="N147" s="87">
        <v>100.79</v>
      </c>
      <c r="O147" s="87">
        <v>124.9</v>
      </c>
      <c r="P147" s="63">
        <f t="shared" si="81"/>
        <v>100.78000000000002</v>
      </c>
      <c r="Q147" s="108">
        <f t="shared" si="82"/>
        <v>9070.2000000000007</v>
      </c>
      <c r="R147" s="3">
        <v>125.27</v>
      </c>
      <c r="S147" s="87">
        <v>120.55</v>
      </c>
      <c r="T147" s="90">
        <v>112.23</v>
      </c>
      <c r="U147" s="63">
        <f t="shared" si="83"/>
        <v>119.35000000000001</v>
      </c>
      <c r="V147" s="111">
        <f t="shared" si="84"/>
        <v>10860.85</v>
      </c>
      <c r="W147" s="64">
        <f t="shared" si="85"/>
        <v>66.005833333333328</v>
      </c>
      <c r="X147" s="65">
        <f t="shared" si="86"/>
        <v>24092.129166666666</v>
      </c>
    </row>
    <row r="148" spans="1:24" ht="15" customHeight="1" thickBot="1" x14ac:dyDescent="0.3">
      <c r="A148" s="49" t="s">
        <v>20</v>
      </c>
      <c r="B148" s="43" t="s">
        <v>303</v>
      </c>
      <c r="C148" s="126">
        <v>500.32</v>
      </c>
      <c r="D148" s="126">
        <v>421.61</v>
      </c>
      <c r="E148" s="118">
        <v>409.57</v>
      </c>
      <c r="F148" s="63">
        <f t="shared" si="87"/>
        <v>443.83333333333331</v>
      </c>
      <c r="G148" s="108">
        <f t="shared" si="78"/>
        <v>40832.666666666664</v>
      </c>
      <c r="H148" s="118">
        <v>408</v>
      </c>
      <c r="I148" s="3">
        <v>306.5</v>
      </c>
      <c r="J148" s="118">
        <v>302.55</v>
      </c>
      <c r="K148" s="63">
        <f t="shared" si="79"/>
        <v>339.01666666666665</v>
      </c>
      <c r="L148" s="111">
        <f t="shared" si="80"/>
        <v>31189.533333333333</v>
      </c>
      <c r="M148" s="3">
        <v>300.87</v>
      </c>
      <c r="N148" s="86">
        <v>298.20999999999998</v>
      </c>
      <c r="O148" s="86">
        <v>302.68</v>
      </c>
      <c r="P148" s="63">
        <f t="shared" si="81"/>
        <v>300.58666666666664</v>
      </c>
      <c r="Q148" s="108">
        <f t="shared" si="82"/>
        <v>27052.799999999999</v>
      </c>
      <c r="R148" s="3">
        <v>304.39999999999998</v>
      </c>
      <c r="S148" s="86">
        <v>303.70999999999998</v>
      </c>
      <c r="T148" s="89">
        <v>301.60000000000002</v>
      </c>
      <c r="U148" s="63">
        <f t="shared" si="83"/>
        <v>303.23666666666662</v>
      </c>
      <c r="V148" s="111">
        <f t="shared" si="84"/>
        <v>27594.536666666663</v>
      </c>
      <c r="W148" s="64">
        <f t="shared" si="85"/>
        <v>346.66833333333335</v>
      </c>
      <c r="X148" s="65">
        <f t="shared" si="86"/>
        <v>126533.94166666668</v>
      </c>
    </row>
    <row r="149" spans="1:24" ht="15" customHeight="1" thickBot="1" x14ac:dyDescent="0.3">
      <c r="A149" s="51" t="s">
        <v>457</v>
      </c>
      <c r="B149" s="44" t="s">
        <v>458</v>
      </c>
      <c r="C149" s="4">
        <f>329.94+107.1</f>
        <v>437.03999999999996</v>
      </c>
      <c r="D149" s="4">
        <f>353.94+109.42</f>
        <v>463.36</v>
      </c>
      <c r="E149" s="3">
        <f>346+122.97</f>
        <v>468.97</v>
      </c>
      <c r="F149" s="63">
        <f t="shared" si="87"/>
        <v>456.45666666666665</v>
      </c>
      <c r="G149" s="108">
        <f t="shared" si="78"/>
        <v>41994.013333333329</v>
      </c>
      <c r="H149" s="3">
        <f>339.48+114.45</f>
        <v>453.93</v>
      </c>
      <c r="I149" s="3">
        <f>335.7+125.53</f>
        <v>461.23</v>
      </c>
      <c r="J149" s="3">
        <f>300.06+116.03</f>
        <v>416.09000000000003</v>
      </c>
      <c r="K149" s="63">
        <f t="shared" si="79"/>
        <v>443.75</v>
      </c>
      <c r="L149" s="108">
        <f t="shared" si="80"/>
        <v>40825</v>
      </c>
      <c r="M149" s="3">
        <f>267.68+122.45</f>
        <v>390.13</v>
      </c>
      <c r="N149" s="87">
        <f>289.32+123.54</f>
        <v>412.86</v>
      </c>
      <c r="O149" s="87">
        <f>310.48+121.81</f>
        <v>432.29</v>
      </c>
      <c r="P149" s="63">
        <f t="shared" si="81"/>
        <v>411.76</v>
      </c>
      <c r="Q149" s="108">
        <f t="shared" si="82"/>
        <v>37058.400000000001</v>
      </c>
      <c r="R149" s="3">
        <f>318.03+118.73</f>
        <v>436.76</v>
      </c>
      <c r="S149" s="87">
        <f>314.26+110.03</f>
        <v>424.28999999999996</v>
      </c>
      <c r="T149" s="90">
        <f>322.6+127.73</f>
        <v>450.33000000000004</v>
      </c>
      <c r="U149" s="63">
        <f t="shared" si="83"/>
        <v>437.12666666666672</v>
      </c>
      <c r="V149" s="111">
        <f t="shared" si="84"/>
        <v>39778.526666666672</v>
      </c>
      <c r="W149" s="64">
        <f t="shared" si="85"/>
        <v>437.27333333333331</v>
      </c>
      <c r="X149" s="65">
        <f t="shared" si="86"/>
        <v>159604.76666666666</v>
      </c>
    </row>
    <row r="150" spans="1:24" ht="15" customHeight="1" thickBot="1" x14ac:dyDescent="0.3">
      <c r="A150" s="50" t="s">
        <v>141</v>
      </c>
      <c r="B150" s="44" t="s">
        <v>495</v>
      </c>
      <c r="C150" s="4">
        <v>163.44999999999999</v>
      </c>
      <c r="D150" s="4">
        <v>178.06</v>
      </c>
      <c r="E150" s="3">
        <v>188.23</v>
      </c>
      <c r="F150" s="63">
        <f t="shared" si="87"/>
        <v>176.58</v>
      </c>
      <c r="G150" s="108">
        <f t="shared" si="78"/>
        <v>16245.36</v>
      </c>
      <c r="H150" s="3">
        <v>193.58</v>
      </c>
      <c r="I150" s="3">
        <v>206.73</v>
      </c>
      <c r="J150" s="3">
        <v>169.58</v>
      </c>
      <c r="K150" s="63">
        <f t="shared" si="79"/>
        <v>189.96333333333334</v>
      </c>
      <c r="L150" s="108">
        <f t="shared" si="80"/>
        <v>17476.626666666667</v>
      </c>
      <c r="M150" s="3">
        <v>184.06</v>
      </c>
      <c r="N150" s="87">
        <v>189.36</v>
      </c>
      <c r="O150" s="87">
        <v>187</v>
      </c>
      <c r="P150" s="63">
        <f t="shared" si="81"/>
        <v>186.8066666666667</v>
      </c>
      <c r="Q150" s="108">
        <f t="shared" si="82"/>
        <v>16812.600000000002</v>
      </c>
      <c r="R150" s="3">
        <v>179.23</v>
      </c>
      <c r="S150" s="87">
        <v>189.97</v>
      </c>
      <c r="T150" s="90">
        <v>186.63</v>
      </c>
      <c r="U150" s="63">
        <f t="shared" si="83"/>
        <v>185.27666666666664</v>
      </c>
      <c r="V150" s="111">
        <f t="shared" si="84"/>
        <v>16860.176666666666</v>
      </c>
      <c r="W150" s="64">
        <f t="shared" si="85"/>
        <v>184.65666666666667</v>
      </c>
      <c r="X150" s="65">
        <f t="shared" si="86"/>
        <v>67399.683333333334</v>
      </c>
    </row>
    <row r="151" spans="1:24" ht="15" customHeight="1" thickBot="1" x14ac:dyDescent="0.3">
      <c r="A151" s="50" t="s">
        <v>142</v>
      </c>
      <c r="B151" s="34"/>
      <c r="C151" s="4">
        <v>0</v>
      </c>
      <c r="D151" s="4">
        <v>0</v>
      </c>
      <c r="E151" s="18"/>
      <c r="F151" s="67">
        <f t="shared" si="87"/>
        <v>0</v>
      </c>
      <c r="G151" s="108">
        <f t="shared" si="78"/>
        <v>0</v>
      </c>
      <c r="H151" s="18"/>
      <c r="I151" s="18"/>
      <c r="J151" s="18"/>
      <c r="K151" s="67">
        <f t="shared" si="79"/>
        <v>0</v>
      </c>
      <c r="L151" s="108">
        <f t="shared" si="80"/>
        <v>0</v>
      </c>
      <c r="M151" s="18"/>
      <c r="N151" s="4"/>
      <c r="O151" s="87"/>
      <c r="P151" s="67">
        <f t="shared" si="81"/>
        <v>0</v>
      </c>
      <c r="Q151" s="108">
        <f t="shared" si="82"/>
        <v>0</v>
      </c>
      <c r="R151" s="3"/>
      <c r="S151" s="3"/>
      <c r="T151" s="4"/>
      <c r="U151" s="67">
        <f t="shared" si="83"/>
        <v>0</v>
      </c>
      <c r="V151" s="112">
        <f t="shared" si="84"/>
        <v>0</v>
      </c>
      <c r="W151" s="137">
        <f t="shared" si="85"/>
        <v>0</v>
      </c>
      <c r="X151" s="65">
        <f t="shared" si="86"/>
        <v>0</v>
      </c>
    </row>
    <row r="152" spans="1:24" ht="15" customHeight="1" thickBot="1" x14ac:dyDescent="0.3">
      <c r="A152" s="46" t="s">
        <v>150</v>
      </c>
      <c r="B152" s="35"/>
      <c r="C152" s="80">
        <f>SUM(C138:C151)</f>
        <v>3861.6499999999992</v>
      </c>
      <c r="D152" s="80">
        <f>SUM(D138:D151)</f>
        <v>3869.51</v>
      </c>
      <c r="E152" s="80">
        <f>SUM(E138:E151)</f>
        <v>3931.86</v>
      </c>
      <c r="F152" s="68">
        <f>SUM(C152:E152)/3</f>
        <v>3887.6733333333336</v>
      </c>
      <c r="G152" s="108">
        <f>F152*92</f>
        <v>357665.94666666671</v>
      </c>
      <c r="H152" s="94">
        <f>SUM(H138:H151)</f>
        <v>3947.6600000000003</v>
      </c>
      <c r="I152" s="80">
        <f>SUM(I138:I151)</f>
        <v>3985.77</v>
      </c>
      <c r="J152" s="80">
        <f>SUM(J138:J151)</f>
        <v>3832.8600000000006</v>
      </c>
      <c r="K152" s="68">
        <f t="shared" si="79"/>
        <v>3922.0966666666668</v>
      </c>
      <c r="L152" s="119">
        <f t="shared" si="80"/>
        <v>360832.89333333337</v>
      </c>
      <c r="M152" s="9">
        <f>SUM(M138:M151)</f>
        <v>3945.87</v>
      </c>
      <c r="N152" s="80">
        <f>SUM(N138:N151)</f>
        <v>4099.55</v>
      </c>
      <c r="O152" s="80">
        <f>SUM(O138:O151)</f>
        <v>4190.28</v>
      </c>
      <c r="P152" s="68">
        <f t="shared" si="81"/>
        <v>4078.5666666666671</v>
      </c>
      <c r="Q152" s="119">
        <f t="shared" si="82"/>
        <v>367071.00000000006</v>
      </c>
      <c r="R152" s="94">
        <f>SUM(R138:R151)</f>
        <v>4240.99</v>
      </c>
      <c r="S152" s="80">
        <f>SUM(S138:S151)</f>
        <v>4356.67</v>
      </c>
      <c r="T152" s="81">
        <f>SUM(T138:T151)</f>
        <v>4519.72</v>
      </c>
      <c r="U152" s="68">
        <f t="shared" si="83"/>
        <v>4372.46</v>
      </c>
      <c r="V152" s="120">
        <f t="shared" si="84"/>
        <v>397893.86</v>
      </c>
      <c r="W152" s="138">
        <f t="shared" si="85"/>
        <v>4065.1991666666668</v>
      </c>
      <c r="X152" s="69">
        <f>SUM(X138:X151)</f>
        <v>1483797.6958333333</v>
      </c>
    </row>
    <row r="153" spans="1:24" ht="15" customHeight="1" thickBot="1" x14ac:dyDescent="0.3">
      <c r="A153" s="46" t="s">
        <v>151</v>
      </c>
      <c r="B153" s="35"/>
      <c r="C153" s="70"/>
      <c r="D153" s="70"/>
      <c r="E153" s="71"/>
      <c r="F153" s="98"/>
      <c r="G153" s="98"/>
      <c r="H153" s="72"/>
      <c r="I153" s="70" t="s">
        <v>251</v>
      </c>
      <c r="J153" s="71"/>
      <c r="K153" s="97"/>
      <c r="L153" s="97"/>
      <c r="M153" s="72"/>
      <c r="N153" s="70"/>
      <c r="O153" s="71"/>
      <c r="P153" s="97"/>
      <c r="Q153" s="97"/>
      <c r="R153" s="72"/>
      <c r="S153" s="70"/>
      <c r="T153" s="71"/>
      <c r="U153" s="71"/>
      <c r="V153" s="70"/>
      <c r="W153" s="96"/>
      <c r="X153" s="69" t="s">
        <v>0</v>
      </c>
    </row>
    <row r="154" spans="1:24" ht="15" customHeight="1" thickBot="1" x14ac:dyDescent="0.3">
      <c r="A154" s="617" t="s">
        <v>143</v>
      </c>
      <c r="B154" s="618" t="s">
        <v>496</v>
      </c>
      <c r="C154" s="619">
        <v>750.68</v>
      </c>
      <c r="D154" s="619">
        <v>754.87</v>
      </c>
      <c r="E154" s="619">
        <v>733.8</v>
      </c>
      <c r="F154" s="620">
        <f t="shared" ref="F154:F160" si="88">SUM(C154:E154)/3</f>
        <v>746.44999999999993</v>
      </c>
      <c r="G154" s="621">
        <f t="shared" ref="G154:G160" si="89">F154*92</f>
        <v>68673.399999999994</v>
      </c>
      <c r="H154" s="619">
        <v>732.16</v>
      </c>
      <c r="I154" s="619">
        <v>769.5</v>
      </c>
      <c r="J154" s="619">
        <v>753</v>
      </c>
      <c r="K154" s="620">
        <f t="shared" ref="K154:K161" si="90">SUM(H154:J154)/3</f>
        <v>751.55333333333328</v>
      </c>
      <c r="L154" s="621">
        <f t="shared" ref="L154:L160" si="91">K154*92</f>
        <v>69142.906666666662</v>
      </c>
      <c r="M154" s="619">
        <v>762.26</v>
      </c>
      <c r="N154" s="622">
        <v>778.68</v>
      </c>
      <c r="O154" s="622">
        <v>781.61</v>
      </c>
      <c r="P154" s="620">
        <f t="shared" ref="P154:P161" si="92">SUM(M154:O154)/3</f>
        <v>774.18333333333339</v>
      </c>
      <c r="Q154" s="621">
        <f t="shared" ref="Q154:Q160" si="93">P154*90</f>
        <v>69676.5</v>
      </c>
      <c r="R154" s="619">
        <v>765.3</v>
      </c>
      <c r="S154" s="622">
        <v>756.16</v>
      </c>
      <c r="T154" s="623">
        <v>771.93</v>
      </c>
      <c r="U154" s="620">
        <f t="shared" ref="U154:U161" si="94">SUM(R154:T154)/3</f>
        <v>764.46333333333325</v>
      </c>
      <c r="V154" s="624">
        <f t="shared" ref="V154:V160" si="95">U154*91</f>
        <v>69566.16333333333</v>
      </c>
      <c r="W154" s="625">
        <f t="shared" ref="W154:W159" si="96">SUM(C154+D154+E154+H154+I154+J154+M154+N154+O154+R154+S154+T154)/12</f>
        <v>759.16250000000002</v>
      </c>
      <c r="X154" s="626">
        <f t="shared" ref="X154:X159" si="97">W154*365</f>
        <v>277094.3125</v>
      </c>
    </row>
    <row r="155" spans="1:24" ht="15" customHeight="1" thickBot="1" x14ac:dyDescent="0.3">
      <c r="A155" s="50" t="s">
        <v>144</v>
      </c>
      <c r="B155" s="498">
        <v>35</v>
      </c>
      <c r="C155" s="5">
        <f>5+3.03</f>
        <v>8.0299999999999994</v>
      </c>
      <c r="D155" s="5">
        <f>1.55+5</f>
        <v>6.55</v>
      </c>
      <c r="E155" s="5">
        <f>1.27+5</f>
        <v>6.27</v>
      </c>
      <c r="F155" s="63">
        <f t="shared" si="88"/>
        <v>6.9499999999999993</v>
      </c>
      <c r="G155" s="108">
        <f t="shared" si="89"/>
        <v>639.4</v>
      </c>
      <c r="H155" s="5">
        <f>0.84+5.48</f>
        <v>6.32</v>
      </c>
      <c r="I155" s="5">
        <v>4.3</v>
      </c>
      <c r="J155" s="5">
        <v>4</v>
      </c>
      <c r="K155" s="63">
        <f t="shared" si="90"/>
        <v>4.873333333333334</v>
      </c>
      <c r="L155" s="108">
        <f t="shared" si="91"/>
        <v>448.34666666666675</v>
      </c>
      <c r="M155" s="5">
        <v>4</v>
      </c>
      <c r="N155" s="75">
        <f>0.39+4.14</f>
        <v>4.5299999999999994</v>
      </c>
      <c r="O155" s="75">
        <v>4.32</v>
      </c>
      <c r="P155" s="63">
        <f t="shared" si="92"/>
        <v>4.2833333333333332</v>
      </c>
      <c r="Q155" s="108">
        <f t="shared" si="93"/>
        <v>385.5</v>
      </c>
      <c r="R155" s="5">
        <v>5.2</v>
      </c>
      <c r="S155" s="75">
        <v>7.03</v>
      </c>
      <c r="T155" s="76">
        <v>9</v>
      </c>
      <c r="U155" s="63">
        <f t="shared" si="94"/>
        <v>7.0766666666666671</v>
      </c>
      <c r="V155" s="111">
        <f t="shared" si="95"/>
        <v>643.97666666666669</v>
      </c>
      <c r="W155" s="64">
        <f t="shared" si="96"/>
        <v>5.7958333333333343</v>
      </c>
      <c r="X155" s="66">
        <f t="shared" si="97"/>
        <v>2115.479166666667</v>
      </c>
    </row>
    <row r="156" spans="1:24" ht="15" customHeight="1" thickBot="1" x14ac:dyDescent="0.3">
      <c r="A156" s="50" t="s">
        <v>146</v>
      </c>
      <c r="B156" s="498">
        <v>26</v>
      </c>
      <c r="C156" s="5">
        <v>20</v>
      </c>
      <c r="D156" s="5">
        <v>19</v>
      </c>
      <c r="E156" s="5">
        <v>20</v>
      </c>
      <c r="F156" s="63">
        <f t="shared" si="88"/>
        <v>19.666666666666668</v>
      </c>
      <c r="G156" s="108">
        <f t="shared" si="89"/>
        <v>1809.3333333333335</v>
      </c>
      <c r="H156" s="5">
        <v>18</v>
      </c>
      <c r="I156" s="5">
        <v>18</v>
      </c>
      <c r="J156" s="5">
        <v>19</v>
      </c>
      <c r="K156" s="63">
        <f t="shared" si="90"/>
        <v>18.333333333333332</v>
      </c>
      <c r="L156" s="108">
        <f t="shared" si="91"/>
        <v>1686.6666666666665</v>
      </c>
      <c r="M156" s="5">
        <v>19</v>
      </c>
      <c r="N156" s="75">
        <v>16</v>
      </c>
      <c r="O156" s="75">
        <v>14</v>
      </c>
      <c r="P156" s="63">
        <f t="shared" si="92"/>
        <v>16.333333333333332</v>
      </c>
      <c r="Q156" s="108">
        <f t="shared" si="93"/>
        <v>1470</v>
      </c>
      <c r="R156" s="5">
        <v>12</v>
      </c>
      <c r="S156" s="75">
        <v>10</v>
      </c>
      <c r="T156" s="76">
        <v>12</v>
      </c>
      <c r="U156" s="63">
        <f t="shared" si="94"/>
        <v>11.333333333333334</v>
      </c>
      <c r="V156" s="111">
        <f t="shared" si="95"/>
        <v>1031.3333333333335</v>
      </c>
      <c r="W156" s="64">
        <f t="shared" si="96"/>
        <v>16.416666666666668</v>
      </c>
      <c r="X156" s="65">
        <f t="shared" si="97"/>
        <v>5992.0833333333339</v>
      </c>
    </row>
    <row r="157" spans="1:24" ht="15" customHeight="1" thickBot="1" x14ac:dyDescent="0.3">
      <c r="A157" s="50" t="s">
        <v>145</v>
      </c>
      <c r="B157" s="498" t="s">
        <v>460</v>
      </c>
      <c r="C157" s="5">
        <v>328</v>
      </c>
      <c r="D157" s="5">
        <v>329</v>
      </c>
      <c r="E157" s="5">
        <v>344</v>
      </c>
      <c r="F157" s="63">
        <f t="shared" si="88"/>
        <v>333.66666666666669</v>
      </c>
      <c r="G157" s="108">
        <f t="shared" si="89"/>
        <v>30697.333333333336</v>
      </c>
      <c r="H157" s="5">
        <v>365</v>
      </c>
      <c r="I157" s="5">
        <v>366</v>
      </c>
      <c r="J157" s="5">
        <v>346</v>
      </c>
      <c r="K157" s="63">
        <f t="shared" si="90"/>
        <v>359</v>
      </c>
      <c r="L157" s="108">
        <f t="shared" si="91"/>
        <v>33028</v>
      </c>
      <c r="M157" s="5">
        <v>337</v>
      </c>
      <c r="N157" s="75">
        <v>333</v>
      </c>
      <c r="O157" s="75">
        <v>341</v>
      </c>
      <c r="P157" s="63">
        <f t="shared" si="92"/>
        <v>337</v>
      </c>
      <c r="Q157" s="108">
        <f t="shared" si="93"/>
        <v>30330</v>
      </c>
      <c r="R157" s="5">
        <v>333</v>
      </c>
      <c r="S157" s="75">
        <v>361</v>
      </c>
      <c r="T157" s="76">
        <v>362</v>
      </c>
      <c r="U157" s="63">
        <f t="shared" si="94"/>
        <v>352</v>
      </c>
      <c r="V157" s="111">
        <f t="shared" si="95"/>
        <v>32032</v>
      </c>
      <c r="W157" s="64">
        <f t="shared" si="96"/>
        <v>345.41666666666669</v>
      </c>
      <c r="X157" s="66">
        <f t="shared" si="97"/>
        <v>126077.08333333334</v>
      </c>
    </row>
    <row r="158" spans="1:24" ht="15" customHeight="1" thickBot="1" x14ac:dyDescent="0.3">
      <c r="A158" s="50" t="s">
        <v>359</v>
      </c>
      <c r="B158" s="498">
        <v>1050</v>
      </c>
      <c r="C158" s="5">
        <v>1039</v>
      </c>
      <c r="D158" s="5">
        <v>1043</v>
      </c>
      <c r="E158" s="5">
        <v>1037</v>
      </c>
      <c r="F158" s="63">
        <f t="shared" si="88"/>
        <v>1039.6666666666667</v>
      </c>
      <c r="G158" s="108">
        <f t="shared" si="89"/>
        <v>95649.333333333343</v>
      </c>
      <c r="H158" s="5">
        <v>1027</v>
      </c>
      <c r="I158" s="5">
        <v>1008</v>
      </c>
      <c r="J158" s="5">
        <v>1031</v>
      </c>
      <c r="K158" s="63">
        <f t="shared" si="90"/>
        <v>1022</v>
      </c>
      <c r="L158" s="108">
        <f t="shared" si="91"/>
        <v>94024</v>
      </c>
      <c r="M158" s="5">
        <v>1029</v>
      </c>
      <c r="N158" s="75">
        <v>971</v>
      </c>
      <c r="O158" s="75">
        <v>853</v>
      </c>
      <c r="P158" s="63">
        <f t="shared" si="92"/>
        <v>951</v>
      </c>
      <c r="Q158" s="108">
        <f t="shared" si="93"/>
        <v>85590</v>
      </c>
      <c r="R158" s="5">
        <v>796</v>
      </c>
      <c r="S158" s="75">
        <v>641</v>
      </c>
      <c r="T158" s="76">
        <v>467</v>
      </c>
      <c r="U158" s="63">
        <f t="shared" si="94"/>
        <v>634.66666666666663</v>
      </c>
      <c r="V158" s="111">
        <f t="shared" si="95"/>
        <v>57754.666666666664</v>
      </c>
      <c r="W158" s="64">
        <f t="shared" si="96"/>
        <v>911.83333333333337</v>
      </c>
      <c r="X158" s="65">
        <f t="shared" si="97"/>
        <v>332819.16666666669</v>
      </c>
    </row>
    <row r="159" spans="1:24" ht="15" customHeight="1" thickBot="1" x14ac:dyDescent="0.3">
      <c r="A159" s="50" t="s">
        <v>148</v>
      </c>
      <c r="B159" s="498" t="s">
        <v>460</v>
      </c>
      <c r="C159" s="5">
        <v>17</v>
      </c>
      <c r="D159" s="5">
        <v>16</v>
      </c>
      <c r="E159" s="5">
        <v>16</v>
      </c>
      <c r="F159" s="63">
        <f t="shared" si="88"/>
        <v>16.333333333333332</v>
      </c>
      <c r="G159" s="108">
        <f t="shared" si="89"/>
        <v>1502.6666666666665</v>
      </c>
      <c r="H159" s="5">
        <v>16</v>
      </c>
      <c r="I159" s="5">
        <v>16</v>
      </c>
      <c r="J159" s="5">
        <v>16</v>
      </c>
      <c r="K159" s="63">
        <f t="shared" si="90"/>
        <v>16</v>
      </c>
      <c r="L159" s="108">
        <f t="shared" si="91"/>
        <v>1472</v>
      </c>
      <c r="M159" s="5">
        <v>16</v>
      </c>
      <c r="N159" s="75">
        <v>17</v>
      </c>
      <c r="O159" s="75">
        <v>16</v>
      </c>
      <c r="P159" s="63">
        <f t="shared" si="92"/>
        <v>16.333333333333332</v>
      </c>
      <c r="Q159" s="108">
        <f t="shared" si="93"/>
        <v>1470</v>
      </c>
      <c r="R159" s="5">
        <v>16</v>
      </c>
      <c r="S159" s="75">
        <v>16</v>
      </c>
      <c r="T159" s="76">
        <v>16</v>
      </c>
      <c r="U159" s="63">
        <f t="shared" si="94"/>
        <v>16</v>
      </c>
      <c r="V159" s="112">
        <f t="shared" si="95"/>
        <v>1456</v>
      </c>
      <c r="W159" s="64">
        <f t="shared" si="96"/>
        <v>16.166666666666668</v>
      </c>
      <c r="X159" s="66">
        <f t="shared" si="97"/>
        <v>5900.8333333333339</v>
      </c>
    </row>
    <row r="160" spans="1:24" ht="15" customHeight="1" thickBot="1" x14ac:dyDescent="0.3">
      <c r="A160" s="53" t="s">
        <v>152</v>
      </c>
      <c r="B160" s="37"/>
      <c r="C160" s="80">
        <f>SUM(C154:C159)</f>
        <v>2162.71</v>
      </c>
      <c r="D160" s="80">
        <f>SUM(D154:D159)</f>
        <v>2168.42</v>
      </c>
      <c r="E160" s="80">
        <f>SUM(E154:E159)</f>
        <v>2157.0699999999997</v>
      </c>
      <c r="F160" s="68">
        <f t="shared" si="88"/>
        <v>2162.7333333333331</v>
      </c>
      <c r="G160" s="108">
        <f t="shared" si="89"/>
        <v>198971.46666666665</v>
      </c>
      <c r="H160" s="94">
        <f>SUM(H154:H159)</f>
        <v>2164.48</v>
      </c>
      <c r="I160" s="80">
        <f>SUM(I154:I159)</f>
        <v>2181.8000000000002</v>
      </c>
      <c r="J160" s="80">
        <f>SUM(J154:J159)</f>
        <v>2169</v>
      </c>
      <c r="K160" s="68">
        <f t="shared" si="90"/>
        <v>2171.7600000000002</v>
      </c>
      <c r="L160" s="119">
        <f t="shared" si="91"/>
        <v>199801.92</v>
      </c>
      <c r="M160" s="94">
        <f>SUM(M154:M159)</f>
        <v>2167.2600000000002</v>
      </c>
      <c r="N160" s="80">
        <f>SUM(N154:N159)</f>
        <v>2120.21</v>
      </c>
      <c r="O160" s="80">
        <f>SUM(O154:O159)</f>
        <v>2009.93</v>
      </c>
      <c r="P160" s="68">
        <f t="shared" si="92"/>
        <v>2099.1333333333337</v>
      </c>
      <c r="Q160" s="108">
        <f t="shared" si="93"/>
        <v>188922.00000000003</v>
      </c>
      <c r="R160" s="94">
        <f>SUM(R154:R159)</f>
        <v>1927.5</v>
      </c>
      <c r="S160" s="80">
        <f>SUM(S154:S159)</f>
        <v>1791.19</v>
      </c>
      <c r="T160" s="81">
        <f>SUM(T154:T159)</f>
        <v>1637.9299999999998</v>
      </c>
      <c r="U160" s="68">
        <f t="shared" si="94"/>
        <v>1785.54</v>
      </c>
      <c r="V160" s="120">
        <f t="shared" si="95"/>
        <v>162484.13999999998</v>
      </c>
      <c r="W160" s="69">
        <f>SUM(W154:W159)</f>
        <v>2054.7916666666665</v>
      </c>
      <c r="X160" s="69">
        <f>SUM(X154:X159)</f>
        <v>749998.95833333337</v>
      </c>
    </row>
    <row r="161" spans="1:24" ht="15" customHeight="1" thickBot="1" x14ac:dyDescent="0.3">
      <c r="A161" s="54" t="s">
        <v>156</v>
      </c>
      <c r="B161" s="38"/>
      <c r="C161" s="80">
        <f>C152+C160</f>
        <v>6024.3599999999988</v>
      </c>
      <c r="D161" s="80">
        <f>D152+D160</f>
        <v>6037.93</v>
      </c>
      <c r="E161" s="80">
        <f>E152+E160</f>
        <v>6088.93</v>
      </c>
      <c r="F161" s="80">
        <f>F152+F160</f>
        <v>6050.4066666666668</v>
      </c>
      <c r="G161" s="68">
        <f>SUM(G152+G160)</f>
        <v>556637.41333333333</v>
      </c>
      <c r="H161" s="80">
        <f>H152+H160</f>
        <v>6112.14</v>
      </c>
      <c r="I161" s="80">
        <f>I152+I160</f>
        <v>6167.57</v>
      </c>
      <c r="J161" s="80">
        <f>J152+J160</f>
        <v>6001.8600000000006</v>
      </c>
      <c r="K161" s="120">
        <f t="shared" si="90"/>
        <v>6093.8566666666666</v>
      </c>
      <c r="L161" s="68">
        <f>SUM(L152+L160)</f>
        <v>560634.81333333335</v>
      </c>
      <c r="M161" s="94">
        <f>M152+M160</f>
        <v>6113.13</v>
      </c>
      <c r="N161" s="80">
        <f>N152+N160</f>
        <v>6219.76</v>
      </c>
      <c r="O161" s="80">
        <f>O152+O160</f>
        <v>6200.21</v>
      </c>
      <c r="P161" s="99">
        <f t="shared" si="92"/>
        <v>6177.7</v>
      </c>
      <c r="Q161" s="68">
        <f>SUM(Q152+Q160)</f>
        <v>555993.00000000012</v>
      </c>
      <c r="R161" s="94">
        <f>R152+R160</f>
        <v>6168.49</v>
      </c>
      <c r="S161" s="80">
        <f>S152+S160</f>
        <v>6147.8600000000006</v>
      </c>
      <c r="T161" s="81">
        <f>T152+T160</f>
        <v>6157.65</v>
      </c>
      <c r="U161" s="99">
        <f t="shared" si="94"/>
        <v>6158</v>
      </c>
      <c r="V161" s="68">
        <f>SUM(V152+V160)</f>
        <v>560378</v>
      </c>
      <c r="W161" s="80">
        <f>W152+W160</f>
        <v>6119.9908333333333</v>
      </c>
      <c r="X161" s="82">
        <f>X152+X160</f>
        <v>2233796.6541666668</v>
      </c>
    </row>
    <row r="162" spans="1:24" ht="15" customHeight="1" x14ac:dyDescent="0.25">
      <c r="A162" s="581" t="s">
        <v>497</v>
      </c>
      <c r="B162" s="582"/>
      <c r="C162" s="583"/>
      <c r="D162" s="115"/>
      <c r="E162" s="115"/>
      <c r="F162" s="115"/>
      <c r="G162" s="113"/>
      <c r="H162" s="115"/>
      <c r="I162" s="115"/>
      <c r="J162" s="115"/>
      <c r="K162" s="139"/>
      <c r="L162" s="113"/>
      <c r="M162" s="115"/>
      <c r="N162" s="115"/>
      <c r="O162" s="115"/>
      <c r="P162" s="93"/>
      <c r="Q162" s="113"/>
      <c r="R162" s="115"/>
      <c r="S162" s="115"/>
      <c r="T162" s="115"/>
      <c r="U162" s="93"/>
      <c r="V162" s="113"/>
      <c r="W162" s="115"/>
      <c r="X162" s="115"/>
    </row>
    <row r="163" spans="1:24" ht="15" customHeight="1" x14ac:dyDescent="0.25">
      <c r="A163" s="581" t="s">
        <v>498</v>
      </c>
      <c r="B163" s="582"/>
      <c r="C163" s="583"/>
      <c r="D163" s="115"/>
      <c r="E163" s="115"/>
      <c r="F163" s="115"/>
      <c r="G163" s="113"/>
      <c r="H163" s="115"/>
      <c r="I163" s="115"/>
      <c r="J163" s="115"/>
      <c r="K163" s="139"/>
      <c r="L163" s="113"/>
      <c r="M163" s="115"/>
      <c r="N163" s="115"/>
      <c r="O163" s="115"/>
      <c r="P163" s="93"/>
      <c r="Q163" s="113"/>
      <c r="R163" s="115"/>
      <c r="S163" s="115"/>
      <c r="T163" s="115"/>
      <c r="U163" s="93"/>
      <c r="V163" s="113"/>
      <c r="W163" s="115"/>
      <c r="X163" s="115"/>
    </row>
    <row r="164" spans="1:24" ht="15" customHeight="1" x14ac:dyDescent="0.25">
      <c r="A164" s="114"/>
      <c r="B164" s="19"/>
      <c r="C164" s="115"/>
      <c r="D164" s="115"/>
      <c r="E164" s="115"/>
      <c r="F164" s="115"/>
      <c r="G164" s="113"/>
      <c r="H164" s="115"/>
      <c r="I164" s="115"/>
      <c r="J164" s="115"/>
      <c r="K164" s="139"/>
      <c r="L164" s="113"/>
      <c r="M164" s="115"/>
      <c r="N164" s="115"/>
      <c r="O164" s="115"/>
      <c r="P164" s="93"/>
      <c r="Q164" s="113"/>
      <c r="R164" s="115"/>
      <c r="S164" s="115"/>
      <c r="T164" s="115"/>
      <c r="U164" s="93"/>
      <c r="V164" s="113"/>
      <c r="W164" s="115"/>
      <c r="X164" s="115"/>
    </row>
    <row r="165" spans="1:24" ht="18" customHeight="1" x14ac:dyDescent="0.2">
      <c r="A165" s="45" t="s">
        <v>155</v>
      </c>
      <c r="B165" s="10"/>
      <c r="C165" s="13"/>
      <c r="D165" s="13"/>
      <c r="E165" s="13"/>
      <c r="F165" s="13"/>
      <c r="G165" s="13"/>
      <c r="H165" s="13"/>
      <c r="I165" s="13"/>
      <c r="J165" s="13"/>
      <c r="K165" s="13"/>
      <c r="L165" s="13"/>
      <c r="M165" s="13"/>
      <c r="N165" s="13"/>
      <c r="O165" s="13"/>
      <c r="P165" s="13"/>
      <c r="Q165" s="13"/>
      <c r="R165" s="13"/>
      <c r="S165" s="13"/>
      <c r="T165" s="13"/>
      <c r="U165" s="13"/>
      <c r="V165" s="13"/>
      <c r="W165" s="13"/>
      <c r="X165" s="13"/>
    </row>
    <row r="166" spans="1:24" ht="18" customHeight="1" thickBot="1" x14ac:dyDescent="0.25">
      <c r="A166" s="45"/>
      <c r="B166" s="10"/>
      <c r="C166" s="13"/>
      <c r="D166" s="13"/>
      <c r="E166" s="13"/>
      <c r="F166" s="13"/>
      <c r="G166" s="13"/>
      <c r="H166" s="13"/>
      <c r="I166" s="13"/>
      <c r="J166" s="13"/>
      <c r="K166" s="13"/>
      <c r="L166" s="13"/>
      <c r="M166" s="13"/>
      <c r="N166" s="13"/>
      <c r="O166" s="13"/>
      <c r="P166" s="13"/>
      <c r="Q166" s="13"/>
      <c r="R166" s="13"/>
      <c r="S166" s="13"/>
      <c r="T166" s="13"/>
      <c r="U166" s="13"/>
      <c r="V166" s="13"/>
      <c r="W166" s="13"/>
      <c r="X166" s="13"/>
    </row>
    <row r="167" spans="1:24" ht="20.25" customHeight="1" thickBot="1" x14ac:dyDescent="0.3">
      <c r="A167" s="499" t="s">
        <v>437</v>
      </c>
      <c r="B167" s="1200" t="s">
        <v>153</v>
      </c>
      <c r="C167" s="1201"/>
      <c r="D167" s="1201"/>
      <c r="E167" s="1201"/>
      <c r="F167" s="1201"/>
      <c r="G167" s="1201"/>
      <c r="H167" s="1201"/>
      <c r="I167" s="1201"/>
      <c r="J167" s="1201"/>
      <c r="K167" s="1201"/>
      <c r="L167" s="1201"/>
      <c r="M167" s="1201"/>
      <c r="N167" s="1201"/>
      <c r="O167" s="1201"/>
      <c r="P167" s="1201"/>
      <c r="Q167" s="1201"/>
      <c r="R167" s="1201"/>
      <c r="S167" s="1201"/>
      <c r="T167" s="1201"/>
      <c r="U167" s="39"/>
      <c r="V167" s="39"/>
      <c r="W167" s="92"/>
      <c r="X167" s="13"/>
    </row>
    <row r="168" spans="1:24" ht="15" customHeight="1" x14ac:dyDescent="0.25">
      <c r="A168" s="56"/>
      <c r="B168" s="40" t="s">
        <v>261</v>
      </c>
      <c r="C168" s="57"/>
      <c r="D168" s="58"/>
      <c r="E168" s="58"/>
      <c r="F168" s="1192" t="s">
        <v>258</v>
      </c>
      <c r="G168" s="1184" t="s">
        <v>278</v>
      </c>
      <c r="H168" s="58"/>
      <c r="I168" s="58"/>
      <c r="J168" s="58"/>
      <c r="K168" s="1192" t="s">
        <v>258</v>
      </c>
      <c r="L168" s="1184" t="s">
        <v>278</v>
      </c>
      <c r="M168" s="58"/>
      <c r="N168" s="575" t="s">
        <v>490</v>
      </c>
      <c r="O168" s="58"/>
      <c r="P168" s="1192" t="s">
        <v>258</v>
      </c>
      <c r="Q168" s="1184" t="s">
        <v>278</v>
      </c>
      <c r="R168" s="58"/>
      <c r="S168" s="58"/>
      <c r="T168" s="59"/>
      <c r="U168" s="1192" t="s">
        <v>258</v>
      </c>
      <c r="V168" s="1184" t="s">
        <v>278</v>
      </c>
      <c r="W168" s="1186" t="s">
        <v>154</v>
      </c>
      <c r="X168" s="1188" t="s">
        <v>155</v>
      </c>
    </row>
    <row r="169" spans="1:24" ht="24.75" customHeight="1" thickBot="1" x14ac:dyDescent="0.3">
      <c r="A169" s="47" t="s">
        <v>56</v>
      </c>
      <c r="B169" s="41" t="s">
        <v>455</v>
      </c>
      <c r="C169" s="60">
        <v>40735</v>
      </c>
      <c r="D169" s="61">
        <v>40766</v>
      </c>
      <c r="E169" s="61">
        <v>40797</v>
      </c>
      <c r="F169" s="1193"/>
      <c r="G169" s="1185"/>
      <c r="H169" s="61">
        <v>40827</v>
      </c>
      <c r="I169" s="61">
        <v>40858</v>
      </c>
      <c r="J169" s="61">
        <v>40888</v>
      </c>
      <c r="K169" s="1193"/>
      <c r="L169" s="1185"/>
      <c r="M169" s="61">
        <v>40920</v>
      </c>
      <c r="N169" s="61">
        <v>40951</v>
      </c>
      <c r="O169" s="61">
        <v>40980</v>
      </c>
      <c r="P169" s="1193"/>
      <c r="Q169" s="1185"/>
      <c r="R169" s="61">
        <v>41011</v>
      </c>
      <c r="S169" s="61">
        <v>41041</v>
      </c>
      <c r="T169" s="62">
        <v>41072</v>
      </c>
      <c r="U169" s="1193"/>
      <c r="V169" s="1185"/>
      <c r="W169" s="1187"/>
      <c r="X169" s="1189"/>
    </row>
    <row r="170" spans="1:24" ht="15" customHeight="1" thickBot="1" x14ac:dyDescent="0.3">
      <c r="A170" s="48" t="s">
        <v>291</v>
      </c>
      <c r="B170" s="42" t="s">
        <v>296</v>
      </c>
      <c r="C170" s="125">
        <v>450.87</v>
      </c>
      <c r="D170" s="125">
        <v>452.77</v>
      </c>
      <c r="E170" s="117">
        <v>472.67</v>
      </c>
      <c r="F170" s="63">
        <f>SUM(C170:E170)/3</f>
        <v>458.77</v>
      </c>
      <c r="G170" s="108">
        <f t="shared" ref="G170:G183" si="98">F170*92</f>
        <v>42206.84</v>
      </c>
      <c r="H170" s="117">
        <v>514.9</v>
      </c>
      <c r="I170" s="117">
        <v>447.87</v>
      </c>
      <c r="J170" s="117">
        <v>415.97</v>
      </c>
      <c r="K170" s="63">
        <f t="shared" ref="K170:K184" si="99">SUM(H170:J170)/3</f>
        <v>459.58</v>
      </c>
      <c r="L170" s="108">
        <f t="shared" ref="L170:L184" si="100">K170*92</f>
        <v>42281.36</v>
      </c>
      <c r="M170" s="117">
        <v>444.71</v>
      </c>
      <c r="N170" s="85">
        <v>460.97</v>
      </c>
      <c r="O170" s="85">
        <v>468.19</v>
      </c>
      <c r="P170" s="63">
        <f t="shared" ref="P170:P184" si="101">SUM(M170:O170)/3</f>
        <v>457.95666666666671</v>
      </c>
      <c r="Q170" s="108">
        <f>P170*91</f>
        <v>41674.056666666671</v>
      </c>
      <c r="R170" s="117">
        <v>470.97</v>
      </c>
      <c r="S170" s="85">
        <v>469.94</v>
      </c>
      <c r="T170" s="135">
        <v>491.63</v>
      </c>
      <c r="U170" s="63">
        <f t="shared" ref="U170:U184" si="102">SUM(R170:T170)/3</f>
        <v>477.51333333333332</v>
      </c>
      <c r="V170" s="111">
        <f t="shared" ref="V170:V184" si="103">U170*91</f>
        <v>43453.713333333333</v>
      </c>
      <c r="W170" s="64">
        <f t="shared" ref="W170:W184" si="104">SUM(C170+D170+E170+H170+I170+J170+M170+N170+O170+R170+S170+T170)/12</f>
        <v>463.45499999999998</v>
      </c>
      <c r="X170" s="65">
        <f>W170*366</f>
        <v>169624.53</v>
      </c>
    </row>
    <row r="171" spans="1:24" ht="15" customHeight="1" thickBot="1" x14ac:dyDescent="0.3">
      <c r="A171" s="49" t="s">
        <v>138</v>
      </c>
      <c r="B171" s="43" t="s">
        <v>456</v>
      </c>
      <c r="C171" s="126">
        <v>145.81</v>
      </c>
      <c r="D171" s="126">
        <v>140.29</v>
      </c>
      <c r="E171" s="118">
        <v>135.07</v>
      </c>
      <c r="F171" s="63">
        <f t="shared" ref="F171:F183" si="105">SUM(C171:E171)/3</f>
        <v>140.39000000000001</v>
      </c>
      <c r="G171" s="108">
        <f t="shared" si="98"/>
        <v>12915.880000000001</v>
      </c>
      <c r="H171" s="118">
        <v>127.87</v>
      </c>
      <c r="I171" s="118">
        <v>122.27</v>
      </c>
      <c r="J171" s="118">
        <v>104.16</v>
      </c>
      <c r="K171" s="63">
        <f t="shared" si="99"/>
        <v>118.09999999999998</v>
      </c>
      <c r="L171" s="108">
        <f t="shared" si="100"/>
        <v>10865.199999999999</v>
      </c>
      <c r="M171" s="118">
        <v>116.1</v>
      </c>
      <c r="N171" s="86">
        <v>112.1</v>
      </c>
      <c r="O171" s="86">
        <v>111.58</v>
      </c>
      <c r="P171" s="63">
        <f t="shared" si="101"/>
        <v>113.25999999999999</v>
      </c>
      <c r="Q171" s="108">
        <f>P171*91</f>
        <v>10306.66</v>
      </c>
      <c r="R171" s="118">
        <v>114.03</v>
      </c>
      <c r="S171" s="86">
        <v>118.77</v>
      </c>
      <c r="T171" s="89">
        <v>123.93</v>
      </c>
      <c r="U171" s="63">
        <f t="shared" si="102"/>
        <v>118.91000000000001</v>
      </c>
      <c r="V171" s="111">
        <f t="shared" si="103"/>
        <v>10820.810000000001</v>
      </c>
      <c r="W171" s="64">
        <f t="shared" si="104"/>
        <v>122.66500000000001</v>
      </c>
      <c r="X171" s="65">
        <f>W171*366</f>
        <v>44895.39</v>
      </c>
    </row>
    <row r="172" spans="1:24" ht="15" customHeight="1" thickBot="1" x14ac:dyDescent="0.3">
      <c r="A172" s="50" t="s">
        <v>292</v>
      </c>
      <c r="B172" s="44" t="s">
        <v>297</v>
      </c>
      <c r="C172" s="4">
        <v>442.61</v>
      </c>
      <c r="D172" s="4">
        <v>448.58</v>
      </c>
      <c r="E172" s="3">
        <v>454.97</v>
      </c>
      <c r="F172" s="63">
        <f t="shared" si="105"/>
        <v>448.72</v>
      </c>
      <c r="G172" s="108">
        <f t="shared" si="98"/>
        <v>41282.240000000005</v>
      </c>
      <c r="H172" s="3">
        <v>451.35</v>
      </c>
      <c r="I172" s="3">
        <v>450.2</v>
      </c>
      <c r="J172" s="3">
        <v>437.55</v>
      </c>
      <c r="K172" s="63">
        <f t="shared" si="99"/>
        <v>446.36666666666662</v>
      </c>
      <c r="L172" s="108">
        <f t="shared" si="100"/>
        <v>41065.73333333333</v>
      </c>
      <c r="M172" s="3">
        <v>442.84</v>
      </c>
      <c r="N172" s="87">
        <v>450.31</v>
      </c>
      <c r="O172" s="87">
        <v>443.1</v>
      </c>
      <c r="P172" s="63">
        <f t="shared" si="101"/>
        <v>445.41666666666669</v>
      </c>
      <c r="Q172" s="108">
        <f t="shared" ref="Q172:Q182" si="106">P172*91</f>
        <v>40532.916666666672</v>
      </c>
      <c r="R172" s="3">
        <v>438.47</v>
      </c>
      <c r="S172" s="87">
        <v>438.06</v>
      </c>
      <c r="T172" s="90">
        <v>405.3</v>
      </c>
      <c r="U172" s="63">
        <f t="shared" si="102"/>
        <v>427.27666666666664</v>
      </c>
      <c r="V172" s="111">
        <f t="shared" si="103"/>
        <v>38882.176666666666</v>
      </c>
      <c r="W172" s="64">
        <f t="shared" si="104"/>
        <v>441.94500000000011</v>
      </c>
      <c r="X172" s="65">
        <f t="shared" ref="X172:X182" si="107">W172*366</f>
        <v>161751.87000000005</v>
      </c>
    </row>
    <row r="173" spans="1:24" ht="15" customHeight="1" thickBot="1" x14ac:dyDescent="0.3">
      <c r="A173" s="50" t="s">
        <v>337</v>
      </c>
      <c r="B173" s="44" t="s">
        <v>336</v>
      </c>
      <c r="C173" s="4">
        <v>277.61</v>
      </c>
      <c r="D173" s="4">
        <v>282.48</v>
      </c>
      <c r="E173" s="3">
        <v>285.60000000000002</v>
      </c>
      <c r="F173" s="63">
        <f t="shared" si="105"/>
        <v>281.8966666666667</v>
      </c>
      <c r="G173" s="108">
        <f t="shared" si="98"/>
        <v>25934.493333333336</v>
      </c>
      <c r="H173" s="3">
        <v>285.13</v>
      </c>
      <c r="I173" s="3">
        <v>276.07</v>
      </c>
      <c r="J173" s="3">
        <v>248</v>
      </c>
      <c r="K173" s="63">
        <f t="shared" si="99"/>
        <v>269.73333333333335</v>
      </c>
      <c r="L173" s="108">
        <f t="shared" si="100"/>
        <v>24815.466666666667</v>
      </c>
      <c r="M173" s="3">
        <v>261.45</v>
      </c>
      <c r="N173" s="87">
        <v>272.14</v>
      </c>
      <c r="O173" s="87">
        <v>273.39</v>
      </c>
      <c r="P173" s="63">
        <f t="shared" si="101"/>
        <v>268.99333333333328</v>
      </c>
      <c r="Q173" s="108">
        <f t="shared" si="106"/>
        <v>24478.39333333333</v>
      </c>
      <c r="R173" s="3">
        <v>285.77</v>
      </c>
      <c r="S173" s="87">
        <v>299.42</v>
      </c>
      <c r="T173" s="90">
        <v>296.60000000000002</v>
      </c>
      <c r="U173" s="63">
        <f t="shared" si="102"/>
        <v>293.93</v>
      </c>
      <c r="V173" s="111">
        <f t="shared" si="103"/>
        <v>26747.63</v>
      </c>
      <c r="W173" s="64">
        <f t="shared" si="104"/>
        <v>278.63833333333332</v>
      </c>
      <c r="X173" s="65">
        <f t="shared" si="107"/>
        <v>101981.62999999999</v>
      </c>
    </row>
    <row r="174" spans="1:24" ht="15" customHeight="1" thickBot="1" x14ac:dyDescent="0.3">
      <c r="A174" s="51" t="s">
        <v>275</v>
      </c>
      <c r="B174" s="44" t="s">
        <v>299</v>
      </c>
      <c r="C174" s="4">
        <v>421.06</v>
      </c>
      <c r="D174" s="4">
        <v>416.61</v>
      </c>
      <c r="E174" s="3">
        <v>420.83</v>
      </c>
      <c r="F174" s="63">
        <f t="shared" si="105"/>
        <v>419.5</v>
      </c>
      <c r="G174" s="108">
        <f t="shared" si="98"/>
        <v>38594</v>
      </c>
      <c r="H174" s="3">
        <v>407.13</v>
      </c>
      <c r="I174" s="3">
        <v>421.03</v>
      </c>
      <c r="J174" s="3">
        <v>403.87</v>
      </c>
      <c r="K174" s="63">
        <f t="shared" si="99"/>
        <v>410.67666666666668</v>
      </c>
      <c r="L174" s="108">
        <f t="shared" si="100"/>
        <v>37782.253333333334</v>
      </c>
      <c r="M174" s="3">
        <v>413.9</v>
      </c>
      <c r="N174" s="87">
        <v>425.45</v>
      </c>
      <c r="O174" s="87">
        <v>420.97</v>
      </c>
      <c r="P174" s="63">
        <f t="shared" si="101"/>
        <v>420.10666666666663</v>
      </c>
      <c r="Q174" s="108">
        <f t="shared" si="106"/>
        <v>38229.706666666665</v>
      </c>
      <c r="R174" s="3">
        <v>412.9</v>
      </c>
      <c r="S174" s="87">
        <v>405.26</v>
      </c>
      <c r="T174" s="90">
        <v>410.9</v>
      </c>
      <c r="U174" s="63">
        <f t="shared" si="102"/>
        <v>409.68666666666667</v>
      </c>
      <c r="V174" s="111">
        <f t="shared" si="103"/>
        <v>37281.486666666664</v>
      </c>
      <c r="W174" s="64">
        <f t="shared" si="104"/>
        <v>414.99249999999989</v>
      </c>
      <c r="X174" s="65">
        <f t="shared" si="107"/>
        <v>151887.25499999995</v>
      </c>
    </row>
    <row r="175" spans="1:24" ht="15" customHeight="1" thickBot="1" x14ac:dyDescent="0.3">
      <c r="A175" s="50" t="s">
        <v>16</v>
      </c>
      <c r="B175" s="44" t="s">
        <v>268</v>
      </c>
      <c r="C175" s="4">
        <v>57.94</v>
      </c>
      <c r="D175" s="4">
        <v>55.26</v>
      </c>
      <c r="E175" s="3">
        <v>61.7</v>
      </c>
      <c r="F175" s="63">
        <f t="shared" si="105"/>
        <v>58.29999999999999</v>
      </c>
      <c r="G175" s="108">
        <f t="shared" si="98"/>
        <v>5363.5999999999995</v>
      </c>
      <c r="H175" s="3">
        <v>67.39</v>
      </c>
      <c r="I175" s="3">
        <v>64.3</v>
      </c>
      <c r="J175" s="3">
        <v>66.45</v>
      </c>
      <c r="K175" s="63">
        <f t="shared" si="99"/>
        <v>66.046666666666667</v>
      </c>
      <c r="L175" s="108">
        <f t="shared" si="100"/>
        <v>6076.2933333333331</v>
      </c>
      <c r="M175" s="3">
        <v>64.099999999999994</v>
      </c>
      <c r="N175" s="87">
        <v>65.31</v>
      </c>
      <c r="O175" s="87">
        <v>58.26</v>
      </c>
      <c r="P175" s="63">
        <f t="shared" si="101"/>
        <v>62.556666666666665</v>
      </c>
      <c r="Q175" s="108">
        <f t="shared" si="106"/>
        <v>5692.6566666666668</v>
      </c>
      <c r="R175" s="3">
        <v>69.430000000000007</v>
      </c>
      <c r="S175" s="87">
        <v>68</v>
      </c>
      <c r="T175" s="90">
        <v>62.37</v>
      </c>
      <c r="U175" s="63">
        <f t="shared" si="102"/>
        <v>66.600000000000009</v>
      </c>
      <c r="V175" s="111">
        <f t="shared" si="103"/>
        <v>6060.6</v>
      </c>
      <c r="W175" s="64">
        <f t="shared" si="104"/>
        <v>63.37583333333334</v>
      </c>
      <c r="X175" s="65">
        <f t="shared" si="107"/>
        <v>23195.555000000004</v>
      </c>
    </row>
    <row r="176" spans="1:24" ht="15" customHeight="1" thickBot="1" x14ac:dyDescent="0.3">
      <c r="A176" s="50" t="s">
        <v>17</v>
      </c>
      <c r="B176" s="44" t="s">
        <v>300</v>
      </c>
      <c r="C176" s="4">
        <v>236.84</v>
      </c>
      <c r="D176" s="4">
        <v>229.32</v>
      </c>
      <c r="E176" s="3">
        <v>237.73</v>
      </c>
      <c r="F176" s="63">
        <f t="shared" si="105"/>
        <v>234.63</v>
      </c>
      <c r="G176" s="108">
        <f t="shared" si="98"/>
        <v>21585.96</v>
      </c>
      <c r="H176" s="3">
        <v>237.16</v>
      </c>
      <c r="I176" s="3">
        <v>225.33</v>
      </c>
      <c r="J176" s="3">
        <v>237.9</v>
      </c>
      <c r="K176" s="63">
        <f t="shared" si="99"/>
        <v>233.46333333333334</v>
      </c>
      <c r="L176" s="108">
        <f t="shared" si="100"/>
        <v>21478.626666666667</v>
      </c>
      <c r="M176" s="3">
        <v>231.94</v>
      </c>
      <c r="N176" s="87">
        <v>233.62</v>
      </c>
      <c r="O176" s="87">
        <v>245.9</v>
      </c>
      <c r="P176" s="63">
        <f t="shared" si="101"/>
        <v>237.15333333333334</v>
      </c>
      <c r="Q176" s="108">
        <f t="shared" si="106"/>
        <v>21580.953333333335</v>
      </c>
      <c r="R176" s="3">
        <v>239.9</v>
      </c>
      <c r="S176" s="87">
        <v>229.84</v>
      </c>
      <c r="T176" s="90">
        <v>223.77</v>
      </c>
      <c r="U176" s="63">
        <f t="shared" si="102"/>
        <v>231.17</v>
      </c>
      <c r="V176" s="111">
        <f t="shared" si="103"/>
        <v>21036.469999999998</v>
      </c>
      <c r="W176" s="64">
        <f t="shared" si="104"/>
        <v>234.10416666666671</v>
      </c>
      <c r="X176" s="65">
        <f t="shared" si="107"/>
        <v>85682.125000000015</v>
      </c>
    </row>
    <row r="177" spans="1:24" ht="15" customHeight="1" thickBot="1" x14ac:dyDescent="0.3">
      <c r="A177" s="50" t="s">
        <v>140</v>
      </c>
      <c r="B177" s="44" t="s">
        <v>301</v>
      </c>
      <c r="C177" s="4">
        <v>100.77</v>
      </c>
      <c r="D177" s="4">
        <v>91.77</v>
      </c>
      <c r="E177" s="3">
        <v>96.83</v>
      </c>
      <c r="F177" s="63">
        <f t="shared" si="105"/>
        <v>96.456666666666663</v>
      </c>
      <c r="G177" s="108">
        <f t="shared" si="98"/>
        <v>8874.0133333333324</v>
      </c>
      <c r="H177" s="3">
        <v>106.32</v>
      </c>
      <c r="I177" s="3">
        <v>98.63</v>
      </c>
      <c r="J177" s="3">
        <v>92.68</v>
      </c>
      <c r="K177" s="63">
        <f t="shared" si="99"/>
        <v>99.21</v>
      </c>
      <c r="L177" s="108">
        <f t="shared" si="100"/>
        <v>9127.32</v>
      </c>
      <c r="M177" s="3">
        <v>85.45</v>
      </c>
      <c r="N177" s="87">
        <v>94.45</v>
      </c>
      <c r="O177" s="87">
        <v>97.06</v>
      </c>
      <c r="P177" s="63">
        <f t="shared" si="101"/>
        <v>92.320000000000007</v>
      </c>
      <c r="Q177" s="108">
        <f t="shared" si="106"/>
        <v>8401.1200000000008</v>
      </c>
      <c r="R177" s="3">
        <v>97.23</v>
      </c>
      <c r="S177" s="87">
        <v>93.55</v>
      </c>
      <c r="T177" s="90">
        <v>98.23</v>
      </c>
      <c r="U177" s="63">
        <f t="shared" si="102"/>
        <v>96.336666666666659</v>
      </c>
      <c r="V177" s="111">
        <f t="shared" si="103"/>
        <v>8766.6366666666654</v>
      </c>
      <c r="W177" s="64">
        <f t="shared" si="104"/>
        <v>96.080833333333331</v>
      </c>
      <c r="X177" s="65">
        <f t="shared" si="107"/>
        <v>35165.584999999999</v>
      </c>
    </row>
    <row r="178" spans="1:24" ht="15" customHeight="1" thickBot="1" x14ac:dyDescent="0.3">
      <c r="A178" s="51" t="s">
        <v>276</v>
      </c>
      <c r="B178" s="44" t="s">
        <v>308</v>
      </c>
      <c r="C178" s="4">
        <f>331.19+175.9</f>
        <v>507.09000000000003</v>
      </c>
      <c r="D178" s="4">
        <f>322.58+175.48</f>
        <v>498.05999999999995</v>
      </c>
      <c r="E178" s="3">
        <f>318.9+175.37</f>
        <v>494.27</v>
      </c>
      <c r="F178" s="63">
        <f t="shared" si="105"/>
        <v>499.80666666666667</v>
      </c>
      <c r="G178" s="108">
        <f t="shared" si="98"/>
        <v>45982.213333333333</v>
      </c>
      <c r="H178" s="3">
        <f>327.61+172</f>
        <v>499.61</v>
      </c>
      <c r="I178" s="3">
        <f>323+172.13</f>
        <v>495.13</v>
      </c>
      <c r="J178" s="3">
        <f>318.48+175.61</f>
        <v>494.09000000000003</v>
      </c>
      <c r="K178" s="63">
        <f t="shared" si="99"/>
        <v>496.27666666666664</v>
      </c>
      <c r="L178" s="108">
        <f t="shared" si="100"/>
        <v>45657.453333333331</v>
      </c>
      <c r="M178" s="3">
        <f>319.84+175.55</f>
        <v>495.39</v>
      </c>
      <c r="N178" s="87">
        <f>330.24+175.86</f>
        <v>506.1</v>
      </c>
      <c r="O178" s="87">
        <f>331.23+174.42</f>
        <v>505.65</v>
      </c>
      <c r="P178" s="63">
        <f t="shared" si="101"/>
        <v>502.37999999999994</v>
      </c>
      <c r="Q178" s="108">
        <f t="shared" si="106"/>
        <v>45716.579999999994</v>
      </c>
      <c r="R178" s="3">
        <f>329.7+170.57</f>
        <v>500.27</v>
      </c>
      <c r="S178" s="87">
        <f>327.94+175.52</f>
        <v>503.46000000000004</v>
      </c>
      <c r="T178" s="90">
        <f>332.73+174.2</f>
        <v>506.93</v>
      </c>
      <c r="U178" s="63">
        <f t="shared" si="102"/>
        <v>503.55333333333334</v>
      </c>
      <c r="V178" s="111">
        <f t="shared" si="103"/>
        <v>45823.353333333333</v>
      </c>
      <c r="W178" s="64">
        <f t="shared" si="104"/>
        <v>500.50416666666666</v>
      </c>
      <c r="X178" s="65">
        <f t="shared" si="107"/>
        <v>183184.52499999999</v>
      </c>
    </row>
    <row r="179" spans="1:24" ht="15" customHeight="1" thickBot="1" x14ac:dyDescent="0.3">
      <c r="A179" s="50" t="s">
        <v>149</v>
      </c>
      <c r="B179" s="121" t="s">
        <v>302</v>
      </c>
      <c r="C179" s="4">
        <v>120.68</v>
      </c>
      <c r="D179" s="4">
        <v>121.23</v>
      </c>
      <c r="E179" s="3">
        <v>113.67</v>
      </c>
      <c r="F179" s="63">
        <f t="shared" si="105"/>
        <v>118.52666666666669</v>
      </c>
      <c r="G179" s="108">
        <f t="shared" si="98"/>
        <v>10904.453333333335</v>
      </c>
      <c r="H179" s="3">
        <v>105.06</v>
      </c>
      <c r="I179" s="3">
        <v>105.57</v>
      </c>
      <c r="J179" s="3">
        <v>109</v>
      </c>
      <c r="K179" s="63">
        <f t="shared" si="99"/>
        <v>106.54333333333334</v>
      </c>
      <c r="L179" s="108">
        <f t="shared" si="100"/>
        <v>9801.9866666666676</v>
      </c>
      <c r="M179" s="3">
        <v>112.45</v>
      </c>
      <c r="N179" s="87">
        <v>106.83</v>
      </c>
      <c r="O179" s="87">
        <v>106</v>
      </c>
      <c r="P179" s="63">
        <f t="shared" si="101"/>
        <v>108.42666666666666</v>
      </c>
      <c r="Q179" s="108">
        <f t="shared" si="106"/>
        <v>9866.8266666666659</v>
      </c>
      <c r="R179" s="3">
        <v>107.67</v>
      </c>
      <c r="S179" s="87">
        <v>120.03</v>
      </c>
      <c r="T179" s="90">
        <v>99.17</v>
      </c>
      <c r="U179" s="63">
        <f t="shared" si="102"/>
        <v>108.95666666666666</v>
      </c>
      <c r="V179" s="111">
        <f t="shared" si="103"/>
        <v>9915.0566666666655</v>
      </c>
      <c r="W179" s="64">
        <f t="shared" si="104"/>
        <v>110.61333333333334</v>
      </c>
      <c r="X179" s="65">
        <f t="shared" si="107"/>
        <v>40484.480000000003</v>
      </c>
    </row>
    <row r="180" spans="1:24" ht="15" customHeight="1" thickBot="1" x14ac:dyDescent="0.3">
      <c r="A180" s="49" t="s">
        <v>20</v>
      </c>
      <c r="B180" s="43" t="s">
        <v>303</v>
      </c>
      <c r="C180" s="126">
        <v>551.65</v>
      </c>
      <c r="D180" s="126">
        <v>551.80999999999995</v>
      </c>
      <c r="E180" s="118">
        <v>550.92999999999995</v>
      </c>
      <c r="F180" s="63">
        <f t="shared" si="105"/>
        <v>551.46333333333325</v>
      </c>
      <c r="G180" s="108">
        <f t="shared" si="98"/>
        <v>50734.626666666656</v>
      </c>
      <c r="H180" s="118">
        <v>549.35</v>
      </c>
      <c r="I180" s="3">
        <v>529.70000000000005</v>
      </c>
      <c r="J180" s="118">
        <v>529.61</v>
      </c>
      <c r="K180" s="63">
        <f t="shared" si="99"/>
        <v>536.22000000000014</v>
      </c>
      <c r="L180" s="111">
        <f t="shared" si="100"/>
        <v>49332.240000000013</v>
      </c>
      <c r="M180" s="3">
        <v>538.05999999999995</v>
      </c>
      <c r="N180" s="86">
        <v>543.48</v>
      </c>
      <c r="O180" s="86">
        <v>551.74</v>
      </c>
      <c r="P180" s="63">
        <f t="shared" si="101"/>
        <v>544.42666666666662</v>
      </c>
      <c r="Q180" s="108">
        <f t="shared" si="106"/>
        <v>49542.82666666666</v>
      </c>
      <c r="R180" s="3">
        <v>543.47</v>
      </c>
      <c r="S180" s="86">
        <v>529.97</v>
      </c>
      <c r="T180" s="89">
        <v>523</v>
      </c>
      <c r="U180" s="63">
        <f t="shared" si="102"/>
        <v>532.14666666666665</v>
      </c>
      <c r="V180" s="111">
        <f t="shared" si="103"/>
        <v>48425.346666666665</v>
      </c>
      <c r="W180" s="64">
        <f t="shared" si="104"/>
        <v>541.06416666666667</v>
      </c>
      <c r="X180" s="65">
        <f t="shared" si="107"/>
        <v>198029.48499999999</v>
      </c>
    </row>
    <row r="181" spans="1:24" ht="15" customHeight="1" thickBot="1" x14ac:dyDescent="0.3">
      <c r="A181" s="51" t="s">
        <v>457</v>
      </c>
      <c r="B181" s="44" t="s">
        <v>458</v>
      </c>
      <c r="C181" s="4">
        <f>285.81+107.84</f>
        <v>393.65</v>
      </c>
      <c r="D181" s="4">
        <f>287.16+113.58</f>
        <v>400.74</v>
      </c>
      <c r="E181" s="3">
        <f>284.47+111.63</f>
        <v>396.1</v>
      </c>
      <c r="F181" s="63">
        <f t="shared" si="105"/>
        <v>396.83</v>
      </c>
      <c r="G181" s="108">
        <f t="shared" si="98"/>
        <v>36508.36</v>
      </c>
      <c r="H181" s="3">
        <f>299.16+112.35</f>
        <v>411.51</v>
      </c>
      <c r="I181" s="3">
        <f>341.37+105.6</f>
        <v>446.97</v>
      </c>
      <c r="J181" s="3">
        <f>344.65+95.77</f>
        <v>440.41999999999996</v>
      </c>
      <c r="K181" s="63">
        <f t="shared" si="99"/>
        <v>432.9666666666667</v>
      </c>
      <c r="L181" s="108">
        <f t="shared" si="100"/>
        <v>39832.933333333334</v>
      </c>
      <c r="M181" s="3">
        <f>328.74+99.97</f>
        <v>428.71000000000004</v>
      </c>
      <c r="N181" s="87">
        <f>333.17+106.07</f>
        <v>439.24</v>
      </c>
      <c r="O181" s="87">
        <f>345.52+106.03</f>
        <v>451.54999999999995</v>
      </c>
      <c r="P181" s="63">
        <f t="shared" si="101"/>
        <v>439.83333333333331</v>
      </c>
      <c r="Q181" s="108">
        <f t="shared" si="106"/>
        <v>40024.833333333328</v>
      </c>
      <c r="R181" s="3">
        <f>347.6+105</f>
        <v>452.6</v>
      </c>
      <c r="S181" s="87">
        <f>347.58+104.77</f>
        <v>452.34999999999997</v>
      </c>
      <c r="T181" s="90">
        <f>351.17+100.23</f>
        <v>451.40000000000003</v>
      </c>
      <c r="U181" s="63">
        <f t="shared" si="102"/>
        <v>452.11666666666673</v>
      </c>
      <c r="V181" s="111">
        <f t="shared" si="103"/>
        <v>41142.616666666676</v>
      </c>
      <c r="W181" s="64">
        <f t="shared" si="104"/>
        <v>430.43666666666672</v>
      </c>
      <c r="X181" s="65">
        <f t="shared" si="107"/>
        <v>157539.82</v>
      </c>
    </row>
    <row r="182" spans="1:24" ht="15" customHeight="1" thickBot="1" x14ac:dyDescent="0.3">
      <c r="A182" s="50" t="s">
        <v>141</v>
      </c>
      <c r="B182" s="44" t="s">
        <v>459</v>
      </c>
      <c r="C182" s="4">
        <v>162.61000000000001</v>
      </c>
      <c r="D182" s="4">
        <v>166.97</v>
      </c>
      <c r="E182" s="3">
        <v>165.5</v>
      </c>
      <c r="F182" s="63">
        <f t="shared" si="105"/>
        <v>165.02666666666667</v>
      </c>
      <c r="G182" s="108">
        <f t="shared" si="98"/>
        <v>15182.453333333333</v>
      </c>
      <c r="H182" s="3">
        <v>168.68</v>
      </c>
      <c r="I182" s="3">
        <v>154.5</v>
      </c>
      <c r="J182" s="3">
        <v>144.74</v>
      </c>
      <c r="K182" s="63">
        <f t="shared" si="99"/>
        <v>155.97333333333333</v>
      </c>
      <c r="L182" s="108">
        <f t="shared" si="100"/>
        <v>14349.546666666667</v>
      </c>
      <c r="M182" s="3">
        <v>137.16</v>
      </c>
      <c r="N182" s="87">
        <v>150.28</v>
      </c>
      <c r="O182" s="87">
        <v>156.71</v>
      </c>
      <c r="P182" s="63">
        <f t="shared" si="101"/>
        <v>148.04999999999998</v>
      </c>
      <c r="Q182" s="108">
        <f t="shared" si="106"/>
        <v>13472.55</v>
      </c>
      <c r="R182" s="3">
        <v>153.63</v>
      </c>
      <c r="S182" s="87">
        <v>147.06</v>
      </c>
      <c r="T182" s="90">
        <v>151.37</v>
      </c>
      <c r="U182" s="63">
        <f t="shared" si="102"/>
        <v>150.68666666666667</v>
      </c>
      <c r="V182" s="111">
        <f t="shared" si="103"/>
        <v>13712.486666666668</v>
      </c>
      <c r="W182" s="64">
        <f t="shared" si="104"/>
        <v>154.93416666666667</v>
      </c>
      <c r="X182" s="65">
        <f t="shared" si="107"/>
        <v>56705.904999999999</v>
      </c>
    </row>
    <row r="183" spans="1:24" ht="15" customHeight="1" thickBot="1" x14ac:dyDescent="0.3">
      <c r="A183" s="50" t="s">
        <v>142</v>
      </c>
      <c r="B183" s="34"/>
      <c r="C183" s="4">
        <v>0</v>
      </c>
      <c r="D183" s="4">
        <v>0</v>
      </c>
      <c r="E183" s="18"/>
      <c r="F183" s="67">
        <f t="shared" si="105"/>
        <v>0</v>
      </c>
      <c r="G183" s="108">
        <f t="shared" si="98"/>
        <v>0</v>
      </c>
      <c r="H183" s="18"/>
      <c r="I183" s="18"/>
      <c r="J183" s="18"/>
      <c r="K183" s="67">
        <f t="shared" si="99"/>
        <v>0</v>
      </c>
      <c r="L183" s="108">
        <f t="shared" si="100"/>
        <v>0</v>
      </c>
      <c r="M183" s="18"/>
      <c r="N183" s="4"/>
      <c r="O183" s="87"/>
      <c r="P183" s="67">
        <f t="shared" si="101"/>
        <v>0</v>
      </c>
      <c r="Q183" s="108">
        <f>P183*90</f>
        <v>0</v>
      </c>
      <c r="R183" s="3"/>
      <c r="S183" s="3"/>
      <c r="T183" s="4"/>
      <c r="U183" s="67">
        <f t="shared" si="102"/>
        <v>0</v>
      </c>
      <c r="V183" s="112">
        <f t="shared" si="103"/>
        <v>0</v>
      </c>
      <c r="W183" s="137">
        <f t="shared" si="104"/>
        <v>0</v>
      </c>
      <c r="X183" s="65">
        <f>W183*365</f>
        <v>0</v>
      </c>
    </row>
    <row r="184" spans="1:24" ht="15" customHeight="1" thickBot="1" x14ac:dyDescent="0.3">
      <c r="A184" s="46" t="s">
        <v>150</v>
      </c>
      <c r="B184" s="35"/>
      <c r="C184" s="80">
        <f>SUM(C170:C183)</f>
        <v>3869.1900000000005</v>
      </c>
      <c r="D184" s="80">
        <f>SUM(D170:D183)</f>
        <v>3855.89</v>
      </c>
      <c r="E184" s="80">
        <f>SUM(E170:E183)</f>
        <v>3885.8699999999994</v>
      </c>
      <c r="F184" s="68">
        <f>SUM(C184:E184)/3</f>
        <v>3870.3166666666662</v>
      </c>
      <c r="G184" s="108">
        <f>F184*92</f>
        <v>356069.1333333333</v>
      </c>
      <c r="H184" s="94">
        <f>SUM(H170:H183)</f>
        <v>3931.4600000000005</v>
      </c>
      <c r="I184" s="80">
        <f>SUM(I170:I183)</f>
        <v>3837.5700000000006</v>
      </c>
      <c r="J184" s="80">
        <f>SUM(J170:J183)</f>
        <v>3724.4400000000005</v>
      </c>
      <c r="K184" s="68">
        <f t="shared" si="99"/>
        <v>3831.1566666666672</v>
      </c>
      <c r="L184" s="119">
        <f t="shared" si="100"/>
        <v>352466.41333333339</v>
      </c>
      <c r="M184" s="9">
        <f>SUM(M170:M183)</f>
        <v>3772.2599999999993</v>
      </c>
      <c r="N184" s="80">
        <f>SUM(N170:N183)</f>
        <v>3860.28</v>
      </c>
      <c r="O184" s="80">
        <f>SUM(O170:O183)</f>
        <v>3890.1000000000004</v>
      </c>
      <c r="P184" s="68">
        <f t="shared" si="101"/>
        <v>3840.8799999999997</v>
      </c>
      <c r="Q184" s="119">
        <f>P184*91</f>
        <v>349520.07999999996</v>
      </c>
      <c r="R184" s="94">
        <f>SUM(R170:R183)</f>
        <v>3886.3399999999997</v>
      </c>
      <c r="S184" s="80">
        <f>SUM(S170:S183)</f>
        <v>3875.71</v>
      </c>
      <c r="T184" s="81">
        <f>SUM(T170:T183)</f>
        <v>3844.6</v>
      </c>
      <c r="U184" s="68">
        <f t="shared" si="102"/>
        <v>3868.8833333333332</v>
      </c>
      <c r="V184" s="120">
        <f t="shared" si="103"/>
        <v>352068.3833333333</v>
      </c>
      <c r="W184" s="138">
        <f t="shared" si="104"/>
        <v>3852.809166666666</v>
      </c>
      <c r="X184" s="69">
        <f>SUM(X170:X183)</f>
        <v>1410128.1550000003</v>
      </c>
    </row>
    <row r="185" spans="1:24" ht="27.75" customHeight="1" thickBot="1" x14ac:dyDescent="0.3">
      <c r="A185" s="46" t="s">
        <v>151</v>
      </c>
      <c r="B185" s="35"/>
      <c r="C185" s="70"/>
      <c r="D185" s="70"/>
      <c r="E185" s="71"/>
      <c r="F185" s="98"/>
      <c r="G185" s="98"/>
      <c r="H185" s="72"/>
      <c r="I185" s="70" t="s">
        <v>251</v>
      </c>
      <c r="J185" s="71"/>
      <c r="K185" s="97"/>
      <c r="L185" s="97"/>
      <c r="M185" s="72"/>
      <c r="N185" s="70"/>
      <c r="O185" s="71"/>
      <c r="P185" s="97"/>
      <c r="Q185" s="97"/>
      <c r="R185" s="72"/>
      <c r="S185" s="70"/>
      <c r="T185" s="71"/>
      <c r="U185" s="71"/>
      <c r="V185" s="70"/>
      <c r="W185" s="571"/>
      <c r="X185" s="69" t="s">
        <v>0</v>
      </c>
    </row>
    <row r="186" spans="1:24" ht="15" customHeight="1" thickBot="1" x14ac:dyDescent="0.3">
      <c r="A186" s="502" t="s">
        <v>143</v>
      </c>
      <c r="B186" s="503">
        <v>779</v>
      </c>
      <c r="C186" s="504">
        <v>740</v>
      </c>
      <c r="D186" s="504">
        <v>749.84</v>
      </c>
      <c r="E186" s="504">
        <v>737.57</v>
      </c>
      <c r="F186" s="505">
        <f t="shared" ref="F186:F192" si="108">SUM(C186:E186)/3</f>
        <v>742.47000000000014</v>
      </c>
      <c r="G186" s="506">
        <f t="shared" ref="G186:G192" si="109">F186*92</f>
        <v>68307.24000000002</v>
      </c>
      <c r="H186" s="504">
        <v>743</v>
      </c>
      <c r="I186" s="504">
        <v>733.03</v>
      </c>
      <c r="J186" s="504">
        <v>738</v>
      </c>
      <c r="K186" s="505">
        <f t="shared" ref="K186:K193" si="110">SUM(H186:J186)/3</f>
        <v>738.00999999999988</v>
      </c>
      <c r="L186" s="506">
        <f t="shared" ref="L186:L192" si="111">K186*92</f>
        <v>67896.919999999984</v>
      </c>
      <c r="M186" s="504">
        <v>727.32</v>
      </c>
      <c r="N186" s="507">
        <v>744.34</v>
      </c>
      <c r="O186" s="507">
        <v>748.45</v>
      </c>
      <c r="P186" s="505">
        <f t="shared" ref="P186:P193" si="112">SUM(M186:O186)/3</f>
        <v>740.03666666666675</v>
      </c>
      <c r="Q186" s="506">
        <f t="shared" ref="Q186:Q192" si="113">P186*91</f>
        <v>67343.33666666667</v>
      </c>
      <c r="R186" s="504">
        <v>744.97</v>
      </c>
      <c r="S186" s="507">
        <v>744.97</v>
      </c>
      <c r="T186" s="508">
        <v>740.87</v>
      </c>
      <c r="U186" s="505">
        <f t="shared" ref="U186:U193" si="114">SUM(R186:T186)/3</f>
        <v>743.60333333333335</v>
      </c>
      <c r="V186" s="509">
        <f t="shared" ref="V186:V192" si="115">U186*91</f>
        <v>67667.903333333335</v>
      </c>
      <c r="W186" s="510">
        <f t="shared" ref="W186:W191" si="116">SUM(C186+D186+E186+H186+I186+J186+M186+N186+O186+R186+S186+T186)/12</f>
        <v>741.03000000000009</v>
      </c>
      <c r="X186" s="511">
        <f t="shared" ref="X186:X191" si="117">W186*366</f>
        <v>271216.98000000004</v>
      </c>
    </row>
    <row r="187" spans="1:24" ht="15" customHeight="1" thickBot="1" x14ac:dyDescent="0.3">
      <c r="A187" s="50" t="s">
        <v>144</v>
      </c>
      <c r="B187" s="498">
        <v>35</v>
      </c>
      <c r="C187" s="5">
        <f>12.39+5.77</f>
        <v>18.16</v>
      </c>
      <c r="D187" s="5">
        <f>10.52+5</f>
        <v>15.52</v>
      </c>
      <c r="E187" s="5">
        <f>10+4.53</f>
        <v>14.530000000000001</v>
      </c>
      <c r="F187" s="63">
        <f t="shared" si="108"/>
        <v>16.07</v>
      </c>
      <c r="G187" s="108">
        <f t="shared" si="109"/>
        <v>1478.44</v>
      </c>
      <c r="H187" s="5">
        <f>9.55+4.23</f>
        <v>13.780000000000001</v>
      </c>
      <c r="I187" s="5">
        <f>9+5</f>
        <v>14</v>
      </c>
      <c r="J187" s="5">
        <f>9+4.16</f>
        <v>13.16</v>
      </c>
      <c r="K187" s="63">
        <f t="shared" si="110"/>
        <v>13.646666666666667</v>
      </c>
      <c r="L187" s="108">
        <f t="shared" si="111"/>
        <v>1255.4933333333333</v>
      </c>
      <c r="M187" s="5">
        <f>11.71+3</f>
        <v>14.71</v>
      </c>
      <c r="N187" s="75">
        <f>10.86+2.97</f>
        <v>13.83</v>
      </c>
      <c r="O187" s="75">
        <f>2+8.74</f>
        <v>10.74</v>
      </c>
      <c r="P187" s="63">
        <f t="shared" si="112"/>
        <v>13.093333333333334</v>
      </c>
      <c r="Q187" s="108">
        <f t="shared" si="113"/>
        <v>1191.4933333333333</v>
      </c>
      <c r="R187" s="5">
        <f>2.7+8.23</f>
        <v>10.93</v>
      </c>
      <c r="S187" s="75">
        <f>2.7+8.23</f>
        <v>10.93</v>
      </c>
      <c r="T187" s="76">
        <f>4+5.8</f>
        <v>9.8000000000000007</v>
      </c>
      <c r="U187" s="63">
        <f t="shared" si="114"/>
        <v>10.553333333333333</v>
      </c>
      <c r="V187" s="111">
        <f t="shared" si="115"/>
        <v>960.35333333333324</v>
      </c>
      <c r="W187" s="64">
        <f t="shared" si="116"/>
        <v>13.340833333333336</v>
      </c>
      <c r="X187" s="66">
        <f t="shared" si="117"/>
        <v>4882.7450000000008</v>
      </c>
    </row>
    <row r="188" spans="1:24" ht="15" customHeight="1" thickBot="1" x14ac:dyDescent="0.3">
      <c r="A188" s="50" t="s">
        <v>146</v>
      </c>
      <c r="B188" s="498">
        <v>26</v>
      </c>
      <c r="C188" s="5">
        <v>19</v>
      </c>
      <c r="D188" s="5">
        <v>17</v>
      </c>
      <c r="E188" s="5">
        <v>17</v>
      </c>
      <c r="F188" s="63">
        <f t="shared" si="108"/>
        <v>17.666666666666668</v>
      </c>
      <c r="G188" s="108">
        <f t="shared" si="109"/>
        <v>1625.3333333333335</v>
      </c>
      <c r="H188" s="5">
        <v>14</v>
      </c>
      <c r="I188" s="5">
        <v>13</v>
      </c>
      <c r="J188" s="5">
        <v>12</v>
      </c>
      <c r="K188" s="63">
        <f t="shared" si="110"/>
        <v>13</v>
      </c>
      <c r="L188" s="108">
        <f t="shared" si="111"/>
        <v>1196</v>
      </c>
      <c r="M188" s="5">
        <v>12</v>
      </c>
      <c r="N188" s="75">
        <v>13</v>
      </c>
      <c r="O188" s="75">
        <v>14</v>
      </c>
      <c r="P188" s="63">
        <f t="shared" si="112"/>
        <v>13</v>
      </c>
      <c r="Q188" s="108">
        <f t="shared" si="113"/>
        <v>1183</v>
      </c>
      <c r="R188" s="5">
        <v>15</v>
      </c>
      <c r="S188" s="75">
        <v>15</v>
      </c>
      <c r="T188" s="76">
        <v>17</v>
      </c>
      <c r="U188" s="63">
        <f t="shared" si="114"/>
        <v>15.666666666666666</v>
      </c>
      <c r="V188" s="111">
        <f t="shared" si="115"/>
        <v>1425.6666666666665</v>
      </c>
      <c r="W188" s="64">
        <f t="shared" si="116"/>
        <v>14.833333333333334</v>
      </c>
      <c r="X188" s="65">
        <f t="shared" si="117"/>
        <v>5429</v>
      </c>
    </row>
    <row r="189" spans="1:24" ht="15" customHeight="1" thickBot="1" x14ac:dyDescent="0.3">
      <c r="A189" s="50" t="s">
        <v>145</v>
      </c>
      <c r="B189" s="498" t="s">
        <v>460</v>
      </c>
      <c r="C189" s="5">
        <v>320</v>
      </c>
      <c r="D189" s="5">
        <v>347</v>
      </c>
      <c r="E189" s="5">
        <v>374</v>
      </c>
      <c r="F189" s="63">
        <f t="shared" si="108"/>
        <v>347</v>
      </c>
      <c r="G189" s="108">
        <f t="shared" si="109"/>
        <v>31924</v>
      </c>
      <c r="H189" s="5">
        <v>348</v>
      </c>
      <c r="I189" s="5">
        <v>349</v>
      </c>
      <c r="J189" s="5">
        <v>354</v>
      </c>
      <c r="K189" s="63">
        <f t="shared" si="110"/>
        <v>350.33333333333331</v>
      </c>
      <c r="L189" s="108">
        <f t="shared" si="111"/>
        <v>32230.666666666664</v>
      </c>
      <c r="M189" s="5">
        <v>370</v>
      </c>
      <c r="N189" s="75">
        <v>358</v>
      </c>
      <c r="O189" s="75">
        <v>352</v>
      </c>
      <c r="P189" s="63">
        <f t="shared" si="112"/>
        <v>360</v>
      </c>
      <c r="Q189" s="108">
        <f t="shared" si="113"/>
        <v>32760</v>
      </c>
      <c r="R189" s="5">
        <v>351</v>
      </c>
      <c r="S189" s="75">
        <v>351</v>
      </c>
      <c r="T189" s="76">
        <v>322</v>
      </c>
      <c r="U189" s="63">
        <f t="shared" si="114"/>
        <v>341.33333333333331</v>
      </c>
      <c r="V189" s="111">
        <f t="shared" si="115"/>
        <v>31061.333333333332</v>
      </c>
      <c r="W189" s="64">
        <f t="shared" si="116"/>
        <v>349.66666666666669</v>
      </c>
      <c r="X189" s="66">
        <f t="shared" si="117"/>
        <v>127978</v>
      </c>
    </row>
    <row r="190" spans="1:24" ht="15" customHeight="1" thickBot="1" x14ac:dyDescent="0.3">
      <c r="A190" s="50" t="s">
        <v>359</v>
      </c>
      <c r="B190" s="498">
        <v>1050</v>
      </c>
      <c r="C190" s="5">
        <v>1006</v>
      </c>
      <c r="D190" s="5">
        <v>1018</v>
      </c>
      <c r="E190" s="5">
        <v>1021</v>
      </c>
      <c r="F190" s="63">
        <f t="shared" si="108"/>
        <v>1015</v>
      </c>
      <c r="G190" s="108">
        <f t="shared" si="109"/>
        <v>93380</v>
      </c>
      <c r="H190" s="5">
        <v>1020</v>
      </c>
      <c r="I190" s="5">
        <v>1048</v>
      </c>
      <c r="J190" s="5">
        <v>1047</v>
      </c>
      <c r="K190" s="63">
        <f t="shared" si="110"/>
        <v>1038.3333333333333</v>
      </c>
      <c r="L190" s="108">
        <f t="shared" si="111"/>
        <v>95526.666666666657</v>
      </c>
      <c r="M190" s="5">
        <v>1047</v>
      </c>
      <c r="N190" s="75">
        <v>1048</v>
      </c>
      <c r="O190" s="75">
        <v>1047</v>
      </c>
      <c r="P190" s="63">
        <f t="shared" si="112"/>
        <v>1047.3333333333333</v>
      </c>
      <c r="Q190" s="108">
        <f t="shared" si="113"/>
        <v>95307.333333333328</v>
      </c>
      <c r="R190" s="5">
        <v>1044</v>
      </c>
      <c r="S190" s="75">
        <v>1044</v>
      </c>
      <c r="T190" s="76">
        <v>1028</v>
      </c>
      <c r="U190" s="63">
        <f t="shared" si="114"/>
        <v>1038.6666666666667</v>
      </c>
      <c r="V190" s="111">
        <f t="shared" si="115"/>
        <v>94518.666666666672</v>
      </c>
      <c r="W190" s="64">
        <f t="shared" si="116"/>
        <v>1034.8333333333333</v>
      </c>
      <c r="X190" s="65">
        <f t="shared" si="117"/>
        <v>378749</v>
      </c>
    </row>
    <row r="191" spans="1:24" ht="15" customHeight="1" thickBot="1" x14ac:dyDescent="0.3">
      <c r="A191" s="50" t="s">
        <v>148</v>
      </c>
      <c r="B191" s="498" t="s">
        <v>460</v>
      </c>
      <c r="C191" s="5">
        <v>16</v>
      </c>
      <c r="D191" s="5">
        <v>17</v>
      </c>
      <c r="E191" s="5">
        <v>17</v>
      </c>
      <c r="F191" s="63">
        <f t="shared" si="108"/>
        <v>16.666666666666668</v>
      </c>
      <c r="G191" s="108">
        <f t="shared" si="109"/>
        <v>1533.3333333333335</v>
      </c>
      <c r="H191" s="5">
        <v>17</v>
      </c>
      <c r="I191" s="5">
        <v>17</v>
      </c>
      <c r="J191" s="5">
        <v>17</v>
      </c>
      <c r="K191" s="63">
        <f t="shared" si="110"/>
        <v>17</v>
      </c>
      <c r="L191" s="108">
        <f t="shared" si="111"/>
        <v>1564</v>
      </c>
      <c r="M191" s="5">
        <v>17</v>
      </c>
      <c r="N191" s="75">
        <v>17</v>
      </c>
      <c r="O191" s="75">
        <v>17</v>
      </c>
      <c r="P191" s="63">
        <f t="shared" si="112"/>
        <v>17</v>
      </c>
      <c r="Q191" s="108">
        <f t="shared" si="113"/>
        <v>1547</v>
      </c>
      <c r="R191" s="5">
        <v>17</v>
      </c>
      <c r="S191" s="75">
        <v>17</v>
      </c>
      <c r="T191" s="76">
        <v>17</v>
      </c>
      <c r="U191" s="63">
        <f t="shared" si="114"/>
        <v>17</v>
      </c>
      <c r="V191" s="112">
        <f t="shared" si="115"/>
        <v>1547</v>
      </c>
      <c r="W191" s="64">
        <f t="shared" si="116"/>
        <v>16.916666666666668</v>
      </c>
      <c r="X191" s="66">
        <f t="shared" si="117"/>
        <v>6191.5</v>
      </c>
    </row>
    <row r="192" spans="1:24" ht="15" customHeight="1" thickBot="1" x14ac:dyDescent="0.3">
      <c r="A192" s="53" t="s">
        <v>152</v>
      </c>
      <c r="B192" s="37"/>
      <c r="C192" s="80">
        <f>SUM(C186:C191)</f>
        <v>2119.16</v>
      </c>
      <c r="D192" s="80">
        <f>SUM(D186:D191)</f>
        <v>2164.36</v>
      </c>
      <c r="E192" s="80">
        <f>SUM(E186:E191)</f>
        <v>2181.1</v>
      </c>
      <c r="F192" s="68">
        <f t="shared" si="108"/>
        <v>2154.8733333333334</v>
      </c>
      <c r="G192" s="108">
        <f t="shared" si="109"/>
        <v>198248.34666666668</v>
      </c>
      <c r="H192" s="94">
        <f>SUM(H186:H191)</f>
        <v>2155.7799999999997</v>
      </c>
      <c r="I192" s="80">
        <f>SUM(I186:I191)</f>
        <v>2174.0299999999997</v>
      </c>
      <c r="J192" s="80">
        <f>SUM(J186:J191)</f>
        <v>2181.16</v>
      </c>
      <c r="K192" s="68">
        <f t="shared" si="110"/>
        <v>2170.3233333333333</v>
      </c>
      <c r="L192" s="119">
        <f t="shared" si="111"/>
        <v>199669.74666666667</v>
      </c>
      <c r="M192" s="94">
        <f>SUM(M186:M191)</f>
        <v>2188.0300000000002</v>
      </c>
      <c r="N192" s="80">
        <f>SUM(N186:N191)</f>
        <v>2194.17</v>
      </c>
      <c r="O192" s="80">
        <f>SUM(O186:O191)</f>
        <v>2189.19</v>
      </c>
      <c r="P192" s="68">
        <f t="shared" si="112"/>
        <v>2190.4633333333336</v>
      </c>
      <c r="Q192" s="108">
        <f t="shared" si="113"/>
        <v>199332.16333333336</v>
      </c>
      <c r="R192" s="94">
        <f>SUM(R186:R191)</f>
        <v>2182.9</v>
      </c>
      <c r="S192" s="80">
        <f>SUM(S186:S191)</f>
        <v>2182.9</v>
      </c>
      <c r="T192" s="81">
        <f>SUM(T186:T191)</f>
        <v>2134.67</v>
      </c>
      <c r="U192" s="68">
        <f t="shared" si="114"/>
        <v>2166.8233333333333</v>
      </c>
      <c r="V192" s="120">
        <f t="shared" si="115"/>
        <v>197180.92333333334</v>
      </c>
      <c r="W192" s="69">
        <f>SUM(W186:W191)</f>
        <v>2170.6208333333329</v>
      </c>
      <c r="X192" s="69">
        <f>SUM(X186:X191)</f>
        <v>794447.22500000009</v>
      </c>
    </row>
    <row r="193" spans="1:24" ht="15" customHeight="1" thickBot="1" x14ac:dyDescent="0.3">
      <c r="A193" s="54" t="s">
        <v>156</v>
      </c>
      <c r="B193" s="38"/>
      <c r="C193" s="80">
        <f>C184+C192</f>
        <v>5988.35</v>
      </c>
      <c r="D193" s="80">
        <f>D184+D192</f>
        <v>6020.25</v>
      </c>
      <c r="E193" s="80">
        <f>E184+E192</f>
        <v>6066.9699999999993</v>
      </c>
      <c r="F193" s="80">
        <f>F184+F192</f>
        <v>6025.19</v>
      </c>
      <c r="G193" s="68">
        <f>SUM(G184+G192)</f>
        <v>554317.48</v>
      </c>
      <c r="H193" s="80">
        <f>H184+H192</f>
        <v>6087.24</v>
      </c>
      <c r="I193" s="80">
        <f>I184+I192</f>
        <v>6011.6</v>
      </c>
      <c r="J193" s="80">
        <f>J184+J192</f>
        <v>5905.6</v>
      </c>
      <c r="K193" s="120">
        <f t="shared" si="110"/>
        <v>6001.4800000000005</v>
      </c>
      <c r="L193" s="68">
        <f>SUM(L184+L192)</f>
        <v>552136.16</v>
      </c>
      <c r="M193" s="94">
        <f>M184+M192</f>
        <v>5960.2899999999991</v>
      </c>
      <c r="N193" s="80">
        <f>N184+N192</f>
        <v>6054.4500000000007</v>
      </c>
      <c r="O193" s="80">
        <f>O184+O192</f>
        <v>6079.2900000000009</v>
      </c>
      <c r="P193" s="99">
        <f t="shared" si="112"/>
        <v>6031.3433333333332</v>
      </c>
      <c r="Q193" s="68">
        <f>SUM(Q184+Q192)</f>
        <v>548852.24333333329</v>
      </c>
      <c r="R193" s="94">
        <f>R184+R192</f>
        <v>6069.24</v>
      </c>
      <c r="S193" s="80">
        <f>S184+S192</f>
        <v>6058.6100000000006</v>
      </c>
      <c r="T193" s="81">
        <f>T184+T192</f>
        <v>5979.27</v>
      </c>
      <c r="U193" s="99">
        <f t="shared" si="114"/>
        <v>6035.7066666666678</v>
      </c>
      <c r="V193" s="68">
        <f>SUM(V184+V192)</f>
        <v>549249.30666666664</v>
      </c>
      <c r="W193" s="80">
        <f>W184+W192</f>
        <v>6023.4299999999985</v>
      </c>
      <c r="X193" s="82">
        <f>X184+X192</f>
        <v>2204575.3800000004</v>
      </c>
    </row>
    <row r="195" spans="1:24" ht="16.5" thickBot="1" x14ac:dyDescent="0.25">
      <c r="A195" s="45" t="s">
        <v>155</v>
      </c>
      <c r="B195" s="10"/>
      <c r="C195" s="13"/>
      <c r="D195" s="13"/>
      <c r="E195" s="13"/>
      <c r="F195" s="13"/>
      <c r="G195" s="13"/>
      <c r="H195" s="13"/>
      <c r="I195" s="13"/>
      <c r="J195" s="13"/>
      <c r="K195" s="13"/>
      <c r="L195" s="13"/>
      <c r="M195" s="13"/>
      <c r="N195" s="13"/>
      <c r="O195" s="13"/>
      <c r="P195" s="13"/>
      <c r="Q195" s="13"/>
      <c r="R195" s="13"/>
      <c r="S195" s="13"/>
      <c r="T195" s="13"/>
      <c r="U195" s="13"/>
      <c r="V195" s="13"/>
      <c r="W195" s="13"/>
      <c r="X195" s="13"/>
    </row>
    <row r="196" spans="1:24" ht="16.5" thickBot="1" x14ac:dyDescent="0.3">
      <c r="A196" s="154" t="s">
        <v>358</v>
      </c>
      <c r="B196" s="1200" t="s">
        <v>153</v>
      </c>
      <c r="C196" s="1201"/>
      <c r="D196" s="1201"/>
      <c r="E196" s="1201"/>
      <c r="F196" s="1201"/>
      <c r="G196" s="1201"/>
      <c r="H196" s="1201"/>
      <c r="I196" s="1201"/>
      <c r="J196" s="1201"/>
      <c r="K196" s="1201"/>
      <c r="L196" s="1201"/>
      <c r="M196" s="1201"/>
      <c r="N196" s="1201"/>
      <c r="O196" s="1201"/>
      <c r="P196" s="1201"/>
      <c r="Q196" s="1201"/>
      <c r="R196" s="1201"/>
      <c r="S196" s="1201"/>
      <c r="T196" s="1201"/>
      <c r="U196" s="39"/>
      <c r="V196" s="39"/>
      <c r="W196" s="92"/>
      <c r="X196" s="13"/>
    </row>
    <row r="197" spans="1:24" ht="24" customHeight="1" x14ac:dyDescent="0.25">
      <c r="A197" s="56"/>
      <c r="B197" s="155" t="s">
        <v>261</v>
      </c>
      <c r="C197" s="57"/>
      <c r="D197" s="58"/>
      <c r="E197" s="58"/>
      <c r="F197" s="1192" t="s">
        <v>258</v>
      </c>
      <c r="G197" s="1184" t="s">
        <v>278</v>
      </c>
      <c r="H197" s="58"/>
      <c r="I197" s="58"/>
      <c r="J197" s="58"/>
      <c r="K197" s="1192" t="s">
        <v>258</v>
      </c>
      <c r="L197" s="1184" t="s">
        <v>278</v>
      </c>
      <c r="M197" s="58"/>
      <c r="N197" s="58"/>
      <c r="O197" s="58"/>
      <c r="P197" s="1192" t="s">
        <v>258</v>
      </c>
      <c r="Q197" s="1184" t="s">
        <v>278</v>
      </c>
      <c r="R197" s="58"/>
      <c r="S197" s="58"/>
      <c r="T197" s="59"/>
      <c r="U197" s="1192" t="s">
        <v>258</v>
      </c>
      <c r="V197" s="1184" t="s">
        <v>278</v>
      </c>
      <c r="W197" s="1196" t="s">
        <v>154</v>
      </c>
      <c r="X197" s="1198" t="s">
        <v>155</v>
      </c>
    </row>
    <row r="198" spans="1:24" ht="24" customHeight="1" thickBot="1" x14ac:dyDescent="0.3">
      <c r="A198" s="47" t="s">
        <v>56</v>
      </c>
      <c r="B198" s="156" t="s">
        <v>262</v>
      </c>
      <c r="C198" s="60">
        <v>40368</v>
      </c>
      <c r="D198" s="61">
        <v>40399</v>
      </c>
      <c r="E198" s="61">
        <v>40430</v>
      </c>
      <c r="F198" s="1193"/>
      <c r="G198" s="1185"/>
      <c r="H198" s="61">
        <v>40460</v>
      </c>
      <c r="I198" s="61">
        <v>40491</v>
      </c>
      <c r="J198" s="61">
        <v>40521</v>
      </c>
      <c r="K198" s="1193"/>
      <c r="L198" s="1185"/>
      <c r="M198" s="61">
        <v>40544</v>
      </c>
      <c r="N198" s="61">
        <v>40575</v>
      </c>
      <c r="O198" s="61">
        <v>40603</v>
      </c>
      <c r="P198" s="1193"/>
      <c r="Q198" s="1185"/>
      <c r="R198" s="61">
        <v>40634</v>
      </c>
      <c r="S198" s="61">
        <v>40664</v>
      </c>
      <c r="T198" s="62">
        <v>40695</v>
      </c>
      <c r="U198" s="1193"/>
      <c r="V198" s="1185"/>
      <c r="W198" s="1197"/>
      <c r="X198" s="1199"/>
    </row>
    <row r="199" spans="1:24" ht="20.25" customHeight="1" thickBot="1" x14ac:dyDescent="0.3">
      <c r="A199" s="48" t="s">
        <v>291</v>
      </c>
      <c r="B199" s="42" t="s">
        <v>296</v>
      </c>
      <c r="C199" s="125">
        <v>456.81</v>
      </c>
      <c r="D199" s="125">
        <v>460.71</v>
      </c>
      <c r="E199" s="117">
        <v>472.13</v>
      </c>
      <c r="F199" s="63">
        <f>SUM(C199:E199)/3</f>
        <v>463.2166666666667</v>
      </c>
      <c r="G199" s="108">
        <f t="shared" ref="G199:G212" si="118">F199*92</f>
        <v>42615.933333333334</v>
      </c>
      <c r="H199" s="117">
        <v>472.52</v>
      </c>
      <c r="I199" s="117">
        <v>457.53</v>
      </c>
      <c r="J199" s="117">
        <v>430.94</v>
      </c>
      <c r="K199" s="63">
        <f t="shared" ref="K199:K213" si="119">SUM(H199:J199)/3</f>
        <v>453.66333333333336</v>
      </c>
      <c r="L199" s="108">
        <f t="shared" ref="L199:L213" si="120">K199*92</f>
        <v>41737.026666666672</v>
      </c>
      <c r="M199" s="117">
        <v>474.13</v>
      </c>
      <c r="N199" s="85">
        <v>469.61</v>
      </c>
      <c r="O199" s="85">
        <v>461.19</v>
      </c>
      <c r="P199" s="63">
        <f t="shared" ref="P199:P213" si="121">SUM(M199:O199)/3</f>
        <v>468.31</v>
      </c>
      <c r="Q199" s="108">
        <f t="shared" ref="Q199:Q213" si="122">P199*90</f>
        <v>42147.9</v>
      </c>
      <c r="R199" s="117">
        <v>481.77</v>
      </c>
      <c r="S199" s="85">
        <v>475.9</v>
      </c>
      <c r="T199" s="135">
        <v>471.03</v>
      </c>
      <c r="U199" s="63">
        <f t="shared" ref="U199:U213" si="123">SUM(R199:T199)/3</f>
        <v>476.23333333333329</v>
      </c>
      <c r="V199" s="111">
        <f t="shared" ref="V199:V213" si="124">U199*91</f>
        <v>43337.23333333333</v>
      </c>
      <c r="W199" s="64">
        <f t="shared" ref="W199:W213" si="125">SUM(C199+D199+E199+H199+I199+J199+M199+N199+O199+R199+S199+T199)/12</f>
        <v>465.35583333333329</v>
      </c>
      <c r="X199" s="65">
        <f t="shared" ref="X199:X212" si="126">W199*365</f>
        <v>169854.87916666665</v>
      </c>
    </row>
    <row r="200" spans="1:24" ht="16.5" thickBot="1" x14ac:dyDescent="0.3">
      <c r="A200" s="49" t="s">
        <v>138</v>
      </c>
      <c r="B200" s="43" t="s">
        <v>264</v>
      </c>
      <c r="C200" s="126">
        <v>121.26</v>
      </c>
      <c r="D200" s="126">
        <v>123.06</v>
      </c>
      <c r="E200" s="118">
        <v>111.3</v>
      </c>
      <c r="F200" s="63">
        <f t="shared" ref="F200:F212" si="127">SUM(C200:E200)/3</f>
        <v>118.54</v>
      </c>
      <c r="G200" s="108">
        <f t="shared" si="118"/>
        <v>10905.68</v>
      </c>
      <c r="H200" s="118">
        <v>108.71</v>
      </c>
      <c r="I200" s="118">
        <v>98.8</v>
      </c>
      <c r="J200" s="118">
        <v>104.77</v>
      </c>
      <c r="K200" s="63">
        <f t="shared" si="119"/>
        <v>104.09333333333332</v>
      </c>
      <c r="L200" s="108">
        <f t="shared" si="120"/>
        <v>9576.5866666666661</v>
      </c>
      <c r="M200" s="118">
        <v>95.32</v>
      </c>
      <c r="N200" s="86">
        <v>95.96</v>
      </c>
      <c r="O200" s="86">
        <v>110.61</v>
      </c>
      <c r="P200" s="63">
        <f t="shared" si="121"/>
        <v>100.63</v>
      </c>
      <c r="Q200" s="108">
        <f t="shared" si="122"/>
        <v>9056.6999999999989</v>
      </c>
      <c r="R200" s="118">
        <v>117.17</v>
      </c>
      <c r="S200" s="86">
        <v>134.52000000000001</v>
      </c>
      <c r="T200" s="89">
        <v>139.1</v>
      </c>
      <c r="U200" s="63">
        <f t="shared" si="123"/>
        <v>130.26333333333332</v>
      </c>
      <c r="V200" s="111">
        <f t="shared" si="124"/>
        <v>11853.963333333333</v>
      </c>
      <c r="W200" s="64">
        <f t="shared" si="125"/>
        <v>113.38166666666666</v>
      </c>
      <c r="X200" s="65">
        <f t="shared" si="126"/>
        <v>41384.308333333334</v>
      </c>
    </row>
    <row r="201" spans="1:24" ht="16.5" thickBot="1" x14ac:dyDescent="0.3">
      <c r="A201" s="50" t="s">
        <v>292</v>
      </c>
      <c r="B201" s="44" t="s">
        <v>297</v>
      </c>
      <c r="C201" s="4">
        <v>430.81</v>
      </c>
      <c r="D201" s="4">
        <v>445.16</v>
      </c>
      <c r="E201" s="3">
        <v>460.7</v>
      </c>
      <c r="F201" s="63">
        <f t="shared" si="127"/>
        <v>445.55666666666667</v>
      </c>
      <c r="G201" s="108">
        <f t="shared" si="118"/>
        <v>40991.213333333333</v>
      </c>
      <c r="H201" s="3">
        <v>463.13</v>
      </c>
      <c r="I201" s="3">
        <v>449.93</v>
      </c>
      <c r="J201" s="3">
        <v>435.58</v>
      </c>
      <c r="K201" s="63">
        <f t="shared" si="119"/>
        <v>449.54666666666662</v>
      </c>
      <c r="L201" s="108">
        <f t="shared" si="120"/>
        <v>41358.293333333328</v>
      </c>
      <c r="M201" s="3">
        <v>444.48</v>
      </c>
      <c r="N201" s="87">
        <v>449.46</v>
      </c>
      <c r="O201" s="87">
        <v>443.68</v>
      </c>
      <c r="P201" s="63">
        <f t="shared" si="121"/>
        <v>445.87333333333339</v>
      </c>
      <c r="Q201" s="108">
        <f t="shared" si="122"/>
        <v>40128.600000000006</v>
      </c>
      <c r="R201" s="3">
        <v>453.8</v>
      </c>
      <c r="S201" s="87">
        <v>463.55</v>
      </c>
      <c r="T201" s="90">
        <v>455.1</v>
      </c>
      <c r="U201" s="63">
        <f t="shared" si="123"/>
        <v>457.48333333333335</v>
      </c>
      <c r="V201" s="111">
        <f t="shared" si="124"/>
        <v>41630.983333333337</v>
      </c>
      <c r="W201" s="64">
        <f t="shared" si="125"/>
        <v>449.61500000000001</v>
      </c>
      <c r="X201" s="65">
        <f t="shared" si="126"/>
        <v>164109.47500000001</v>
      </c>
    </row>
    <row r="202" spans="1:24" ht="16.5" thickBot="1" x14ac:dyDescent="0.3">
      <c r="A202" s="50" t="s">
        <v>337</v>
      </c>
      <c r="B202" s="44" t="s">
        <v>336</v>
      </c>
      <c r="C202" s="4">
        <v>298.39999999999998</v>
      </c>
      <c r="D202" s="4">
        <v>296.68</v>
      </c>
      <c r="E202" s="3">
        <v>299.67</v>
      </c>
      <c r="F202" s="63">
        <f t="shared" si="127"/>
        <v>298.25</v>
      </c>
      <c r="G202" s="108">
        <f t="shared" si="118"/>
        <v>27439</v>
      </c>
      <c r="H202" s="3">
        <v>300.42</v>
      </c>
      <c r="I202" s="3">
        <v>271.87</v>
      </c>
      <c r="J202" s="3">
        <v>253.19</v>
      </c>
      <c r="K202" s="63">
        <f t="shared" si="119"/>
        <v>275.16000000000003</v>
      </c>
      <c r="L202" s="108">
        <f t="shared" si="120"/>
        <v>25314.720000000001</v>
      </c>
      <c r="M202" s="3">
        <v>254.74</v>
      </c>
      <c r="N202" s="87">
        <v>262.54000000000002</v>
      </c>
      <c r="O202" s="87">
        <v>264.77</v>
      </c>
      <c r="P202" s="63">
        <f t="shared" si="121"/>
        <v>260.68333333333334</v>
      </c>
      <c r="Q202" s="108">
        <f t="shared" si="122"/>
        <v>23461.5</v>
      </c>
      <c r="R202" s="3">
        <v>263.37</v>
      </c>
      <c r="S202" s="87">
        <v>277.02999999999997</v>
      </c>
      <c r="T202" s="90">
        <v>282</v>
      </c>
      <c r="U202" s="63">
        <f t="shared" si="123"/>
        <v>274.13333333333333</v>
      </c>
      <c r="V202" s="111">
        <f t="shared" si="124"/>
        <v>24946.133333333331</v>
      </c>
      <c r="W202" s="64">
        <f t="shared" si="125"/>
        <v>277.05666666666667</v>
      </c>
      <c r="X202" s="65">
        <f t="shared" si="126"/>
        <v>101125.68333333333</v>
      </c>
    </row>
    <row r="203" spans="1:24" ht="16.5" thickBot="1" x14ac:dyDescent="0.3">
      <c r="A203" s="51" t="s">
        <v>275</v>
      </c>
      <c r="B203" s="44" t="s">
        <v>299</v>
      </c>
      <c r="C203" s="4">
        <v>370.19</v>
      </c>
      <c r="D203" s="4">
        <v>397.23</v>
      </c>
      <c r="E203" s="3">
        <v>411.8</v>
      </c>
      <c r="F203" s="63">
        <f t="shared" si="127"/>
        <v>393.07333333333332</v>
      </c>
      <c r="G203" s="108">
        <f t="shared" si="118"/>
        <v>36162.746666666666</v>
      </c>
      <c r="H203" s="3">
        <v>407.19</v>
      </c>
      <c r="I203" s="3">
        <v>404.07</v>
      </c>
      <c r="J203" s="3">
        <v>389.03</v>
      </c>
      <c r="K203" s="63">
        <f t="shared" si="119"/>
        <v>400.09666666666664</v>
      </c>
      <c r="L203" s="108">
        <f t="shared" si="120"/>
        <v>36808.893333333333</v>
      </c>
      <c r="M203" s="3">
        <v>406.52</v>
      </c>
      <c r="N203" s="87">
        <v>407.54</v>
      </c>
      <c r="O203" s="87">
        <v>404.39</v>
      </c>
      <c r="P203" s="63">
        <f t="shared" si="121"/>
        <v>406.14999999999992</v>
      </c>
      <c r="Q203" s="108">
        <f t="shared" si="122"/>
        <v>36553.499999999993</v>
      </c>
      <c r="R203" s="3">
        <v>397.57</v>
      </c>
      <c r="S203" s="87">
        <v>418.29</v>
      </c>
      <c r="T203" s="90">
        <v>417.03</v>
      </c>
      <c r="U203" s="63">
        <f t="shared" si="123"/>
        <v>410.96333333333331</v>
      </c>
      <c r="V203" s="111">
        <f t="shared" si="124"/>
        <v>37397.66333333333</v>
      </c>
      <c r="W203" s="64">
        <f t="shared" si="125"/>
        <v>402.57083333333338</v>
      </c>
      <c r="X203" s="65">
        <f t="shared" si="126"/>
        <v>146938.35416666669</v>
      </c>
    </row>
    <row r="204" spans="1:24" ht="16.5" thickBot="1" x14ac:dyDescent="0.3">
      <c r="A204" s="50" t="s">
        <v>16</v>
      </c>
      <c r="B204" s="44" t="s">
        <v>268</v>
      </c>
      <c r="C204" s="4">
        <v>45.39</v>
      </c>
      <c r="D204" s="4">
        <v>51.39</v>
      </c>
      <c r="E204" s="3">
        <v>60.27</v>
      </c>
      <c r="F204" s="63">
        <f t="shared" si="127"/>
        <v>52.35</v>
      </c>
      <c r="G204" s="108">
        <f t="shared" si="118"/>
        <v>4816.2</v>
      </c>
      <c r="H204" s="3">
        <v>65.349999999999994</v>
      </c>
      <c r="I204" s="3">
        <v>66.73</v>
      </c>
      <c r="J204" s="3">
        <v>67.680000000000007</v>
      </c>
      <c r="K204" s="63">
        <f t="shared" si="119"/>
        <v>66.586666666666659</v>
      </c>
      <c r="L204" s="108">
        <f t="shared" si="120"/>
        <v>6125.9733333333324</v>
      </c>
      <c r="M204" s="3">
        <v>66.900000000000006</v>
      </c>
      <c r="N204" s="87">
        <v>71.64</v>
      </c>
      <c r="O204" s="87">
        <v>65.680000000000007</v>
      </c>
      <c r="P204" s="63">
        <f t="shared" si="121"/>
        <v>68.073333333333338</v>
      </c>
      <c r="Q204" s="108">
        <f t="shared" si="122"/>
        <v>6126.6</v>
      </c>
      <c r="R204" s="3">
        <v>61.07</v>
      </c>
      <c r="S204" s="87">
        <v>64.23</v>
      </c>
      <c r="T204" s="90">
        <v>70.83</v>
      </c>
      <c r="U204" s="63">
        <f t="shared" si="123"/>
        <v>65.376666666666665</v>
      </c>
      <c r="V204" s="111">
        <f t="shared" si="124"/>
        <v>5949.2766666666666</v>
      </c>
      <c r="W204" s="64">
        <f t="shared" si="125"/>
        <v>63.096666666666671</v>
      </c>
      <c r="X204" s="65">
        <f t="shared" si="126"/>
        <v>23030.283333333336</v>
      </c>
    </row>
    <row r="205" spans="1:24" ht="16.5" thickBot="1" x14ac:dyDescent="0.3">
      <c r="A205" s="50" t="s">
        <v>17</v>
      </c>
      <c r="B205" s="44" t="s">
        <v>300</v>
      </c>
      <c r="C205" s="4">
        <v>214.06</v>
      </c>
      <c r="D205" s="4">
        <v>227.16</v>
      </c>
      <c r="E205" s="3">
        <v>227.57</v>
      </c>
      <c r="F205" s="63">
        <f t="shared" si="127"/>
        <v>222.92999999999998</v>
      </c>
      <c r="G205" s="108">
        <f t="shared" si="118"/>
        <v>20509.559999999998</v>
      </c>
      <c r="H205" s="3">
        <v>228.48</v>
      </c>
      <c r="I205" s="3">
        <v>234.2</v>
      </c>
      <c r="J205" s="3">
        <v>219.03</v>
      </c>
      <c r="K205" s="63">
        <f t="shared" si="119"/>
        <v>227.23666666666665</v>
      </c>
      <c r="L205" s="108">
        <f t="shared" si="120"/>
        <v>20905.773333333331</v>
      </c>
      <c r="M205" s="3">
        <v>224.97</v>
      </c>
      <c r="N205" s="87">
        <v>225.39</v>
      </c>
      <c r="O205" s="87">
        <v>231.81</v>
      </c>
      <c r="P205" s="63">
        <f t="shared" si="121"/>
        <v>227.39000000000001</v>
      </c>
      <c r="Q205" s="108">
        <f t="shared" si="122"/>
        <v>20465.100000000002</v>
      </c>
      <c r="R205" s="3">
        <v>241.9</v>
      </c>
      <c r="S205" s="87">
        <v>244.45</v>
      </c>
      <c r="T205" s="90">
        <v>238.73</v>
      </c>
      <c r="U205" s="63">
        <f t="shared" si="123"/>
        <v>241.69333333333336</v>
      </c>
      <c r="V205" s="111">
        <f t="shared" si="124"/>
        <v>21994.093333333334</v>
      </c>
      <c r="W205" s="64">
        <f t="shared" si="125"/>
        <v>229.8125</v>
      </c>
      <c r="X205" s="65">
        <f t="shared" si="126"/>
        <v>83881.5625</v>
      </c>
    </row>
    <row r="206" spans="1:24" ht="16.5" thickBot="1" x14ac:dyDescent="0.3">
      <c r="A206" s="50" t="s">
        <v>140</v>
      </c>
      <c r="B206" s="44" t="s">
        <v>301</v>
      </c>
      <c r="C206" s="4">
        <v>103.13</v>
      </c>
      <c r="D206" s="4">
        <v>103.29</v>
      </c>
      <c r="E206" s="3">
        <v>102.7</v>
      </c>
      <c r="F206" s="63">
        <f t="shared" si="127"/>
        <v>103.04</v>
      </c>
      <c r="G206" s="108">
        <f t="shared" si="118"/>
        <v>9479.68</v>
      </c>
      <c r="H206" s="3">
        <v>111</v>
      </c>
      <c r="I206" s="3">
        <v>110.5</v>
      </c>
      <c r="J206" s="3">
        <v>104.87</v>
      </c>
      <c r="K206" s="63">
        <f t="shared" si="119"/>
        <v>108.79</v>
      </c>
      <c r="L206" s="108">
        <f t="shared" si="120"/>
        <v>10008.68</v>
      </c>
      <c r="M206" s="3">
        <v>100.39</v>
      </c>
      <c r="N206" s="87">
        <v>102.61</v>
      </c>
      <c r="O206" s="87">
        <v>103.94</v>
      </c>
      <c r="P206" s="63">
        <f t="shared" si="121"/>
        <v>102.31333333333333</v>
      </c>
      <c r="Q206" s="108">
        <f t="shared" si="122"/>
        <v>9208.2000000000007</v>
      </c>
      <c r="R206" s="3">
        <v>92.83</v>
      </c>
      <c r="S206" s="87">
        <v>99.65</v>
      </c>
      <c r="T206" s="90">
        <v>97</v>
      </c>
      <c r="U206" s="63">
        <f t="shared" si="123"/>
        <v>96.493333333333339</v>
      </c>
      <c r="V206" s="111">
        <f t="shared" si="124"/>
        <v>8780.8933333333334</v>
      </c>
      <c r="W206" s="64">
        <f t="shared" si="125"/>
        <v>102.65916666666668</v>
      </c>
      <c r="X206" s="65">
        <f t="shared" si="126"/>
        <v>37470.59583333334</v>
      </c>
    </row>
    <row r="207" spans="1:24" ht="16.5" thickBot="1" x14ac:dyDescent="0.3">
      <c r="A207" s="51" t="s">
        <v>276</v>
      </c>
      <c r="B207" s="44" t="s">
        <v>308</v>
      </c>
      <c r="C207" s="4">
        <f>321.48+175.26</f>
        <v>496.74</v>
      </c>
      <c r="D207" s="4">
        <f>330.52+175.65</f>
        <v>506.16999999999996</v>
      </c>
      <c r="E207" s="3">
        <f>329.63+175.83</f>
        <v>505.46000000000004</v>
      </c>
      <c r="F207" s="63">
        <f t="shared" si="127"/>
        <v>502.78999999999996</v>
      </c>
      <c r="G207" s="108">
        <f t="shared" si="118"/>
        <v>46256.679999999993</v>
      </c>
      <c r="H207" s="3">
        <f>333.71+175.65</f>
        <v>509.36</v>
      </c>
      <c r="I207" s="3">
        <f>175.67+330.63</f>
        <v>506.29999999999995</v>
      </c>
      <c r="J207" s="3">
        <f>324.52+172.35</f>
        <v>496.87</v>
      </c>
      <c r="K207" s="63">
        <f t="shared" si="119"/>
        <v>504.17666666666668</v>
      </c>
      <c r="L207" s="108">
        <f t="shared" si="120"/>
        <v>46384.253333333334</v>
      </c>
      <c r="M207" s="3">
        <f>323.65+165</f>
        <v>488.65</v>
      </c>
      <c r="N207" s="87">
        <f>331.36+175.89</f>
        <v>507.25</v>
      </c>
      <c r="O207" s="87">
        <f>333.29+176</f>
        <v>509.29</v>
      </c>
      <c r="P207" s="63">
        <f t="shared" si="121"/>
        <v>501.73</v>
      </c>
      <c r="Q207" s="108">
        <f t="shared" si="122"/>
        <v>45155.700000000004</v>
      </c>
      <c r="R207" s="3">
        <f>326.73+175.73</f>
        <v>502.46000000000004</v>
      </c>
      <c r="S207" s="87">
        <f>327.39+175.81</f>
        <v>503.2</v>
      </c>
      <c r="T207" s="90">
        <f>326.5+175.5</f>
        <v>502</v>
      </c>
      <c r="U207" s="63">
        <f t="shared" si="123"/>
        <v>502.55333333333334</v>
      </c>
      <c r="V207" s="111">
        <f t="shared" si="124"/>
        <v>45732.353333333333</v>
      </c>
      <c r="W207" s="64">
        <f t="shared" si="125"/>
        <v>502.8125</v>
      </c>
      <c r="X207" s="65">
        <f t="shared" si="126"/>
        <v>183526.5625</v>
      </c>
    </row>
    <row r="208" spans="1:24" ht="16.5" thickBot="1" x14ac:dyDescent="0.3">
      <c r="A208" s="50" t="s">
        <v>149</v>
      </c>
      <c r="B208" s="121" t="s">
        <v>302</v>
      </c>
      <c r="C208" s="4">
        <v>120.23</v>
      </c>
      <c r="D208" s="4">
        <v>121.1</v>
      </c>
      <c r="E208" s="3">
        <v>120.8</v>
      </c>
      <c r="F208" s="63">
        <f t="shared" si="127"/>
        <v>120.71</v>
      </c>
      <c r="G208" s="108">
        <f t="shared" si="118"/>
        <v>11105.32</v>
      </c>
      <c r="H208" s="3">
        <v>120</v>
      </c>
      <c r="I208" s="3">
        <v>121.8</v>
      </c>
      <c r="J208" s="3">
        <v>118.19</v>
      </c>
      <c r="K208" s="63">
        <f t="shared" si="119"/>
        <v>119.99666666666667</v>
      </c>
      <c r="L208" s="108">
        <f t="shared" si="120"/>
        <v>11039.693333333333</v>
      </c>
      <c r="M208" s="3">
        <v>117.35</v>
      </c>
      <c r="N208" s="87">
        <v>123.29</v>
      </c>
      <c r="O208" s="87">
        <v>121.55</v>
      </c>
      <c r="P208" s="63">
        <f t="shared" si="121"/>
        <v>120.73</v>
      </c>
      <c r="Q208" s="108">
        <f t="shared" si="122"/>
        <v>10865.7</v>
      </c>
      <c r="R208" s="3">
        <v>112.27</v>
      </c>
      <c r="S208" s="87">
        <v>123.39</v>
      </c>
      <c r="T208" s="90">
        <v>118.8</v>
      </c>
      <c r="U208" s="63">
        <f t="shared" si="123"/>
        <v>118.15333333333332</v>
      </c>
      <c r="V208" s="111">
        <f t="shared" si="124"/>
        <v>10751.953333333333</v>
      </c>
      <c r="W208" s="64">
        <f t="shared" si="125"/>
        <v>119.89749999999999</v>
      </c>
      <c r="X208" s="65">
        <f t="shared" si="126"/>
        <v>43762.587499999994</v>
      </c>
    </row>
    <row r="209" spans="1:24" ht="16.5" thickBot="1" x14ac:dyDescent="0.3">
      <c r="A209" s="49" t="s">
        <v>20</v>
      </c>
      <c r="B209" s="43" t="s">
        <v>303</v>
      </c>
      <c r="C209" s="126">
        <v>545.94000000000005</v>
      </c>
      <c r="D209" s="126">
        <v>550.97</v>
      </c>
      <c r="E209" s="118">
        <v>552.73</v>
      </c>
      <c r="F209" s="63">
        <f t="shared" si="127"/>
        <v>549.88</v>
      </c>
      <c r="G209" s="108">
        <f t="shared" si="118"/>
        <v>50588.959999999999</v>
      </c>
      <c r="H209" s="118">
        <v>550.97</v>
      </c>
      <c r="I209" s="3">
        <v>535.87</v>
      </c>
      <c r="J209" s="118">
        <v>553.71</v>
      </c>
      <c r="K209" s="63">
        <f t="shared" si="119"/>
        <v>546.85</v>
      </c>
      <c r="L209" s="111">
        <f t="shared" si="120"/>
        <v>50310.200000000004</v>
      </c>
      <c r="M209" s="3">
        <v>548.1</v>
      </c>
      <c r="N209" s="86">
        <v>552.16999999999996</v>
      </c>
      <c r="O209" s="86">
        <v>549.74</v>
      </c>
      <c r="P209" s="63">
        <f t="shared" si="121"/>
        <v>550.00333333333333</v>
      </c>
      <c r="Q209" s="108">
        <f t="shared" si="122"/>
        <v>49500.3</v>
      </c>
      <c r="R209" s="3">
        <v>545.47</v>
      </c>
      <c r="S209" s="86">
        <v>554</v>
      </c>
      <c r="T209" s="89">
        <v>552.77</v>
      </c>
      <c r="U209" s="63">
        <f t="shared" si="123"/>
        <v>550.74666666666667</v>
      </c>
      <c r="V209" s="111">
        <f t="shared" si="124"/>
        <v>50117.94666666667</v>
      </c>
      <c r="W209" s="64">
        <f t="shared" si="125"/>
        <v>549.37</v>
      </c>
      <c r="X209" s="65">
        <f t="shared" si="126"/>
        <v>200520.05</v>
      </c>
    </row>
    <row r="210" spans="1:24" ht="16.5" thickBot="1" x14ac:dyDescent="0.3">
      <c r="A210" s="51" t="s">
        <v>277</v>
      </c>
      <c r="B210" s="44" t="s">
        <v>304</v>
      </c>
      <c r="C210" s="4">
        <f>273.23+118.23</f>
        <v>391.46000000000004</v>
      </c>
      <c r="D210" s="4">
        <f>294.13+120.81</f>
        <v>414.94</v>
      </c>
      <c r="E210" s="3">
        <f>294.83+109.6</f>
        <v>404.42999999999995</v>
      </c>
      <c r="F210" s="63">
        <f t="shared" si="127"/>
        <v>403.60999999999996</v>
      </c>
      <c r="G210" s="108">
        <f t="shared" si="118"/>
        <v>37132.119999999995</v>
      </c>
      <c r="H210" s="3">
        <f>298.94+133.06</f>
        <v>432</v>
      </c>
      <c r="I210" s="3">
        <f>274.87+126.83</f>
        <v>401.7</v>
      </c>
      <c r="J210" s="3">
        <f>289.19+110.58</f>
        <v>399.77</v>
      </c>
      <c r="K210" s="63">
        <f t="shared" si="119"/>
        <v>411.15666666666669</v>
      </c>
      <c r="L210" s="108">
        <f t="shared" si="120"/>
        <v>37826.413333333338</v>
      </c>
      <c r="M210" s="3">
        <f>301.97+98.97</f>
        <v>400.94000000000005</v>
      </c>
      <c r="N210" s="87">
        <f>293.43+102.14</f>
        <v>395.57</v>
      </c>
      <c r="O210" s="87">
        <f>283.45+99.61</f>
        <v>383.06</v>
      </c>
      <c r="P210" s="63">
        <f t="shared" si="121"/>
        <v>393.19</v>
      </c>
      <c r="Q210" s="108">
        <f t="shared" si="122"/>
        <v>35387.1</v>
      </c>
      <c r="R210" s="3">
        <f>295.33+104.7</f>
        <v>400.03</v>
      </c>
      <c r="S210" s="87">
        <f>300.23+102.35</f>
        <v>402.58000000000004</v>
      </c>
      <c r="T210" s="90">
        <f>285.8+107.77</f>
        <v>393.57</v>
      </c>
      <c r="U210" s="63">
        <f t="shared" si="123"/>
        <v>398.72666666666669</v>
      </c>
      <c r="V210" s="111">
        <f t="shared" si="124"/>
        <v>36284.126666666671</v>
      </c>
      <c r="W210" s="64">
        <f t="shared" si="125"/>
        <v>401.67083333333335</v>
      </c>
      <c r="X210" s="65">
        <f t="shared" si="126"/>
        <v>146609.85416666669</v>
      </c>
    </row>
    <row r="211" spans="1:24" ht="16.5" thickBot="1" x14ac:dyDescent="0.3">
      <c r="A211" s="50" t="s">
        <v>141</v>
      </c>
      <c r="B211" s="44" t="s">
        <v>305</v>
      </c>
      <c r="C211" s="4">
        <v>145.32</v>
      </c>
      <c r="D211" s="4">
        <v>146.32</v>
      </c>
      <c r="E211" s="3">
        <v>160.47</v>
      </c>
      <c r="F211" s="63">
        <f t="shared" si="127"/>
        <v>150.70333333333335</v>
      </c>
      <c r="G211" s="108">
        <f t="shared" si="118"/>
        <v>13864.706666666669</v>
      </c>
      <c r="H211" s="3">
        <v>166.55</v>
      </c>
      <c r="I211" s="3">
        <v>162.93</v>
      </c>
      <c r="J211" s="3">
        <v>151.03</v>
      </c>
      <c r="K211" s="63">
        <f t="shared" si="119"/>
        <v>160.16999999999999</v>
      </c>
      <c r="L211" s="108">
        <f t="shared" si="120"/>
        <v>14735.64</v>
      </c>
      <c r="M211" s="3">
        <v>153.13</v>
      </c>
      <c r="N211" s="87">
        <v>150.71</v>
      </c>
      <c r="O211" s="87">
        <v>160</v>
      </c>
      <c r="P211" s="63">
        <f t="shared" si="121"/>
        <v>154.61333333333334</v>
      </c>
      <c r="Q211" s="108">
        <f t="shared" si="122"/>
        <v>13915.2</v>
      </c>
      <c r="R211" s="3">
        <v>164.5</v>
      </c>
      <c r="S211" s="87">
        <v>160.94</v>
      </c>
      <c r="T211" s="90">
        <v>165.27</v>
      </c>
      <c r="U211" s="63">
        <f t="shared" si="123"/>
        <v>163.57000000000002</v>
      </c>
      <c r="V211" s="111">
        <f t="shared" si="124"/>
        <v>14884.870000000003</v>
      </c>
      <c r="W211" s="64">
        <f t="shared" si="125"/>
        <v>157.26416666666668</v>
      </c>
      <c r="X211" s="65">
        <f t="shared" si="126"/>
        <v>57401.420833333337</v>
      </c>
    </row>
    <row r="212" spans="1:24" ht="16.5" thickBot="1" x14ac:dyDescent="0.3">
      <c r="A212" s="50" t="s">
        <v>142</v>
      </c>
      <c r="B212" s="34"/>
      <c r="C212" s="4">
        <v>0</v>
      </c>
      <c r="D212" s="4">
        <v>0</v>
      </c>
      <c r="E212" s="18"/>
      <c r="F212" s="67">
        <f t="shared" si="127"/>
        <v>0</v>
      </c>
      <c r="G212" s="108">
        <f t="shared" si="118"/>
        <v>0</v>
      </c>
      <c r="H212" s="18"/>
      <c r="I212" s="18"/>
      <c r="J212" s="18"/>
      <c r="K212" s="67">
        <f t="shared" si="119"/>
        <v>0</v>
      </c>
      <c r="L212" s="108">
        <f t="shared" si="120"/>
        <v>0</v>
      </c>
      <c r="M212" s="18"/>
      <c r="N212" s="4"/>
      <c r="O212" s="87"/>
      <c r="P212" s="67">
        <f t="shared" si="121"/>
        <v>0</v>
      </c>
      <c r="Q212" s="108">
        <f t="shared" si="122"/>
        <v>0</v>
      </c>
      <c r="R212" s="3"/>
      <c r="S212" s="3"/>
      <c r="T212" s="4"/>
      <c r="U212" s="67">
        <f t="shared" si="123"/>
        <v>0</v>
      </c>
      <c r="V212" s="112">
        <f t="shared" si="124"/>
        <v>0</v>
      </c>
      <c r="W212" s="137">
        <f t="shared" si="125"/>
        <v>0</v>
      </c>
      <c r="X212" s="65">
        <f t="shared" si="126"/>
        <v>0</v>
      </c>
    </row>
    <row r="213" spans="1:24" ht="16.5" thickBot="1" x14ac:dyDescent="0.3">
      <c r="A213" s="46" t="s">
        <v>150</v>
      </c>
      <c r="B213" s="35"/>
      <c r="C213" s="80">
        <f>SUM(C199:C212)</f>
        <v>3739.7400000000002</v>
      </c>
      <c r="D213" s="80">
        <f>SUM(D199:D212)</f>
        <v>3844.1800000000003</v>
      </c>
      <c r="E213" s="80">
        <f>SUM(E199:E212)</f>
        <v>3890.0299999999997</v>
      </c>
      <c r="F213" s="68">
        <f>SUM(C213:E213)/3</f>
        <v>3824.65</v>
      </c>
      <c r="G213" s="108">
        <f>F213*92</f>
        <v>351867.8</v>
      </c>
      <c r="H213" s="94">
        <f>SUM(H199:H212)</f>
        <v>3935.6800000000003</v>
      </c>
      <c r="I213" s="80">
        <f>SUM(I199:I212)</f>
        <v>3822.23</v>
      </c>
      <c r="J213" s="80">
        <f>SUM(J199:J212)</f>
        <v>3724.6600000000003</v>
      </c>
      <c r="K213" s="68">
        <f t="shared" si="119"/>
        <v>3827.5233333333331</v>
      </c>
      <c r="L213" s="119">
        <f t="shared" si="120"/>
        <v>352132.14666666667</v>
      </c>
      <c r="M213" s="9">
        <f>SUM(M199:M212)</f>
        <v>3775.6200000000003</v>
      </c>
      <c r="N213" s="80">
        <f>SUM(N199:N212)</f>
        <v>3813.7400000000002</v>
      </c>
      <c r="O213" s="80">
        <f>SUM(O199:O212)</f>
        <v>3809.7099999999996</v>
      </c>
      <c r="P213" s="68">
        <f t="shared" si="121"/>
        <v>3799.69</v>
      </c>
      <c r="Q213" s="119">
        <f t="shared" si="122"/>
        <v>341972.1</v>
      </c>
      <c r="R213" s="94">
        <f>SUM(R199:R212)</f>
        <v>3834.21</v>
      </c>
      <c r="S213" s="80">
        <f>SUM(S199:S212)</f>
        <v>3921.7299999999996</v>
      </c>
      <c r="T213" s="81">
        <f>SUM(T199:T212)</f>
        <v>3903.23</v>
      </c>
      <c r="U213" s="68">
        <f t="shared" si="123"/>
        <v>3886.39</v>
      </c>
      <c r="V213" s="120">
        <f t="shared" si="124"/>
        <v>353661.49</v>
      </c>
      <c r="W213" s="138">
        <f t="shared" si="125"/>
        <v>3834.5633333333335</v>
      </c>
      <c r="X213" s="69">
        <f>SUM(X199:X212)</f>
        <v>1399615.6166666667</v>
      </c>
    </row>
    <row r="214" spans="1:24" ht="16.5" thickBot="1" x14ac:dyDescent="0.3">
      <c r="A214" s="46" t="s">
        <v>151</v>
      </c>
      <c r="B214" s="35"/>
      <c r="C214" s="70"/>
      <c r="D214" s="70"/>
      <c r="E214" s="71"/>
      <c r="F214" s="98"/>
      <c r="G214" s="98"/>
      <c r="H214" s="72"/>
      <c r="I214" s="70" t="s">
        <v>251</v>
      </c>
      <c r="J214" s="71"/>
      <c r="K214" s="97"/>
      <c r="L214" s="97"/>
      <c r="M214" s="72"/>
      <c r="N214" s="70"/>
      <c r="O214" s="71"/>
      <c r="P214" s="97"/>
      <c r="Q214" s="97"/>
      <c r="R214" s="72"/>
      <c r="S214" s="70"/>
      <c r="T214" s="71"/>
      <c r="U214" s="71"/>
      <c r="V214" s="70"/>
      <c r="W214" s="96"/>
      <c r="X214" s="69" t="s">
        <v>0</v>
      </c>
    </row>
    <row r="215" spans="1:24" ht="16.5" customHeight="1" thickBot="1" x14ac:dyDescent="0.3">
      <c r="A215" s="163" t="s">
        <v>143</v>
      </c>
      <c r="B215" s="164"/>
      <c r="C215" s="165">
        <v>734.97</v>
      </c>
      <c r="D215" s="165">
        <v>733.74</v>
      </c>
      <c r="E215" s="165">
        <v>732.27</v>
      </c>
      <c r="F215" s="166">
        <f t="shared" ref="F215:F221" si="128">SUM(C215:E215)/3</f>
        <v>733.66</v>
      </c>
      <c r="G215" s="167">
        <f t="shared" ref="G215:G221" si="129">F215*92</f>
        <v>67496.72</v>
      </c>
      <c r="H215" s="165">
        <v>737.87</v>
      </c>
      <c r="I215" s="165">
        <v>714</v>
      </c>
      <c r="J215" s="165">
        <v>713.77</v>
      </c>
      <c r="K215" s="166">
        <f t="shared" ref="K215:K222" si="130">SUM(H215:J215)/3</f>
        <v>721.88</v>
      </c>
      <c r="L215" s="167">
        <f t="shared" ref="L215:L221" si="131">K215*92</f>
        <v>66412.960000000006</v>
      </c>
      <c r="M215" s="165">
        <v>723.81</v>
      </c>
      <c r="N215" s="168">
        <v>730.89</v>
      </c>
      <c r="O215" s="168">
        <v>737.55</v>
      </c>
      <c r="P215" s="166">
        <f t="shared" ref="P215:P222" si="132">SUM(M215:O215)/3</f>
        <v>730.75</v>
      </c>
      <c r="Q215" s="167">
        <f t="shared" ref="Q215:Q221" si="133">P215*90</f>
        <v>65767.5</v>
      </c>
      <c r="R215" s="165">
        <v>751</v>
      </c>
      <c r="S215" s="168">
        <v>719.4</v>
      </c>
      <c r="T215" s="169">
        <v>754</v>
      </c>
      <c r="U215" s="166">
        <f t="shared" ref="U215:U222" si="134">SUM(R215:T215)/3</f>
        <v>741.4666666666667</v>
      </c>
      <c r="V215" s="170">
        <f t="shared" ref="V215:V221" si="135">U215*91</f>
        <v>67473.466666666674</v>
      </c>
      <c r="W215" s="171">
        <f t="shared" ref="W215:W220" si="136">SUM(C215+D215+E215+H215+I215+J215+M215+N215+O215+R215+S215+T215)/12</f>
        <v>731.93916666666667</v>
      </c>
      <c r="X215" s="172">
        <f t="shared" ref="X215:X220" si="137">W215*365</f>
        <v>267157.79583333334</v>
      </c>
    </row>
    <row r="216" spans="1:24" ht="16.5" thickBot="1" x14ac:dyDescent="0.3">
      <c r="A216" s="50" t="s">
        <v>144</v>
      </c>
      <c r="B216" s="34"/>
      <c r="C216" s="5">
        <v>10.71</v>
      </c>
      <c r="D216" s="5">
        <v>9.8699999999999992</v>
      </c>
      <c r="E216" s="5">
        <v>9.1</v>
      </c>
      <c r="F216" s="63">
        <f t="shared" si="128"/>
        <v>9.8933333333333326</v>
      </c>
      <c r="G216" s="108">
        <f t="shared" si="129"/>
        <v>910.18666666666661</v>
      </c>
      <c r="H216" s="5">
        <v>13.35</v>
      </c>
      <c r="I216" s="5">
        <v>11.73</v>
      </c>
      <c r="J216" s="5">
        <v>10.94</v>
      </c>
      <c r="K216" s="63">
        <f t="shared" si="130"/>
        <v>12.006666666666666</v>
      </c>
      <c r="L216" s="108">
        <f t="shared" si="131"/>
        <v>1104.6133333333332</v>
      </c>
      <c r="M216" s="5">
        <v>10.52</v>
      </c>
      <c r="N216" s="75">
        <v>9.18</v>
      </c>
      <c r="O216" s="75">
        <v>11.23</v>
      </c>
      <c r="P216" s="63">
        <f t="shared" si="132"/>
        <v>10.31</v>
      </c>
      <c r="Q216" s="108">
        <f t="shared" si="133"/>
        <v>927.90000000000009</v>
      </c>
      <c r="R216" s="5">
        <v>12</v>
      </c>
      <c r="S216" s="75">
        <v>12</v>
      </c>
      <c r="T216" s="76">
        <v>5</v>
      </c>
      <c r="U216" s="63">
        <f t="shared" si="134"/>
        <v>9.6666666666666661</v>
      </c>
      <c r="V216" s="111">
        <f t="shared" si="135"/>
        <v>879.66666666666663</v>
      </c>
      <c r="W216" s="64">
        <f t="shared" si="136"/>
        <v>10.469166666666668</v>
      </c>
      <c r="X216" s="66">
        <f t="shared" si="137"/>
        <v>3821.2458333333338</v>
      </c>
    </row>
    <row r="217" spans="1:24" ht="16.5" thickBot="1" x14ac:dyDescent="0.3">
      <c r="A217" s="50" t="s">
        <v>146</v>
      </c>
      <c r="B217" s="34"/>
      <c r="C217" s="5">
        <v>30</v>
      </c>
      <c r="D217" s="5">
        <v>29</v>
      </c>
      <c r="E217" s="5">
        <v>30</v>
      </c>
      <c r="F217" s="63">
        <f t="shared" si="128"/>
        <v>29.666666666666668</v>
      </c>
      <c r="G217" s="108">
        <f t="shared" si="129"/>
        <v>2729.3333333333335</v>
      </c>
      <c r="H217" s="5">
        <v>33</v>
      </c>
      <c r="I217" s="5">
        <v>35</v>
      </c>
      <c r="J217" s="5">
        <v>34</v>
      </c>
      <c r="K217" s="63">
        <f t="shared" si="130"/>
        <v>34</v>
      </c>
      <c r="L217" s="108">
        <f t="shared" si="131"/>
        <v>3128</v>
      </c>
      <c r="M217" s="5">
        <v>29</v>
      </c>
      <c r="N217" s="75">
        <v>26</v>
      </c>
      <c r="O217" s="75">
        <v>22</v>
      </c>
      <c r="P217" s="63">
        <f t="shared" si="132"/>
        <v>25.666666666666668</v>
      </c>
      <c r="Q217" s="108">
        <f t="shared" si="133"/>
        <v>2310</v>
      </c>
      <c r="R217" s="5">
        <v>20</v>
      </c>
      <c r="S217" s="75">
        <v>21</v>
      </c>
      <c r="T217" s="76">
        <v>20</v>
      </c>
      <c r="U217" s="63">
        <f t="shared" si="134"/>
        <v>20.333333333333332</v>
      </c>
      <c r="V217" s="111">
        <f t="shared" si="135"/>
        <v>1850.3333333333333</v>
      </c>
      <c r="W217" s="64">
        <f t="shared" si="136"/>
        <v>27.416666666666668</v>
      </c>
      <c r="X217" s="65">
        <f t="shared" si="137"/>
        <v>10007.083333333334</v>
      </c>
    </row>
    <row r="218" spans="1:24" ht="16.5" thickBot="1" x14ac:dyDescent="0.3">
      <c r="A218" s="50" t="s">
        <v>145</v>
      </c>
      <c r="B218" s="34"/>
      <c r="C218" s="5">
        <v>266</v>
      </c>
      <c r="D218" s="5">
        <v>271</v>
      </c>
      <c r="E218" s="5">
        <v>270</v>
      </c>
      <c r="F218" s="63">
        <f t="shared" si="128"/>
        <v>269</v>
      </c>
      <c r="G218" s="108">
        <f t="shared" si="129"/>
        <v>24748</v>
      </c>
      <c r="H218" s="5">
        <v>282</v>
      </c>
      <c r="I218" s="5">
        <v>295</v>
      </c>
      <c r="J218" s="5">
        <v>282</v>
      </c>
      <c r="K218" s="63">
        <f t="shared" si="130"/>
        <v>286.33333333333331</v>
      </c>
      <c r="L218" s="108">
        <f t="shared" si="131"/>
        <v>26342.666666666664</v>
      </c>
      <c r="M218" s="5">
        <v>287</v>
      </c>
      <c r="N218" s="75">
        <v>298</v>
      </c>
      <c r="O218" s="75">
        <v>293</v>
      </c>
      <c r="P218" s="63">
        <f t="shared" si="132"/>
        <v>292.66666666666669</v>
      </c>
      <c r="Q218" s="108">
        <f t="shared" si="133"/>
        <v>26340</v>
      </c>
      <c r="R218" s="5">
        <v>297</v>
      </c>
      <c r="S218" s="75">
        <v>301</v>
      </c>
      <c r="T218" s="76">
        <v>297</v>
      </c>
      <c r="U218" s="63">
        <f t="shared" si="134"/>
        <v>298.33333333333331</v>
      </c>
      <c r="V218" s="111">
        <f t="shared" si="135"/>
        <v>27148.333333333332</v>
      </c>
      <c r="W218" s="64">
        <f t="shared" si="136"/>
        <v>286.58333333333331</v>
      </c>
      <c r="X218" s="66">
        <f t="shared" si="137"/>
        <v>104602.91666666666</v>
      </c>
    </row>
    <row r="219" spans="1:24" ht="16.5" thickBot="1" x14ac:dyDescent="0.3">
      <c r="A219" s="50" t="s">
        <v>359</v>
      </c>
      <c r="B219" s="34"/>
      <c r="C219" s="5">
        <v>899</v>
      </c>
      <c r="D219" s="5">
        <v>897</v>
      </c>
      <c r="E219" s="5">
        <v>896</v>
      </c>
      <c r="F219" s="63">
        <f t="shared" si="128"/>
        <v>897.33333333333337</v>
      </c>
      <c r="G219" s="108">
        <f t="shared" si="129"/>
        <v>82554.666666666672</v>
      </c>
      <c r="H219" s="5">
        <v>892</v>
      </c>
      <c r="I219" s="5">
        <v>967</v>
      </c>
      <c r="J219" s="5">
        <v>977</v>
      </c>
      <c r="K219" s="63">
        <f t="shared" si="130"/>
        <v>945.33333333333337</v>
      </c>
      <c r="L219" s="108">
        <f t="shared" si="131"/>
        <v>86970.666666666672</v>
      </c>
      <c r="M219" s="5">
        <v>976</v>
      </c>
      <c r="N219" s="75">
        <v>993</v>
      </c>
      <c r="O219" s="75">
        <v>990</v>
      </c>
      <c r="P219" s="63">
        <f t="shared" si="132"/>
        <v>986.33333333333337</v>
      </c>
      <c r="Q219" s="108">
        <f t="shared" si="133"/>
        <v>88770</v>
      </c>
      <c r="R219" s="5">
        <v>993</v>
      </c>
      <c r="S219" s="75">
        <v>998</v>
      </c>
      <c r="T219" s="76">
        <v>994</v>
      </c>
      <c r="U219" s="63">
        <f t="shared" si="134"/>
        <v>995</v>
      </c>
      <c r="V219" s="111">
        <f t="shared" si="135"/>
        <v>90545</v>
      </c>
      <c r="W219" s="64">
        <f t="shared" si="136"/>
        <v>956</v>
      </c>
      <c r="X219" s="65">
        <f t="shared" si="137"/>
        <v>348940</v>
      </c>
    </row>
    <row r="220" spans="1:24" ht="16.5" thickBot="1" x14ac:dyDescent="0.3">
      <c r="A220" s="50" t="s">
        <v>148</v>
      </c>
      <c r="B220" s="34"/>
      <c r="C220" s="5">
        <v>19</v>
      </c>
      <c r="D220" s="5">
        <v>19</v>
      </c>
      <c r="E220" s="5">
        <v>19</v>
      </c>
      <c r="F220" s="63">
        <f t="shared" si="128"/>
        <v>19</v>
      </c>
      <c r="G220" s="108">
        <f t="shared" si="129"/>
        <v>1748</v>
      </c>
      <c r="H220" s="5">
        <v>18</v>
      </c>
      <c r="I220" s="5">
        <v>18</v>
      </c>
      <c r="J220" s="5">
        <v>18</v>
      </c>
      <c r="K220" s="63">
        <f t="shared" si="130"/>
        <v>18</v>
      </c>
      <c r="L220" s="108">
        <f t="shared" si="131"/>
        <v>1656</v>
      </c>
      <c r="M220" s="5">
        <v>18</v>
      </c>
      <c r="N220" s="75">
        <v>17</v>
      </c>
      <c r="O220" s="75">
        <v>16</v>
      </c>
      <c r="P220" s="63">
        <f t="shared" si="132"/>
        <v>17</v>
      </c>
      <c r="Q220" s="108">
        <f t="shared" si="133"/>
        <v>1530</v>
      </c>
      <c r="R220" s="5">
        <v>16</v>
      </c>
      <c r="S220" s="75">
        <v>16</v>
      </c>
      <c r="T220" s="76">
        <v>16</v>
      </c>
      <c r="U220" s="63">
        <f t="shared" si="134"/>
        <v>16</v>
      </c>
      <c r="V220" s="112">
        <f t="shared" si="135"/>
        <v>1456</v>
      </c>
      <c r="W220" s="64">
        <f t="shared" si="136"/>
        <v>17.5</v>
      </c>
      <c r="X220" s="66">
        <f t="shared" si="137"/>
        <v>6387.5</v>
      </c>
    </row>
    <row r="221" spans="1:24" ht="16.5" thickBot="1" x14ac:dyDescent="0.3">
      <c r="A221" s="53" t="s">
        <v>152</v>
      </c>
      <c r="B221" s="37"/>
      <c r="C221" s="80">
        <f>SUM(C215:C220)</f>
        <v>1959.68</v>
      </c>
      <c r="D221" s="80">
        <f>SUM(D215:D220)</f>
        <v>1959.6100000000001</v>
      </c>
      <c r="E221" s="80">
        <f>SUM(E215:E220)</f>
        <v>1956.37</v>
      </c>
      <c r="F221" s="68">
        <f t="shared" si="128"/>
        <v>1958.5533333333333</v>
      </c>
      <c r="G221" s="108">
        <f t="shared" si="129"/>
        <v>180186.90666666668</v>
      </c>
      <c r="H221" s="94">
        <f>SUM(H215:H220)</f>
        <v>1976.22</v>
      </c>
      <c r="I221" s="80">
        <f>SUM(I215:I220)</f>
        <v>2040.73</v>
      </c>
      <c r="J221" s="80">
        <f>SUM(J215:J220)</f>
        <v>2035.71</v>
      </c>
      <c r="K221" s="68">
        <f t="shared" si="130"/>
        <v>2017.5533333333333</v>
      </c>
      <c r="L221" s="119">
        <f t="shared" si="131"/>
        <v>185614.90666666668</v>
      </c>
      <c r="M221" s="94">
        <f>SUM(M215:M220)</f>
        <v>2044.33</v>
      </c>
      <c r="N221" s="80">
        <f>SUM(N215:N220)</f>
        <v>2074.0699999999997</v>
      </c>
      <c r="O221" s="80">
        <f>SUM(O215:O220)</f>
        <v>2069.7799999999997</v>
      </c>
      <c r="P221" s="68">
        <f t="shared" si="132"/>
        <v>2062.7266666666665</v>
      </c>
      <c r="Q221" s="108">
        <f t="shared" si="133"/>
        <v>185645.4</v>
      </c>
      <c r="R221" s="94">
        <f>SUM(R215:R220)</f>
        <v>2089</v>
      </c>
      <c r="S221" s="80">
        <f>SUM(S215:S220)</f>
        <v>2067.4</v>
      </c>
      <c r="T221" s="81">
        <f>SUM(T215:T220)</f>
        <v>2086</v>
      </c>
      <c r="U221" s="68">
        <f t="shared" si="134"/>
        <v>2080.7999999999997</v>
      </c>
      <c r="V221" s="120">
        <f t="shared" si="135"/>
        <v>189352.8</v>
      </c>
      <c r="W221" s="69">
        <f>SUM(W215:W220)</f>
        <v>2029.9083333333333</v>
      </c>
      <c r="X221" s="69">
        <f>SUM(X215:X220)</f>
        <v>740916.54166666663</v>
      </c>
    </row>
    <row r="222" spans="1:24" ht="16.5" thickBot="1" x14ac:dyDescent="0.3">
      <c r="A222" s="54" t="s">
        <v>156</v>
      </c>
      <c r="B222" s="38"/>
      <c r="C222" s="80">
        <f>C213+C221</f>
        <v>5699.42</v>
      </c>
      <c r="D222" s="80">
        <f>D213+D221</f>
        <v>5803.7900000000009</v>
      </c>
      <c r="E222" s="80">
        <f>E213+E221</f>
        <v>5846.4</v>
      </c>
      <c r="F222" s="80">
        <f>F213+F221</f>
        <v>5783.2033333333329</v>
      </c>
      <c r="G222" s="68">
        <f>SUM(G213+G221)</f>
        <v>532054.70666666667</v>
      </c>
      <c r="H222" s="80">
        <f>H213+H221</f>
        <v>5911.9000000000005</v>
      </c>
      <c r="I222" s="80">
        <f>I213+I221</f>
        <v>5862.96</v>
      </c>
      <c r="J222" s="80">
        <f>J213+J221</f>
        <v>5760.3700000000008</v>
      </c>
      <c r="K222" s="120">
        <f t="shared" si="130"/>
        <v>5845.0766666666677</v>
      </c>
      <c r="L222" s="68">
        <f>SUM(L213+L221)</f>
        <v>537747.05333333334</v>
      </c>
      <c r="M222" s="94">
        <f>M213+M221</f>
        <v>5819.9500000000007</v>
      </c>
      <c r="N222" s="80">
        <f>N213+N221</f>
        <v>5887.8099999999995</v>
      </c>
      <c r="O222" s="80">
        <f>O213+O221</f>
        <v>5879.49</v>
      </c>
      <c r="P222" s="99">
        <f t="shared" si="132"/>
        <v>5862.416666666667</v>
      </c>
      <c r="Q222" s="68">
        <f>SUM(Q213+Q221)</f>
        <v>527617.5</v>
      </c>
      <c r="R222" s="94">
        <f>R213+R221</f>
        <v>5923.21</v>
      </c>
      <c r="S222" s="80">
        <f>S213+S221</f>
        <v>5989.1299999999992</v>
      </c>
      <c r="T222" s="81">
        <f>T213+T221</f>
        <v>5989.23</v>
      </c>
      <c r="U222" s="99">
        <f t="shared" si="134"/>
        <v>5967.19</v>
      </c>
      <c r="V222" s="68">
        <f>SUM(V213+V221)</f>
        <v>543014.29</v>
      </c>
      <c r="W222" s="80">
        <f>W213+W221</f>
        <v>5864.4716666666664</v>
      </c>
      <c r="X222" s="82">
        <f>X213+X221</f>
        <v>2140532.1583333332</v>
      </c>
    </row>
    <row r="223" spans="1:24" ht="15.75" x14ac:dyDescent="0.25">
      <c r="A223" s="114"/>
      <c r="B223" s="19"/>
      <c r="C223" s="115"/>
      <c r="D223" s="115"/>
      <c r="E223" s="115"/>
      <c r="F223" s="115"/>
      <c r="G223" s="113"/>
      <c r="H223" s="115"/>
      <c r="I223" s="115"/>
      <c r="J223" s="115"/>
      <c r="K223" s="139"/>
      <c r="L223" s="113"/>
      <c r="M223" s="115"/>
      <c r="N223" s="115"/>
      <c r="O223" s="115"/>
      <c r="P223" s="93"/>
      <c r="Q223" s="113"/>
      <c r="R223" s="115"/>
      <c r="S223" s="115"/>
      <c r="T223" s="115"/>
      <c r="U223" s="93"/>
      <c r="V223" s="113"/>
      <c r="W223" s="115"/>
      <c r="X223" s="115"/>
    </row>
    <row r="225" spans="1:24" ht="16.5" thickBot="1" x14ac:dyDescent="0.25">
      <c r="A225" s="45" t="s">
        <v>155</v>
      </c>
      <c r="B225" s="10"/>
      <c r="C225" s="13"/>
      <c r="D225" s="13"/>
      <c r="E225" s="13"/>
      <c r="F225" s="13"/>
      <c r="G225" s="13"/>
      <c r="H225" s="13"/>
      <c r="I225" s="13"/>
      <c r="J225" s="13"/>
      <c r="K225" s="13"/>
      <c r="L225" s="13"/>
      <c r="M225" s="13"/>
      <c r="N225" s="13"/>
      <c r="O225" s="13"/>
      <c r="P225" s="13"/>
      <c r="Q225" s="13"/>
      <c r="R225" s="13"/>
      <c r="S225" s="13"/>
      <c r="T225" s="13"/>
      <c r="U225" s="13"/>
      <c r="V225" s="13"/>
      <c r="W225" s="13"/>
      <c r="X225" s="13"/>
    </row>
    <row r="226" spans="1:24" ht="16.5" thickBot="1" x14ac:dyDescent="0.3">
      <c r="A226" s="154" t="s">
        <v>335</v>
      </c>
      <c r="B226" s="1200" t="s">
        <v>153</v>
      </c>
      <c r="C226" s="1201"/>
      <c r="D226" s="1201"/>
      <c r="E226" s="1201"/>
      <c r="F226" s="1201"/>
      <c r="G226" s="1201"/>
      <c r="H226" s="1201"/>
      <c r="I226" s="1201"/>
      <c r="J226" s="1201"/>
      <c r="K226" s="1201"/>
      <c r="L226" s="1201"/>
      <c r="M226" s="1201"/>
      <c r="N226" s="1201"/>
      <c r="O226" s="1201"/>
      <c r="P226" s="1201"/>
      <c r="Q226" s="1201"/>
      <c r="R226" s="1201"/>
      <c r="S226" s="1201"/>
      <c r="T226" s="1201"/>
      <c r="U226" s="39"/>
      <c r="V226" s="39"/>
      <c r="W226" s="92"/>
      <c r="X226" s="13"/>
    </row>
    <row r="227" spans="1:24" ht="15.75" x14ac:dyDescent="0.25">
      <c r="A227" s="11"/>
      <c r="B227" s="40" t="s">
        <v>261</v>
      </c>
      <c r="C227" s="57"/>
      <c r="D227" s="58"/>
      <c r="E227" s="58"/>
      <c r="F227" s="1192" t="s">
        <v>258</v>
      </c>
      <c r="G227" s="1184" t="s">
        <v>278</v>
      </c>
      <c r="H227" s="58"/>
      <c r="I227" s="58"/>
      <c r="J227" s="58"/>
      <c r="K227" s="1192" t="s">
        <v>258</v>
      </c>
      <c r="L227" s="1184" t="s">
        <v>278</v>
      </c>
      <c r="M227" s="58"/>
      <c r="N227" s="58"/>
      <c r="O227" s="58"/>
      <c r="P227" s="1192" t="s">
        <v>258</v>
      </c>
      <c r="Q227" s="1184" t="s">
        <v>278</v>
      </c>
      <c r="R227" s="58"/>
      <c r="S227" s="58"/>
      <c r="T227" s="59"/>
      <c r="U227" s="1192" t="s">
        <v>258</v>
      </c>
      <c r="V227" s="1184" t="s">
        <v>278</v>
      </c>
      <c r="W227" s="1186" t="s">
        <v>154</v>
      </c>
      <c r="X227" s="1188" t="s">
        <v>155</v>
      </c>
    </row>
    <row r="228" spans="1:24" ht="24" customHeight="1" thickBot="1" x14ac:dyDescent="0.3">
      <c r="A228" s="47" t="s">
        <v>56</v>
      </c>
      <c r="B228" s="41" t="s">
        <v>262</v>
      </c>
      <c r="C228" s="60">
        <v>40003</v>
      </c>
      <c r="D228" s="61">
        <v>40034</v>
      </c>
      <c r="E228" s="61">
        <v>40065</v>
      </c>
      <c r="F228" s="1193"/>
      <c r="G228" s="1185"/>
      <c r="H228" s="61">
        <v>40460</v>
      </c>
      <c r="I228" s="61">
        <v>40126</v>
      </c>
      <c r="J228" s="61">
        <v>40156</v>
      </c>
      <c r="K228" s="1193"/>
      <c r="L228" s="1185"/>
      <c r="M228" s="61">
        <v>40179</v>
      </c>
      <c r="N228" s="61">
        <v>40210</v>
      </c>
      <c r="O228" s="61">
        <v>40238</v>
      </c>
      <c r="P228" s="1193"/>
      <c r="Q228" s="1185"/>
      <c r="R228" s="61">
        <v>40269</v>
      </c>
      <c r="S228" s="61">
        <v>40299</v>
      </c>
      <c r="T228" s="62">
        <v>40330</v>
      </c>
      <c r="U228" s="1193"/>
      <c r="V228" s="1185"/>
      <c r="W228" s="1187"/>
      <c r="X228" s="1189"/>
    </row>
    <row r="229" spans="1:24" ht="20.25" customHeight="1" thickBot="1" x14ac:dyDescent="0.3">
      <c r="A229" s="48" t="s">
        <v>291</v>
      </c>
      <c r="B229" s="42" t="s">
        <v>296</v>
      </c>
      <c r="C229" s="125">
        <v>458.48</v>
      </c>
      <c r="D229" s="125">
        <v>447</v>
      </c>
      <c r="E229" s="117">
        <v>468</v>
      </c>
      <c r="F229" s="63">
        <f t="shared" ref="F229:F243" si="138">SUM(C229:E229)/3</f>
        <v>457.82666666666665</v>
      </c>
      <c r="G229" s="108">
        <f t="shared" ref="G229:G243" si="139">F229*92</f>
        <v>42120.05333333333</v>
      </c>
      <c r="H229" s="117">
        <v>486.45</v>
      </c>
      <c r="I229" s="117">
        <v>485.67</v>
      </c>
      <c r="J229" s="117">
        <v>465.39</v>
      </c>
      <c r="K229" s="63">
        <f t="shared" ref="K229:K243" si="140">SUM(H229:J229)/3</f>
        <v>479.17</v>
      </c>
      <c r="L229" s="108">
        <f t="shared" ref="L229:L243" si="141">K229*92</f>
        <v>44083.64</v>
      </c>
      <c r="M229" s="117">
        <v>450.42</v>
      </c>
      <c r="N229" s="85">
        <v>463.89</v>
      </c>
      <c r="O229" s="85">
        <v>460.45</v>
      </c>
      <c r="P229" s="63">
        <f t="shared" ref="P229:P243" si="142">SUM(M229:O229)/3</f>
        <v>458.25333333333333</v>
      </c>
      <c r="Q229" s="108">
        <f t="shared" ref="Q229:Q243" si="143">P229*90</f>
        <v>41242.800000000003</v>
      </c>
      <c r="R229" s="117">
        <v>432.03</v>
      </c>
      <c r="S229" s="85">
        <v>429.83</v>
      </c>
      <c r="T229" s="135">
        <v>422.4</v>
      </c>
      <c r="U229" s="63">
        <f t="shared" ref="U229:U243" si="144">SUM(R229:T229)/3</f>
        <v>428.08666666666659</v>
      </c>
      <c r="V229" s="111">
        <f t="shared" ref="V229:V243" si="145">U229*91</f>
        <v>38955.886666666658</v>
      </c>
      <c r="W229" s="64">
        <f t="shared" ref="W229:W243" si="146">SUM(C229+D229+E229+H229+I229+J229+M229+N229+O229+R229+S229+T229)/12</f>
        <v>455.83416666666659</v>
      </c>
      <c r="X229" s="65">
        <f t="shared" ref="X229:X242" si="147">W229*365</f>
        <v>166379.4708333333</v>
      </c>
    </row>
    <row r="230" spans="1:24" ht="16.5" thickBot="1" x14ac:dyDescent="0.3">
      <c r="A230" s="49" t="s">
        <v>138</v>
      </c>
      <c r="B230" s="43" t="s">
        <v>264</v>
      </c>
      <c r="C230" s="126">
        <v>107</v>
      </c>
      <c r="D230" s="126">
        <v>110</v>
      </c>
      <c r="E230" s="118">
        <v>112</v>
      </c>
      <c r="F230" s="63">
        <f t="shared" si="138"/>
        <v>109.66666666666667</v>
      </c>
      <c r="G230" s="108">
        <f t="shared" si="139"/>
        <v>10089.333333333334</v>
      </c>
      <c r="H230" s="118">
        <v>115.26</v>
      </c>
      <c r="I230" s="118">
        <v>124.97</v>
      </c>
      <c r="J230" s="118">
        <v>117.65</v>
      </c>
      <c r="K230" s="63">
        <f t="shared" si="140"/>
        <v>119.29333333333334</v>
      </c>
      <c r="L230" s="108">
        <f t="shared" si="141"/>
        <v>10974.986666666668</v>
      </c>
      <c r="M230" s="118">
        <v>124.52</v>
      </c>
      <c r="N230" s="86">
        <v>128.5</v>
      </c>
      <c r="O230" s="86">
        <v>113.94</v>
      </c>
      <c r="P230" s="63">
        <f t="shared" si="142"/>
        <v>122.32</v>
      </c>
      <c r="Q230" s="108">
        <f t="shared" si="143"/>
        <v>11008.8</v>
      </c>
      <c r="R230" s="118">
        <v>112.1</v>
      </c>
      <c r="S230" s="86">
        <v>117.43</v>
      </c>
      <c r="T230" s="89">
        <v>115.97</v>
      </c>
      <c r="U230" s="63">
        <f t="shared" si="144"/>
        <v>115.16666666666667</v>
      </c>
      <c r="V230" s="111">
        <f t="shared" si="145"/>
        <v>10480.166666666668</v>
      </c>
      <c r="W230" s="64">
        <f t="shared" si="146"/>
        <v>116.61166666666666</v>
      </c>
      <c r="X230" s="65">
        <f t="shared" si="147"/>
        <v>42563.258333333331</v>
      </c>
    </row>
    <row r="231" spans="1:24" ht="16.5" thickBot="1" x14ac:dyDescent="0.3">
      <c r="A231" s="50" t="s">
        <v>292</v>
      </c>
      <c r="B231" s="44" t="s">
        <v>297</v>
      </c>
      <c r="C231" s="4">
        <v>425</v>
      </c>
      <c r="D231" s="4">
        <v>441</v>
      </c>
      <c r="E231" s="3">
        <v>444</v>
      </c>
      <c r="F231" s="63">
        <f t="shared" si="138"/>
        <v>436.66666666666669</v>
      </c>
      <c r="G231" s="108">
        <f t="shared" si="139"/>
        <v>40173.333333333336</v>
      </c>
      <c r="H231" s="3">
        <v>458.13</v>
      </c>
      <c r="I231" s="3">
        <v>468.57</v>
      </c>
      <c r="J231" s="3">
        <v>465.19</v>
      </c>
      <c r="K231" s="63">
        <f t="shared" si="140"/>
        <v>463.96333333333337</v>
      </c>
      <c r="L231" s="108">
        <f t="shared" si="141"/>
        <v>42684.626666666671</v>
      </c>
      <c r="M231" s="3">
        <v>454.74</v>
      </c>
      <c r="N231" s="87">
        <v>468.82</v>
      </c>
      <c r="O231" s="87">
        <v>461.19</v>
      </c>
      <c r="P231" s="63">
        <f t="shared" si="142"/>
        <v>461.58333333333331</v>
      </c>
      <c r="Q231" s="108">
        <f t="shared" si="143"/>
        <v>41542.5</v>
      </c>
      <c r="R231" s="3">
        <v>450.83</v>
      </c>
      <c r="S231" s="87">
        <v>442</v>
      </c>
      <c r="T231" s="90">
        <v>422.6</v>
      </c>
      <c r="U231" s="63">
        <f t="shared" si="144"/>
        <v>438.47666666666663</v>
      </c>
      <c r="V231" s="111">
        <f t="shared" si="145"/>
        <v>39901.376666666663</v>
      </c>
      <c r="W231" s="64">
        <f t="shared" si="146"/>
        <v>450.17250000000007</v>
      </c>
      <c r="X231" s="65">
        <f t="shared" si="147"/>
        <v>164312.96250000002</v>
      </c>
    </row>
    <row r="232" spans="1:24" ht="16.5" thickBot="1" x14ac:dyDescent="0.3">
      <c r="A232" s="50" t="s">
        <v>337</v>
      </c>
      <c r="B232" s="44" t="s">
        <v>336</v>
      </c>
      <c r="C232" s="4">
        <v>268.06</v>
      </c>
      <c r="D232" s="4">
        <v>290</v>
      </c>
      <c r="E232" s="3">
        <v>306</v>
      </c>
      <c r="F232" s="63">
        <f t="shared" si="138"/>
        <v>288.02</v>
      </c>
      <c r="G232" s="108">
        <f t="shared" si="139"/>
        <v>26497.839999999997</v>
      </c>
      <c r="H232" s="3">
        <v>320.81</v>
      </c>
      <c r="I232" s="3">
        <v>308.02999999999997</v>
      </c>
      <c r="J232" s="3">
        <v>297.81</v>
      </c>
      <c r="K232" s="63">
        <f t="shared" si="140"/>
        <v>308.88333333333327</v>
      </c>
      <c r="L232" s="108">
        <f t="shared" si="141"/>
        <v>28417.266666666659</v>
      </c>
      <c r="M232" s="3">
        <v>283.74</v>
      </c>
      <c r="N232" s="87">
        <v>274.61</v>
      </c>
      <c r="O232" s="87">
        <v>279.26</v>
      </c>
      <c r="P232" s="63">
        <f t="shared" si="142"/>
        <v>279.20333333333332</v>
      </c>
      <c r="Q232" s="108">
        <f t="shared" si="143"/>
        <v>25128.3</v>
      </c>
      <c r="R232" s="3">
        <v>289.5</v>
      </c>
      <c r="S232" s="87">
        <v>300.13</v>
      </c>
      <c r="T232" s="90">
        <v>306.52999999999997</v>
      </c>
      <c r="U232" s="63">
        <f t="shared" si="144"/>
        <v>298.71999999999997</v>
      </c>
      <c r="V232" s="111">
        <f t="shared" si="145"/>
        <v>27183.519999999997</v>
      </c>
      <c r="W232" s="64">
        <f t="shared" si="146"/>
        <v>293.70666666666665</v>
      </c>
      <c r="X232" s="65">
        <f t="shared" si="147"/>
        <v>107202.93333333332</v>
      </c>
    </row>
    <row r="233" spans="1:24" ht="16.5" thickBot="1" x14ac:dyDescent="0.3">
      <c r="A233" s="51" t="s">
        <v>275</v>
      </c>
      <c r="B233" s="44" t="s">
        <v>299</v>
      </c>
      <c r="C233" s="4">
        <v>370.13</v>
      </c>
      <c r="D233" s="4">
        <v>366</v>
      </c>
      <c r="E233" s="3">
        <v>366</v>
      </c>
      <c r="F233" s="63">
        <f t="shared" si="138"/>
        <v>367.37666666666672</v>
      </c>
      <c r="G233" s="108">
        <f t="shared" si="139"/>
        <v>33798.653333333335</v>
      </c>
      <c r="H233" s="3">
        <v>375.87</v>
      </c>
      <c r="I233" s="3">
        <v>377.57</v>
      </c>
      <c r="J233" s="3">
        <v>389.61</v>
      </c>
      <c r="K233" s="63">
        <f t="shared" si="140"/>
        <v>381.01666666666671</v>
      </c>
      <c r="L233" s="108">
        <f t="shared" si="141"/>
        <v>35053.53333333334</v>
      </c>
      <c r="M233" s="3">
        <v>390.74</v>
      </c>
      <c r="N233" s="87">
        <v>394.11</v>
      </c>
      <c r="O233" s="87">
        <v>400.77</v>
      </c>
      <c r="P233" s="63">
        <f t="shared" si="142"/>
        <v>395.20666666666665</v>
      </c>
      <c r="Q233" s="108">
        <f t="shared" si="143"/>
        <v>35568.6</v>
      </c>
      <c r="R233" s="3">
        <v>396.73</v>
      </c>
      <c r="S233" s="87">
        <v>378.57</v>
      </c>
      <c r="T233" s="90">
        <v>367.73</v>
      </c>
      <c r="U233" s="63">
        <f t="shared" si="144"/>
        <v>381.01</v>
      </c>
      <c r="V233" s="111">
        <f t="shared" si="145"/>
        <v>34671.909999999996</v>
      </c>
      <c r="W233" s="64">
        <f t="shared" si="146"/>
        <v>381.15249999999997</v>
      </c>
      <c r="X233" s="65">
        <f t="shared" si="147"/>
        <v>139120.66249999998</v>
      </c>
    </row>
    <row r="234" spans="1:24" ht="16.5" thickBot="1" x14ac:dyDescent="0.3">
      <c r="A234" s="50" t="s">
        <v>16</v>
      </c>
      <c r="B234" s="44" t="s">
        <v>268</v>
      </c>
      <c r="C234" s="4">
        <v>54.194000000000003</v>
      </c>
      <c r="D234" s="4">
        <v>55</v>
      </c>
      <c r="E234" s="3">
        <v>61</v>
      </c>
      <c r="F234" s="63">
        <f t="shared" si="138"/>
        <v>56.731333333333339</v>
      </c>
      <c r="G234" s="108">
        <f t="shared" si="139"/>
        <v>5219.282666666667</v>
      </c>
      <c r="H234" s="3">
        <v>66.096999999999994</v>
      </c>
      <c r="I234" s="3">
        <v>61.832999999999998</v>
      </c>
      <c r="J234" s="3">
        <v>59.805999999999997</v>
      </c>
      <c r="K234" s="63">
        <f t="shared" si="140"/>
        <v>62.578666666666663</v>
      </c>
      <c r="L234" s="108">
        <f t="shared" si="141"/>
        <v>5757.2373333333326</v>
      </c>
      <c r="M234" s="3">
        <v>68.129000000000005</v>
      </c>
      <c r="N234" s="87">
        <v>68.412999999999997</v>
      </c>
      <c r="O234" s="87">
        <v>67.677000000000007</v>
      </c>
      <c r="P234" s="63">
        <f t="shared" si="142"/>
        <v>68.072999999999993</v>
      </c>
      <c r="Q234" s="108">
        <f t="shared" si="143"/>
        <v>6126.57</v>
      </c>
      <c r="R234" s="3">
        <v>61.633000000000003</v>
      </c>
      <c r="S234" s="87">
        <v>51.5</v>
      </c>
      <c r="T234" s="90">
        <v>48.27</v>
      </c>
      <c r="U234" s="63">
        <f t="shared" si="144"/>
        <v>53.801000000000009</v>
      </c>
      <c r="V234" s="111">
        <f t="shared" si="145"/>
        <v>4895.8910000000005</v>
      </c>
      <c r="W234" s="64">
        <f t="shared" si="146"/>
        <v>60.295999999999999</v>
      </c>
      <c r="X234" s="65">
        <f t="shared" si="147"/>
        <v>22008.04</v>
      </c>
    </row>
    <row r="235" spans="1:24" ht="16.5" thickBot="1" x14ac:dyDescent="0.3">
      <c r="A235" s="50" t="s">
        <v>17</v>
      </c>
      <c r="B235" s="44" t="s">
        <v>300</v>
      </c>
      <c r="C235" s="4">
        <v>188.19</v>
      </c>
      <c r="D235" s="4">
        <v>215</v>
      </c>
      <c r="E235" s="3">
        <v>228</v>
      </c>
      <c r="F235" s="63">
        <f t="shared" si="138"/>
        <v>210.39666666666668</v>
      </c>
      <c r="G235" s="108">
        <f t="shared" si="139"/>
        <v>19356.493333333336</v>
      </c>
      <c r="H235" s="3">
        <v>220.16</v>
      </c>
      <c r="I235" s="3">
        <v>218.23</v>
      </c>
      <c r="J235" s="3">
        <v>211.42</v>
      </c>
      <c r="K235" s="63">
        <f t="shared" si="140"/>
        <v>216.60333333333332</v>
      </c>
      <c r="L235" s="108">
        <f t="shared" si="141"/>
        <v>19927.506666666664</v>
      </c>
      <c r="M235" s="3">
        <v>211.23</v>
      </c>
      <c r="N235" s="87">
        <v>233.18</v>
      </c>
      <c r="O235" s="87">
        <v>224.84</v>
      </c>
      <c r="P235" s="63">
        <f t="shared" si="142"/>
        <v>223.08333333333334</v>
      </c>
      <c r="Q235" s="108">
        <f t="shared" si="143"/>
        <v>20077.5</v>
      </c>
      <c r="R235" s="3">
        <v>204.8</v>
      </c>
      <c r="S235" s="87">
        <v>206.77</v>
      </c>
      <c r="T235" s="90">
        <v>196.67</v>
      </c>
      <c r="U235" s="63">
        <f t="shared" si="144"/>
        <v>202.74666666666667</v>
      </c>
      <c r="V235" s="111">
        <f t="shared" si="145"/>
        <v>18449.946666666667</v>
      </c>
      <c r="W235" s="64">
        <f t="shared" si="146"/>
        <v>213.20750000000001</v>
      </c>
      <c r="X235" s="65">
        <f t="shared" si="147"/>
        <v>77820.737500000003</v>
      </c>
    </row>
    <row r="236" spans="1:24" ht="16.5" thickBot="1" x14ac:dyDescent="0.3">
      <c r="A236" s="50" t="s">
        <v>140</v>
      </c>
      <c r="B236" s="44" t="s">
        <v>301</v>
      </c>
      <c r="C236" s="4">
        <v>93.257999999999996</v>
      </c>
      <c r="D236" s="4">
        <v>102</v>
      </c>
      <c r="E236" s="3">
        <v>113</v>
      </c>
      <c r="F236" s="63">
        <f t="shared" si="138"/>
        <v>102.75266666666666</v>
      </c>
      <c r="G236" s="108">
        <f t="shared" si="139"/>
        <v>9453.2453333333324</v>
      </c>
      <c r="H236" s="3">
        <v>111.74</v>
      </c>
      <c r="I236" s="3">
        <v>109.97</v>
      </c>
      <c r="J236" s="3">
        <v>108.94</v>
      </c>
      <c r="K236" s="63">
        <f t="shared" si="140"/>
        <v>110.21666666666665</v>
      </c>
      <c r="L236" s="108">
        <f t="shared" si="141"/>
        <v>10139.933333333332</v>
      </c>
      <c r="M236" s="3">
        <v>112.16</v>
      </c>
      <c r="N236" s="87">
        <v>106.54</v>
      </c>
      <c r="O236" s="87">
        <v>105.13</v>
      </c>
      <c r="P236" s="63">
        <f t="shared" si="142"/>
        <v>107.94333333333333</v>
      </c>
      <c r="Q236" s="108">
        <f t="shared" si="143"/>
        <v>9714.9</v>
      </c>
      <c r="R236" s="3">
        <v>106.23</v>
      </c>
      <c r="S236" s="87">
        <v>102.87</v>
      </c>
      <c r="T236" s="90">
        <v>107.07</v>
      </c>
      <c r="U236" s="63">
        <f t="shared" si="144"/>
        <v>105.39</v>
      </c>
      <c r="V236" s="111">
        <f t="shared" si="145"/>
        <v>9590.49</v>
      </c>
      <c r="W236" s="64">
        <f t="shared" si="146"/>
        <v>106.57566666666663</v>
      </c>
      <c r="X236" s="65">
        <f t="shared" si="147"/>
        <v>38900.118333333325</v>
      </c>
    </row>
    <row r="237" spans="1:24" ht="16.5" thickBot="1" x14ac:dyDescent="0.3">
      <c r="A237" s="51" t="s">
        <v>276</v>
      </c>
      <c r="B237" s="44" t="s">
        <v>308</v>
      </c>
      <c r="C237" s="4">
        <v>494.49</v>
      </c>
      <c r="D237" s="4">
        <v>502</v>
      </c>
      <c r="E237" s="3">
        <v>502</v>
      </c>
      <c r="F237" s="63">
        <f t="shared" si="138"/>
        <v>499.49666666666667</v>
      </c>
      <c r="G237" s="108">
        <f t="shared" si="139"/>
        <v>45953.693333333336</v>
      </c>
      <c r="H237" s="3">
        <f>331.61+175.77</f>
        <v>507.38</v>
      </c>
      <c r="I237" s="3">
        <f>332.7+175.63</f>
        <v>508.33</v>
      </c>
      <c r="J237" s="3">
        <f>318.94+175.81</f>
        <v>494.75</v>
      </c>
      <c r="K237" s="63">
        <f t="shared" si="140"/>
        <v>503.48666666666668</v>
      </c>
      <c r="L237" s="108">
        <f t="shared" si="141"/>
        <v>46320.773333333331</v>
      </c>
      <c r="M237" s="3">
        <f>327.19+175.65</f>
        <v>502.84000000000003</v>
      </c>
      <c r="N237" s="87">
        <f>321.29+175.71</f>
        <v>497</v>
      </c>
      <c r="O237" s="87">
        <f>314.71+174.97</f>
        <v>489.67999999999995</v>
      </c>
      <c r="P237" s="63">
        <f t="shared" si="142"/>
        <v>496.50666666666666</v>
      </c>
      <c r="Q237" s="108">
        <f t="shared" si="143"/>
        <v>44685.599999999999</v>
      </c>
      <c r="R237" s="3">
        <f>327.13+175.83</f>
        <v>502.96000000000004</v>
      </c>
      <c r="S237" s="87">
        <f>325.87+175.63</f>
        <v>501.5</v>
      </c>
      <c r="T237" s="90">
        <f>323.3+175.53</f>
        <v>498.83000000000004</v>
      </c>
      <c r="U237" s="63">
        <f t="shared" si="144"/>
        <v>501.09666666666664</v>
      </c>
      <c r="V237" s="111">
        <f t="shared" si="145"/>
        <v>45599.796666666662</v>
      </c>
      <c r="W237" s="64">
        <f t="shared" si="146"/>
        <v>500.1466666666667</v>
      </c>
      <c r="X237" s="65">
        <f t="shared" si="147"/>
        <v>182553.53333333335</v>
      </c>
    </row>
    <row r="238" spans="1:24" ht="16.5" thickBot="1" x14ac:dyDescent="0.3">
      <c r="A238" s="50" t="s">
        <v>149</v>
      </c>
      <c r="B238" s="121" t="s">
        <v>302</v>
      </c>
      <c r="C238" s="4">
        <v>119.29</v>
      </c>
      <c r="D238" s="4">
        <v>119</v>
      </c>
      <c r="E238" s="3">
        <v>117</v>
      </c>
      <c r="F238" s="63">
        <f t="shared" si="138"/>
        <v>118.43</v>
      </c>
      <c r="G238" s="108">
        <f t="shared" si="139"/>
        <v>10895.560000000001</v>
      </c>
      <c r="H238" s="3">
        <v>109.48</v>
      </c>
      <c r="I238" s="3">
        <v>115.37</v>
      </c>
      <c r="J238" s="3">
        <v>107.9</v>
      </c>
      <c r="K238" s="63">
        <f t="shared" si="140"/>
        <v>110.91666666666667</v>
      </c>
      <c r="L238" s="108">
        <f t="shared" si="141"/>
        <v>10204.333333333334</v>
      </c>
      <c r="M238" s="3">
        <v>105.03</v>
      </c>
      <c r="N238" s="87">
        <v>110.5</v>
      </c>
      <c r="O238" s="87">
        <v>115.77</v>
      </c>
      <c r="P238" s="63">
        <f t="shared" si="142"/>
        <v>110.43333333333334</v>
      </c>
      <c r="Q238" s="108">
        <f t="shared" si="143"/>
        <v>9939</v>
      </c>
      <c r="R238" s="3">
        <v>124.97</v>
      </c>
      <c r="S238" s="87">
        <v>123.23</v>
      </c>
      <c r="T238" s="90">
        <v>125.17</v>
      </c>
      <c r="U238" s="63">
        <f t="shared" si="144"/>
        <v>124.45666666666666</v>
      </c>
      <c r="V238" s="111">
        <f t="shared" si="145"/>
        <v>11325.556666666665</v>
      </c>
      <c r="W238" s="64">
        <f t="shared" si="146"/>
        <v>116.05916666666667</v>
      </c>
      <c r="X238" s="65">
        <f t="shared" si="147"/>
        <v>42361.595833333333</v>
      </c>
    </row>
    <row r="239" spans="1:24" ht="16.5" thickBot="1" x14ac:dyDescent="0.3">
      <c r="A239" s="49" t="s">
        <v>20</v>
      </c>
      <c r="B239" s="43" t="s">
        <v>303</v>
      </c>
      <c r="C239" s="126">
        <v>558.1</v>
      </c>
      <c r="D239" s="126">
        <v>557</v>
      </c>
      <c r="E239" s="118">
        <v>556</v>
      </c>
      <c r="F239" s="63">
        <f t="shared" si="138"/>
        <v>557.0333333333333</v>
      </c>
      <c r="G239" s="108">
        <f t="shared" si="139"/>
        <v>51247.066666666666</v>
      </c>
      <c r="H239" s="118">
        <v>557.32000000000005</v>
      </c>
      <c r="I239" s="3">
        <v>554.23</v>
      </c>
      <c r="J239" s="118">
        <v>523.16</v>
      </c>
      <c r="K239" s="63">
        <f t="shared" si="140"/>
        <v>544.90333333333331</v>
      </c>
      <c r="L239" s="111">
        <f t="shared" si="141"/>
        <v>50131.106666666667</v>
      </c>
      <c r="M239" s="3">
        <v>551.94000000000005</v>
      </c>
      <c r="N239" s="86">
        <v>544.54</v>
      </c>
      <c r="O239" s="86">
        <v>544.94000000000005</v>
      </c>
      <c r="P239" s="63">
        <f t="shared" si="142"/>
        <v>547.14</v>
      </c>
      <c r="Q239" s="108">
        <f t="shared" si="143"/>
        <v>49242.6</v>
      </c>
      <c r="R239" s="3">
        <v>548.92999999999995</v>
      </c>
      <c r="S239" s="86">
        <v>543.92999999999995</v>
      </c>
      <c r="T239" s="89">
        <v>549</v>
      </c>
      <c r="U239" s="63">
        <f t="shared" si="144"/>
        <v>547.28666666666663</v>
      </c>
      <c r="V239" s="111">
        <f t="shared" si="145"/>
        <v>49803.086666666662</v>
      </c>
      <c r="W239" s="64">
        <f t="shared" si="146"/>
        <v>549.09083333333331</v>
      </c>
      <c r="X239" s="65">
        <f t="shared" si="147"/>
        <v>200418.15416666665</v>
      </c>
    </row>
    <row r="240" spans="1:24" ht="16.5" thickBot="1" x14ac:dyDescent="0.3">
      <c r="A240" s="51" t="s">
        <v>277</v>
      </c>
      <c r="B240" s="44" t="s">
        <v>304</v>
      </c>
      <c r="C240" s="4">
        <v>375.78</v>
      </c>
      <c r="D240" s="4">
        <v>379</v>
      </c>
      <c r="E240" s="3">
        <v>366</v>
      </c>
      <c r="F240" s="63">
        <f t="shared" si="138"/>
        <v>373.59333333333331</v>
      </c>
      <c r="G240" s="108">
        <f t="shared" si="139"/>
        <v>34370.586666666662</v>
      </c>
      <c r="H240" s="3">
        <f>259.71+116.16</f>
        <v>375.87</v>
      </c>
      <c r="I240" s="3">
        <f>262.17+112.1</f>
        <v>374.27</v>
      </c>
      <c r="J240" s="3">
        <f>253.42+110.48</f>
        <v>363.9</v>
      </c>
      <c r="K240" s="63">
        <f t="shared" si="140"/>
        <v>371.34666666666664</v>
      </c>
      <c r="L240" s="108">
        <f t="shared" si="141"/>
        <v>34163.893333333333</v>
      </c>
      <c r="M240" s="3">
        <f>258.71+118.81</f>
        <v>377.52</v>
      </c>
      <c r="N240" s="87">
        <f>253.21+120.21</f>
        <v>373.42</v>
      </c>
      <c r="O240" s="87">
        <f>258.97+124.06</f>
        <v>383.03000000000003</v>
      </c>
      <c r="P240" s="63">
        <f t="shared" si="142"/>
        <v>377.99</v>
      </c>
      <c r="Q240" s="108">
        <f t="shared" si="143"/>
        <v>34019.1</v>
      </c>
      <c r="R240" s="3">
        <f>281.43+127.87</f>
        <v>409.3</v>
      </c>
      <c r="S240" s="87">
        <f>285.5+122.7</f>
        <v>408.2</v>
      </c>
      <c r="T240" s="90">
        <f>275.53+120.6</f>
        <v>396.13</v>
      </c>
      <c r="U240" s="63">
        <f t="shared" si="144"/>
        <v>404.54333333333335</v>
      </c>
      <c r="V240" s="111">
        <f t="shared" si="145"/>
        <v>36813.443333333336</v>
      </c>
      <c r="W240" s="64">
        <f t="shared" si="146"/>
        <v>381.8683333333334</v>
      </c>
      <c r="X240" s="65">
        <f t="shared" si="147"/>
        <v>139381.94166666668</v>
      </c>
    </row>
    <row r="241" spans="1:24" ht="16.5" thickBot="1" x14ac:dyDescent="0.3">
      <c r="A241" s="50" t="s">
        <v>141</v>
      </c>
      <c r="B241" s="44" t="s">
        <v>305</v>
      </c>
      <c r="C241" s="4">
        <v>125.77</v>
      </c>
      <c r="D241" s="4">
        <v>126</v>
      </c>
      <c r="E241" s="3">
        <v>124</v>
      </c>
      <c r="F241" s="63">
        <f t="shared" si="138"/>
        <v>125.25666666666666</v>
      </c>
      <c r="G241" s="108">
        <f t="shared" si="139"/>
        <v>11523.613333333333</v>
      </c>
      <c r="H241" s="3">
        <v>124.84</v>
      </c>
      <c r="I241" s="3">
        <v>127.93</v>
      </c>
      <c r="J241" s="3">
        <v>115.35</v>
      </c>
      <c r="K241" s="63">
        <f t="shared" si="140"/>
        <v>122.70666666666666</v>
      </c>
      <c r="L241" s="108">
        <f t="shared" si="141"/>
        <v>11289.013333333332</v>
      </c>
      <c r="M241" s="3">
        <v>125.16</v>
      </c>
      <c r="N241" s="87">
        <v>135.43</v>
      </c>
      <c r="O241" s="87">
        <v>140.29</v>
      </c>
      <c r="P241" s="63">
        <f t="shared" si="142"/>
        <v>133.62666666666667</v>
      </c>
      <c r="Q241" s="108">
        <f t="shared" si="143"/>
        <v>12026.4</v>
      </c>
      <c r="R241" s="3">
        <v>131.63</v>
      </c>
      <c r="S241" s="87">
        <v>132.87</v>
      </c>
      <c r="T241" s="90">
        <v>133.30000000000001</v>
      </c>
      <c r="U241" s="63">
        <f t="shared" si="144"/>
        <v>132.6</v>
      </c>
      <c r="V241" s="111">
        <f t="shared" si="145"/>
        <v>12066.6</v>
      </c>
      <c r="W241" s="64">
        <f t="shared" si="146"/>
        <v>128.54749999999999</v>
      </c>
      <c r="X241" s="65">
        <f t="shared" si="147"/>
        <v>46919.837499999994</v>
      </c>
    </row>
    <row r="242" spans="1:24" ht="16.5" thickBot="1" x14ac:dyDescent="0.3">
      <c r="A242" s="50" t="s">
        <v>142</v>
      </c>
      <c r="B242" s="34"/>
      <c r="C242" s="4">
        <v>0</v>
      </c>
      <c r="D242" s="4">
        <v>0</v>
      </c>
      <c r="E242" s="18"/>
      <c r="F242" s="67">
        <f t="shared" si="138"/>
        <v>0</v>
      </c>
      <c r="G242" s="108">
        <f t="shared" si="139"/>
        <v>0</v>
      </c>
      <c r="H242" s="18"/>
      <c r="I242" s="18"/>
      <c r="J242" s="18"/>
      <c r="K242" s="67">
        <f t="shared" si="140"/>
        <v>0</v>
      </c>
      <c r="L242" s="108">
        <f t="shared" si="141"/>
        <v>0</v>
      </c>
      <c r="M242" s="18"/>
      <c r="N242" s="4"/>
      <c r="O242" s="87"/>
      <c r="P242" s="67">
        <f t="shared" si="142"/>
        <v>0</v>
      </c>
      <c r="Q242" s="108">
        <f t="shared" si="143"/>
        <v>0</v>
      </c>
      <c r="R242" s="3"/>
      <c r="S242" s="3"/>
      <c r="T242" s="4"/>
      <c r="U242" s="67">
        <f t="shared" si="144"/>
        <v>0</v>
      </c>
      <c r="V242" s="112">
        <f t="shared" si="145"/>
        <v>0</v>
      </c>
      <c r="W242" s="137">
        <f t="shared" si="146"/>
        <v>0</v>
      </c>
      <c r="X242" s="65">
        <f t="shared" si="147"/>
        <v>0</v>
      </c>
    </row>
    <row r="243" spans="1:24" ht="16.5" thickBot="1" x14ac:dyDescent="0.3">
      <c r="A243" s="46" t="s">
        <v>150</v>
      </c>
      <c r="B243" s="35"/>
      <c r="C243" s="80">
        <f>SUM(C229:C242)</f>
        <v>3637.7419999999997</v>
      </c>
      <c r="D243" s="80">
        <f>SUM(D229:D242)</f>
        <v>3709</v>
      </c>
      <c r="E243" s="80">
        <f>SUM(E229:E242)</f>
        <v>3763</v>
      </c>
      <c r="F243" s="68">
        <f t="shared" si="138"/>
        <v>3703.2473333333332</v>
      </c>
      <c r="G243" s="108">
        <f t="shared" si="139"/>
        <v>340698.75466666667</v>
      </c>
      <c r="H243" s="94">
        <f>SUM(H229:H242)</f>
        <v>3829.4070000000002</v>
      </c>
      <c r="I243" s="80">
        <f>SUM(I229:I242)</f>
        <v>3834.9729999999995</v>
      </c>
      <c r="J243" s="80">
        <f>SUM(J229:J242)</f>
        <v>3720.8760000000002</v>
      </c>
      <c r="K243" s="68">
        <f t="shared" si="140"/>
        <v>3795.085333333333</v>
      </c>
      <c r="L243" s="119">
        <f t="shared" si="141"/>
        <v>349147.85066666664</v>
      </c>
      <c r="M243" s="9">
        <f>SUM(M229:M242)</f>
        <v>3758.1690000000003</v>
      </c>
      <c r="N243" s="80">
        <f>SUM(N229:N242)</f>
        <v>3798.9530000000004</v>
      </c>
      <c r="O243" s="80">
        <f>SUM(O229:O242)</f>
        <v>3786.9669999999996</v>
      </c>
      <c r="P243" s="68">
        <f t="shared" si="142"/>
        <v>3781.3629999999998</v>
      </c>
      <c r="Q243" s="119">
        <f t="shared" si="143"/>
        <v>340322.67</v>
      </c>
      <c r="R243" s="94">
        <f>SUM(R229:R242)</f>
        <v>3771.643</v>
      </c>
      <c r="S243" s="80">
        <f>SUM(S229:S242)</f>
        <v>3738.8299999999995</v>
      </c>
      <c r="T243" s="81">
        <f>SUM(T229:T242)</f>
        <v>3689.6700000000005</v>
      </c>
      <c r="U243" s="68">
        <f t="shared" si="144"/>
        <v>3733.3809999999999</v>
      </c>
      <c r="V243" s="120">
        <f t="shared" si="145"/>
        <v>339737.67099999997</v>
      </c>
      <c r="W243" s="138">
        <f t="shared" si="146"/>
        <v>3753.2691666666665</v>
      </c>
      <c r="X243" s="69">
        <f>SUM(X229:X242)</f>
        <v>1369943.2458333331</v>
      </c>
    </row>
    <row r="244" spans="1:24" ht="16.5" thickBot="1" x14ac:dyDescent="0.3">
      <c r="A244" s="46" t="s">
        <v>151</v>
      </c>
      <c r="B244" s="35"/>
      <c r="C244" s="70"/>
      <c r="D244" s="70"/>
      <c r="E244" s="71"/>
      <c r="F244" s="98"/>
      <c r="G244" s="98"/>
      <c r="H244" s="72"/>
      <c r="I244" s="70" t="s">
        <v>251</v>
      </c>
      <c r="J244" s="71"/>
      <c r="K244" s="97"/>
      <c r="L244" s="97"/>
      <c r="M244" s="72"/>
      <c r="N244" s="70"/>
      <c r="O244" s="71"/>
      <c r="P244" s="97"/>
      <c r="Q244" s="97"/>
      <c r="R244" s="72"/>
      <c r="S244" s="70"/>
      <c r="T244" s="71"/>
      <c r="U244" s="71"/>
      <c r="V244" s="70"/>
      <c r="W244" s="96"/>
      <c r="X244" s="69" t="s">
        <v>0</v>
      </c>
    </row>
    <row r="245" spans="1:24" ht="16.5" customHeight="1" thickBot="1" x14ac:dyDescent="0.3">
      <c r="A245" s="49" t="s">
        <v>143</v>
      </c>
      <c r="B245" s="33"/>
      <c r="C245" s="6">
        <v>688</v>
      </c>
      <c r="D245" s="6">
        <v>706</v>
      </c>
      <c r="E245" s="6">
        <v>719</v>
      </c>
      <c r="F245" s="63">
        <f t="shared" ref="F245:F251" si="148">SUM(C245:E245)/3</f>
        <v>704.33333333333337</v>
      </c>
      <c r="G245" s="108">
        <f t="shared" ref="G245:G251" si="149">F245*92</f>
        <v>64798.666666666672</v>
      </c>
      <c r="H245" s="6">
        <v>718.35</v>
      </c>
      <c r="I245" s="6">
        <v>722</v>
      </c>
      <c r="J245" s="6">
        <v>698.06</v>
      </c>
      <c r="K245" s="63">
        <f t="shared" ref="K245:K252" si="150">SUM(H245:J245)/3</f>
        <v>712.80333333333328</v>
      </c>
      <c r="L245" s="108">
        <f t="shared" ref="L245:L251" si="151">K245*92</f>
        <v>65577.906666666662</v>
      </c>
      <c r="M245" s="6">
        <v>708.45</v>
      </c>
      <c r="N245" s="73">
        <v>729.86</v>
      </c>
      <c r="O245" s="73">
        <v>725.58</v>
      </c>
      <c r="P245" s="63">
        <f t="shared" ref="P245:P252" si="152">SUM(M245:O245)/3</f>
        <v>721.29666666666662</v>
      </c>
      <c r="Q245" s="108">
        <f t="shared" ref="Q245:Q251" si="153">P245*90</f>
        <v>64916.7</v>
      </c>
      <c r="R245" s="6">
        <v>736.43</v>
      </c>
      <c r="S245" s="73">
        <v>737.19</v>
      </c>
      <c r="T245" s="74">
        <v>743.2</v>
      </c>
      <c r="U245" s="63">
        <f t="shared" ref="U245:U252" si="154">SUM(R245:T245)/3</f>
        <v>738.93999999999994</v>
      </c>
      <c r="V245" s="111">
        <f t="shared" ref="V245:V251" si="155">U245*91</f>
        <v>67243.539999999994</v>
      </c>
      <c r="W245" s="64">
        <f t="shared" ref="W245:W250" si="156">SUM(C245+D245+E245+H245+I245+J245+M245+N245+O245+R245+S245+T245)/12</f>
        <v>719.34333333333336</v>
      </c>
      <c r="X245" s="65">
        <f t="shared" ref="X245:X250" si="157">W245*365</f>
        <v>262560.31666666665</v>
      </c>
    </row>
    <row r="246" spans="1:24" ht="16.5" thickBot="1" x14ac:dyDescent="0.3">
      <c r="A246" s="50" t="s">
        <v>144</v>
      </c>
      <c r="B246" s="34"/>
      <c r="C246" s="5">
        <v>11</v>
      </c>
      <c r="D246" s="5">
        <v>10</v>
      </c>
      <c r="E246" s="5">
        <v>10</v>
      </c>
      <c r="F246" s="63">
        <f t="shared" si="148"/>
        <v>10.333333333333334</v>
      </c>
      <c r="G246" s="108">
        <f t="shared" si="149"/>
        <v>950.66666666666674</v>
      </c>
      <c r="H246" s="5">
        <v>9.58</v>
      </c>
      <c r="I246" s="5">
        <v>11</v>
      </c>
      <c r="J246" s="5">
        <v>8.9700000000000006</v>
      </c>
      <c r="K246" s="63">
        <f t="shared" si="150"/>
        <v>9.85</v>
      </c>
      <c r="L246" s="108">
        <f t="shared" si="151"/>
        <v>906.19999999999993</v>
      </c>
      <c r="M246" s="5">
        <v>11.03</v>
      </c>
      <c r="N246" s="75">
        <v>11</v>
      </c>
      <c r="O246" s="75">
        <v>10.29</v>
      </c>
      <c r="P246" s="63">
        <f t="shared" si="152"/>
        <v>10.773333333333333</v>
      </c>
      <c r="Q246" s="108">
        <f t="shared" si="153"/>
        <v>969.6</v>
      </c>
      <c r="R246" s="5">
        <v>9.43</v>
      </c>
      <c r="S246" s="75">
        <v>10.35</v>
      </c>
      <c r="T246" s="76">
        <v>11</v>
      </c>
      <c r="U246" s="63">
        <f t="shared" si="154"/>
        <v>10.26</v>
      </c>
      <c r="V246" s="111">
        <f t="shared" si="155"/>
        <v>933.66</v>
      </c>
      <c r="W246" s="64">
        <f t="shared" si="156"/>
        <v>10.304166666666667</v>
      </c>
      <c r="X246" s="66">
        <f t="shared" si="157"/>
        <v>3761.0208333333335</v>
      </c>
    </row>
    <row r="247" spans="1:24" ht="16.5" thickBot="1" x14ac:dyDescent="0.3">
      <c r="A247" s="50" t="s">
        <v>146</v>
      </c>
      <c r="B247" s="34"/>
      <c r="C247" s="5">
        <v>28</v>
      </c>
      <c r="D247" s="5">
        <v>35</v>
      </c>
      <c r="E247" s="5">
        <v>35</v>
      </c>
      <c r="F247" s="63">
        <f t="shared" si="148"/>
        <v>32.666666666666664</v>
      </c>
      <c r="G247" s="108">
        <f t="shared" si="149"/>
        <v>3005.333333333333</v>
      </c>
      <c r="H247" s="5">
        <v>36</v>
      </c>
      <c r="I247" s="5">
        <v>36</v>
      </c>
      <c r="J247" s="5">
        <v>35</v>
      </c>
      <c r="K247" s="63">
        <f t="shared" si="150"/>
        <v>35.666666666666664</v>
      </c>
      <c r="L247" s="108">
        <f t="shared" si="151"/>
        <v>3281.333333333333</v>
      </c>
      <c r="M247" s="5">
        <v>28</v>
      </c>
      <c r="N247" s="75">
        <v>27</v>
      </c>
      <c r="O247" s="75">
        <v>27</v>
      </c>
      <c r="P247" s="63">
        <f t="shared" si="152"/>
        <v>27.333333333333332</v>
      </c>
      <c r="Q247" s="108">
        <f t="shared" si="153"/>
        <v>2460</v>
      </c>
      <c r="R247" s="5">
        <v>26</v>
      </c>
      <c r="S247" s="75">
        <v>29</v>
      </c>
      <c r="T247" s="76">
        <v>29</v>
      </c>
      <c r="U247" s="63">
        <f t="shared" si="154"/>
        <v>28</v>
      </c>
      <c r="V247" s="111">
        <f t="shared" si="155"/>
        <v>2548</v>
      </c>
      <c r="W247" s="64">
        <f t="shared" si="156"/>
        <v>30.916666666666668</v>
      </c>
      <c r="X247" s="65">
        <f t="shared" si="157"/>
        <v>11284.583333333334</v>
      </c>
    </row>
    <row r="248" spans="1:24" ht="16.5" thickBot="1" x14ac:dyDescent="0.3">
      <c r="A248" s="50" t="s">
        <v>145</v>
      </c>
      <c r="B248" s="34"/>
      <c r="C248" s="5">
        <v>224</v>
      </c>
      <c r="D248" s="5">
        <v>229</v>
      </c>
      <c r="E248" s="5">
        <v>236</v>
      </c>
      <c r="F248" s="63">
        <f t="shared" si="148"/>
        <v>229.66666666666666</v>
      </c>
      <c r="G248" s="108">
        <f t="shared" si="149"/>
        <v>21129.333333333332</v>
      </c>
      <c r="H248" s="5">
        <v>250</v>
      </c>
      <c r="I248" s="5">
        <v>253</v>
      </c>
      <c r="J248" s="5">
        <v>229</v>
      </c>
      <c r="K248" s="63">
        <f t="shared" si="150"/>
        <v>244</v>
      </c>
      <c r="L248" s="108">
        <f t="shared" si="151"/>
        <v>22448</v>
      </c>
      <c r="M248" s="5">
        <v>241</v>
      </c>
      <c r="N248" s="75">
        <v>263</v>
      </c>
      <c r="O248" s="75">
        <v>260</v>
      </c>
      <c r="P248" s="63">
        <f t="shared" si="152"/>
        <v>254.66666666666666</v>
      </c>
      <c r="Q248" s="108">
        <f t="shared" si="153"/>
        <v>22920</v>
      </c>
      <c r="R248" s="5">
        <v>278</v>
      </c>
      <c r="S248" s="75">
        <v>289</v>
      </c>
      <c r="T248" s="76">
        <v>284</v>
      </c>
      <c r="U248" s="63">
        <f t="shared" si="154"/>
        <v>283.66666666666669</v>
      </c>
      <c r="V248" s="111">
        <f t="shared" si="155"/>
        <v>25813.666666666668</v>
      </c>
      <c r="W248" s="64">
        <f t="shared" si="156"/>
        <v>253</v>
      </c>
      <c r="X248" s="66">
        <f t="shared" si="157"/>
        <v>92345</v>
      </c>
    </row>
    <row r="249" spans="1:24" ht="16.5" thickBot="1" x14ac:dyDescent="0.3">
      <c r="A249" s="50" t="s">
        <v>352</v>
      </c>
      <c r="B249" s="34"/>
      <c r="C249" s="5">
        <v>765</v>
      </c>
      <c r="D249" s="5">
        <v>764</v>
      </c>
      <c r="E249" s="5">
        <v>764</v>
      </c>
      <c r="F249" s="63">
        <f t="shared" si="148"/>
        <v>764.33333333333337</v>
      </c>
      <c r="G249" s="108">
        <f t="shared" si="149"/>
        <v>70318.666666666672</v>
      </c>
      <c r="H249" s="5">
        <v>756</v>
      </c>
      <c r="I249" s="5">
        <v>750</v>
      </c>
      <c r="J249" s="5">
        <v>809</v>
      </c>
      <c r="K249" s="63">
        <f t="shared" si="150"/>
        <v>771.66666666666663</v>
      </c>
      <c r="L249" s="108">
        <f t="shared" si="151"/>
        <v>70993.333333333328</v>
      </c>
      <c r="M249" s="5">
        <v>830</v>
      </c>
      <c r="N249" s="75">
        <v>849</v>
      </c>
      <c r="O249" s="75">
        <v>867</v>
      </c>
      <c r="P249" s="63">
        <f t="shared" si="152"/>
        <v>848.66666666666663</v>
      </c>
      <c r="Q249" s="108">
        <f t="shared" si="153"/>
        <v>76380</v>
      </c>
      <c r="R249" s="5">
        <v>879</v>
      </c>
      <c r="S249" s="75">
        <v>892</v>
      </c>
      <c r="T249" s="76">
        <v>899</v>
      </c>
      <c r="U249" s="63">
        <f t="shared" si="154"/>
        <v>890</v>
      </c>
      <c r="V249" s="111">
        <f t="shared" si="155"/>
        <v>80990</v>
      </c>
      <c r="W249" s="64">
        <f t="shared" si="156"/>
        <v>818.66666666666663</v>
      </c>
      <c r="X249" s="65">
        <f t="shared" si="157"/>
        <v>298813.33333333331</v>
      </c>
    </row>
    <row r="250" spans="1:24" ht="16.5" thickBot="1" x14ac:dyDescent="0.3">
      <c r="A250" s="50" t="s">
        <v>148</v>
      </c>
      <c r="B250" s="34"/>
      <c r="C250" s="5">
        <v>17</v>
      </c>
      <c r="D250" s="5">
        <v>17</v>
      </c>
      <c r="E250" s="5">
        <v>16</v>
      </c>
      <c r="F250" s="63">
        <f t="shared" si="148"/>
        <v>16.666666666666668</v>
      </c>
      <c r="G250" s="108">
        <f t="shared" si="149"/>
        <v>1533.3333333333335</v>
      </c>
      <c r="H250" s="5">
        <v>16</v>
      </c>
      <c r="I250" s="5">
        <v>16</v>
      </c>
      <c r="J250" s="5">
        <v>16</v>
      </c>
      <c r="K250" s="63">
        <f t="shared" si="150"/>
        <v>16</v>
      </c>
      <c r="L250" s="108">
        <f t="shared" si="151"/>
        <v>1472</v>
      </c>
      <c r="M250" s="5">
        <v>16</v>
      </c>
      <c r="N250" s="75">
        <v>16</v>
      </c>
      <c r="O250" s="75">
        <v>16</v>
      </c>
      <c r="P250" s="63">
        <f t="shared" si="152"/>
        <v>16</v>
      </c>
      <c r="Q250" s="108">
        <f t="shared" si="153"/>
        <v>1440</v>
      </c>
      <c r="R250" s="5">
        <v>17</v>
      </c>
      <c r="S250" s="75">
        <v>19</v>
      </c>
      <c r="T250" s="76">
        <v>19</v>
      </c>
      <c r="U250" s="63">
        <f t="shared" si="154"/>
        <v>18.333333333333332</v>
      </c>
      <c r="V250" s="112">
        <f t="shared" si="155"/>
        <v>1668.3333333333333</v>
      </c>
      <c r="W250" s="64">
        <f t="shared" si="156"/>
        <v>16.75</v>
      </c>
      <c r="X250" s="66">
        <f t="shared" si="157"/>
        <v>6113.75</v>
      </c>
    </row>
    <row r="251" spans="1:24" ht="16.5" thickBot="1" x14ac:dyDescent="0.3">
      <c r="A251" s="53" t="s">
        <v>152</v>
      </c>
      <c r="B251" s="37"/>
      <c r="C251" s="80">
        <f>SUM(C245:C250)</f>
        <v>1733</v>
      </c>
      <c r="D251" s="80">
        <f>SUM(D245:D250)</f>
        <v>1761</v>
      </c>
      <c r="E251" s="80">
        <f>SUM(E245:E250)</f>
        <v>1780</v>
      </c>
      <c r="F251" s="68">
        <f t="shared" si="148"/>
        <v>1758</v>
      </c>
      <c r="G251" s="108">
        <f t="shared" si="149"/>
        <v>161736</v>
      </c>
      <c r="H251" s="94">
        <f>SUM(H245:H250)</f>
        <v>1785.93</v>
      </c>
      <c r="I251" s="80">
        <f>SUM(I245:I250)</f>
        <v>1788</v>
      </c>
      <c r="J251" s="80">
        <f>SUM(J245:J250)</f>
        <v>1796.03</v>
      </c>
      <c r="K251" s="68">
        <f t="shared" si="150"/>
        <v>1789.9866666666667</v>
      </c>
      <c r="L251" s="119">
        <f t="shared" si="151"/>
        <v>164678.77333333335</v>
      </c>
      <c r="M251" s="94">
        <f>SUM(M245:M250)</f>
        <v>1834.48</v>
      </c>
      <c r="N251" s="80">
        <f>SUM(N245:N250)</f>
        <v>1895.8600000000001</v>
      </c>
      <c r="O251" s="80">
        <f>SUM(O245:O250)</f>
        <v>1905.87</v>
      </c>
      <c r="P251" s="68">
        <f t="shared" si="152"/>
        <v>1878.7366666666667</v>
      </c>
      <c r="Q251" s="108">
        <f t="shared" si="153"/>
        <v>169086.3</v>
      </c>
      <c r="R251" s="94">
        <f>SUM(R245:R250)</f>
        <v>1945.86</v>
      </c>
      <c r="S251" s="80">
        <f>SUM(S245:S250)</f>
        <v>1976.54</v>
      </c>
      <c r="T251" s="81">
        <f>SUM(T245:T250)</f>
        <v>1985.2</v>
      </c>
      <c r="U251" s="68">
        <f t="shared" si="154"/>
        <v>1969.1999999999998</v>
      </c>
      <c r="V251" s="120">
        <f t="shared" si="155"/>
        <v>179197.19999999998</v>
      </c>
      <c r="W251" s="69">
        <f>SUM(W245:W250)</f>
        <v>1848.9808333333333</v>
      </c>
      <c r="X251" s="69">
        <f>SUM(X245:X250)</f>
        <v>674878.00416666665</v>
      </c>
    </row>
    <row r="252" spans="1:24" ht="16.5" thickBot="1" x14ac:dyDescent="0.3">
      <c r="A252" s="54" t="s">
        <v>156</v>
      </c>
      <c r="B252" s="38"/>
      <c r="C252" s="80">
        <f>C243+C251</f>
        <v>5370.7420000000002</v>
      </c>
      <c r="D252" s="80">
        <f>D243+D251</f>
        <v>5470</v>
      </c>
      <c r="E252" s="80">
        <f>E243+E251</f>
        <v>5543</v>
      </c>
      <c r="F252" s="80">
        <f>F243+F251</f>
        <v>5461.2473333333328</v>
      </c>
      <c r="G252" s="68">
        <f>SUM(G243+G251)</f>
        <v>502434.75466666667</v>
      </c>
      <c r="H252" s="80">
        <f>H243+H251</f>
        <v>5615.3370000000004</v>
      </c>
      <c r="I252" s="80">
        <f>I243+I251</f>
        <v>5622.973</v>
      </c>
      <c r="J252" s="80">
        <f>J243+J251</f>
        <v>5516.9059999999999</v>
      </c>
      <c r="K252" s="120">
        <f t="shared" si="150"/>
        <v>5585.0720000000001</v>
      </c>
      <c r="L252" s="68">
        <f>SUM(L243+L251)</f>
        <v>513826.62399999995</v>
      </c>
      <c r="M252" s="94">
        <f>M243+M251</f>
        <v>5592.6490000000003</v>
      </c>
      <c r="N252" s="80">
        <f>N243+N251</f>
        <v>5694.8130000000001</v>
      </c>
      <c r="O252" s="80">
        <f>O243+O251</f>
        <v>5692.8369999999995</v>
      </c>
      <c r="P252" s="99">
        <f t="shared" si="152"/>
        <v>5660.0996666666661</v>
      </c>
      <c r="Q252" s="68">
        <f>SUM(Q243+Q251)</f>
        <v>509408.97</v>
      </c>
      <c r="R252" s="94">
        <f>R243+R251</f>
        <v>5717.5029999999997</v>
      </c>
      <c r="S252" s="80">
        <f>S243+S251</f>
        <v>5715.369999999999</v>
      </c>
      <c r="T252" s="81">
        <f>T243+T251</f>
        <v>5674.8700000000008</v>
      </c>
      <c r="U252" s="99">
        <f t="shared" si="154"/>
        <v>5702.581000000001</v>
      </c>
      <c r="V252" s="68">
        <f>SUM(V243+V251)</f>
        <v>518934.87099999993</v>
      </c>
      <c r="W252" s="80">
        <f>W243+W251</f>
        <v>5602.25</v>
      </c>
      <c r="X252" s="82">
        <f>X243+X251</f>
        <v>2044821.2499999998</v>
      </c>
    </row>
    <row r="253" spans="1:24" ht="15.75" x14ac:dyDescent="0.25">
      <c r="A253" s="114"/>
      <c r="B253" s="19"/>
      <c r="C253" s="115"/>
      <c r="D253" s="115"/>
      <c r="E253" s="115"/>
      <c r="F253" s="115"/>
      <c r="G253" s="113"/>
      <c r="H253" s="115"/>
      <c r="I253" s="115"/>
      <c r="J253" s="115"/>
      <c r="K253" s="139"/>
      <c r="L253" s="113"/>
      <c r="M253" s="115"/>
      <c r="N253" s="115"/>
      <c r="O253" s="115"/>
      <c r="P253" s="93"/>
      <c r="Q253" s="113"/>
      <c r="R253" s="115"/>
      <c r="S253" s="115"/>
      <c r="T253" s="115"/>
      <c r="U253" s="93"/>
      <c r="V253" s="113"/>
      <c r="W253" s="115"/>
      <c r="X253" s="115"/>
    </row>
    <row r="255" spans="1:24" ht="16.5" thickBot="1" x14ac:dyDescent="0.25">
      <c r="A255" s="45" t="s">
        <v>155</v>
      </c>
      <c r="B255" s="10"/>
      <c r="C255" s="13"/>
      <c r="D255" s="13"/>
      <c r="E255" s="13"/>
      <c r="F255" s="13"/>
      <c r="G255" s="13"/>
      <c r="H255" s="13"/>
      <c r="I255" s="13"/>
      <c r="J255" s="13"/>
      <c r="K255" s="13"/>
      <c r="L255" s="13"/>
      <c r="M255" s="13"/>
      <c r="N255" s="13"/>
      <c r="O255" s="13"/>
      <c r="P255" s="13"/>
      <c r="Q255" s="13"/>
      <c r="R255" s="13"/>
      <c r="S255" s="13"/>
      <c r="T255" s="13"/>
      <c r="U255" s="13"/>
      <c r="V255" s="13"/>
      <c r="W255" s="13"/>
      <c r="X255" s="13"/>
    </row>
    <row r="256" spans="1:24" ht="16.5" thickBot="1" x14ac:dyDescent="0.3">
      <c r="A256" s="32" t="s">
        <v>295</v>
      </c>
      <c r="B256" s="1200" t="s">
        <v>153</v>
      </c>
      <c r="C256" s="1201"/>
      <c r="D256" s="1201"/>
      <c r="E256" s="1201"/>
      <c r="F256" s="1201"/>
      <c r="G256" s="1201"/>
      <c r="H256" s="1201"/>
      <c r="I256" s="1201"/>
      <c r="J256" s="1201"/>
      <c r="K256" s="1201"/>
      <c r="L256" s="1201"/>
      <c r="M256" s="1201"/>
      <c r="N256" s="1201"/>
      <c r="O256" s="1201"/>
      <c r="P256" s="1201"/>
      <c r="Q256" s="1201"/>
      <c r="R256" s="1201"/>
      <c r="S256" s="1201"/>
      <c r="T256" s="1201"/>
      <c r="U256" s="39"/>
      <c r="V256" s="39"/>
      <c r="W256" s="92"/>
      <c r="X256" s="13"/>
    </row>
    <row r="257" spans="1:24" ht="15.75" x14ac:dyDescent="0.25">
      <c r="A257" s="11"/>
      <c r="B257" s="40" t="s">
        <v>261</v>
      </c>
      <c r="C257" s="57"/>
      <c r="D257" s="58"/>
      <c r="E257" s="58"/>
      <c r="F257" s="1192" t="s">
        <v>258</v>
      </c>
      <c r="G257" s="1184" t="s">
        <v>278</v>
      </c>
      <c r="H257" s="58"/>
      <c r="I257" s="58"/>
      <c r="J257" s="58"/>
      <c r="K257" s="1192" t="s">
        <v>258</v>
      </c>
      <c r="L257" s="1184" t="s">
        <v>278</v>
      </c>
      <c r="M257" s="58"/>
      <c r="N257" s="58"/>
      <c r="O257" s="58"/>
      <c r="P257" s="1192" t="s">
        <v>258</v>
      </c>
      <c r="Q257" s="1184" t="s">
        <v>278</v>
      </c>
      <c r="R257" s="58"/>
      <c r="S257" s="58"/>
      <c r="T257" s="59"/>
      <c r="U257" s="1192" t="s">
        <v>258</v>
      </c>
      <c r="V257" s="1184" t="s">
        <v>278</v>
      </c>
      <c r="W257" s="1186" t="s">
        <v>154</v>
      </c>
      <c r="X257" s="1188" t="s">
        <v>155</v>
      </c>
    </row>
    <row r="258" spans="1:24" ht="24" customHeight="1" thickBot="1" x14ac:dyDescent="0.3">
      <c r="A258" s="47" t="s">
        <v>56</v>
      </c>
      <c r="B258" s="41" t="s">
        <v>262</v>
      </c>
      <c r="C258" s="60">
        <v>39630</v>
      </c>
      <c r="D258" s="61">
        <v>39661</v>
      </c>
      <c r="E258" s="61">
        <v>39692</v>
      </c>
      <c r="F258" s="1193"/>
      <c r="G258" s="1185"/>
      <c r="H258" s="61">
        <v>39722</v>
      </c>
      <c r="I258" s="61">
        <v>39753</v>
      </c>
      <c r="J258" s="61">
        <v>39783</v>
      </c>
      <c r="K258" s="1193"/>
      <c r="L258" s="1185"/>
      <c r="M258" s="61">
        <v>39814</v>
      </c>
      <c r="N258" s="61">
        <v>39845</v>
      </c>
      <c r="O258" s="61">
        <v>39873</v>
      </c>
      <c r="P258" s="1193"/>
      <c r="Q258" s="1185"/>
      <c r="R258" s="61">
        <v>39904</v>
      </c>
      <c r="S258" s="61">
        <v>39934</v>
      </c>
      <c r="T258" s="62">
        <v>39965</v>
      </c>
      <c r="U258" s="1193"/>
      <c r="V258" s="1185"/>
      <c r="W258" s="1187"/>
      <c r="X258" s="1189"/>
    </row>
    <row r="259" spans="1:24" ht="20.25" customHeight="1" thickBot="1" x14ac:dyDescent="0.3">
      <c r="A259" s="48" t="s">
        <v>291</v>
      </c>
      <c r="B259" s="42" t="s">
        <v>296</v>
      </c>
      <c r="C259" s="125">
        <v>467.9</v>
      </c>
      <c r="D259" s="125">
        <v>486.39</v>
      </c>
      <c r="E259" s="117">
        <v>477.47</v>
      </c>
      <c r="F259" s="63">
        <f t="shared" ref="F259:F273" si="158">SUM(C259:E259)/3</f>
        <v>477.25333333333333</v>
      </c>
      <c r="G259" s="108">
        <f t="shared" ref="G259:G273" si="159">F259*92</f>
        <v>43907.306666666664</v>
      </c>
      <c r="H259" s="117">
        <v>448.23</v>
      </c>
      <c r="I259" s="117">
        <v>467</v>
      </c>
      <c r="J259" s="117">
        <v>414.39</v>
      </c>
      <c r="K259" s="63">
        <f t="shared" ref="K259:K273" si="160">SUM(H259:J259)/3</f>
        <v>443.20666666666665</v>
      </c>
      <c r="L259" s="108">
        <f t="shared" ref="L259:L273" si="161">K259*92</f>
        <v>40775.013333333329</v>
      </c>
      <c r="M259" s="117">
        <v>423.19</v>
      </c>
      <c r="N259" s="85">
        <v>432.79</v>
      </c>
      <c r="O259" s="85">
        <v>432.65</v>
      </c>
      <c r="P259" s="63">
        <f t="shared" ref="P259:P273" si="162">SUM(M259:O259)/3</f>
        <v>429.54333333333335</v>
      </c>
      <c r="Q259" s="108">
        <f>P259*90</f>
        <v>38658.9</v>
      </c>
      <c r="R259" s="117">
        <v>432.3</v>
      </c>
      <c r="S259" s="85">
        <v>427.16</v>
      </c>
      <c r="T259" s="135">
        <v>426.87</v>
      </c>
      <c r="U259" s="63">
        <f t="shared" ref="U259:U273" si="163">SUM(R259:T259)/3</f>
        <v>428.77666666666664</v>
      </c>
      <c r="V259" s="111">
        <f t="shared" ref="V259:V273" si="164">U259*91</f>
        <v>39018.676666666666</v>
      </c>
      <c r="W259" s="64">
        <f t="shared" ref="W259:W273" si="165">SUM(C259+D259+E259+H259+I259+J259+M259+N259+O259+R259+S259+T259)/12</f>
        <v>444.69499999999994</v>
      </c>
      <c r="X259" s="65">
        <f>W259*365</f>
        <v>162313.67499999999</v>
      </c>
    </row>
    <row r="260" spans="1:24" ht="16.5" thickBot="1" x14ac:dyDescent="0.3">
      <c r="A260" s="49" t="s">
        <v>138</v>
      </c>
      <c r="B260" s="43" t="s">
        <v>264</v>
      </c>
      <c r="C260" s="126">
        <v>126.48</v>
      </c>
      <c r="D260" s="126">
        <v>123.61</v>
      </c>
      <c r="E260" s="118">
        <v>112.5</v>
      </c>
      <c r="F260" s="63">
        <f t="shared" si="158"/>
        <v>120.86333333333334</v>
      </c>
      <c r="G260" s="108">
        <f t="shared" si="159"/>
        <v>11119.426666666668</v>
      </c>
      <c r="H260" s="118">
        <v>104.61</v>
      </c>
      <c r="I260" s="118">
        <v>113.93</v>
      </c>
      <c r="J260" s="118">
        <v>109.29</v>
      </c>
      <c r="K260" s="63">
        <f t="shared" si="160"/>
        <v>109.27666666666669</v>
      </c>
      <c r="L260" s="108">
        <f t="shared" si="161"/>
        <v>10053.453333333335</v>
      </c>
      <c r="M260" s="118">
        <v>96.225999999999999</v>
      </c>
      <c r="N260" s="86">
        <v>104.68</v>
      </c>
      <c r="O260" s="86">
        <v>110.06</v>
      </c>
      <c r="P260" s="63">
        <f t="shared" si="162"/>
        <v>103.65533333333333</v>
      </c>
      <c r="Q260" s="108">
        <f>P260*90</f>
        <v>9328.98</v>
      </c>
      <c r="R260" s="3">
        <v>107.67</v>
      </c>
      <c r="S260" s="87">
        <v>100.48</v>
      </c>
      <c r="T260" s="90">
        <v>109.4</v>
      </c>
      <c r="U260" s="63">
        <f t="shared" si="163"/>
        <v>105.85000000000001</v>
      </c>
      <c r="V260" s="111">
        <f t="shared" si="164"/>
        <v>9632.35</v>
      </c>
      <c r="W260" s="64">
        <f>SUM(C260+D260+E260+H260+I260+J260+M260+N260+O260+R260+S260+T260)/12</f>
        <v>109.91133333333335</v>
      </c>
      <c r="X260" s="65">
        <f>W260*365</f>
        <v>40117.636666666673</v>
      </c>
    </row>
    <row r="261" spans="1:24" ht="16.5" thickBot="1" x14ac:dyDescent="0.3">
      <c r="A261" s="50" t="s">
        <v>292</v>
      </c>
      <c r="B261" s="44" t="s">
        <v>297</v>
      </c>
      <c r="C261" s="4">
        <v>470.97</v>
      </c>
      <c r="D261" s="4">
        <v>481.03</v>
      </c>
      <c r="E261" s="3">
        <v>436.63</v>
      </c>
      <c r="F261" s="63">
        <f t="shared" si="158"/>
        <v>462.87666666666672</v>
      </c>
      <c r="G261" s="108">
        <f t="shared" si="159"/>
        <v>42584.653333333335</v>
      </c>
      <c r="H261" s="3">
        <v>435.42</v>
      </c>
      <c r="I261" s="3">
        <v>454.1</v>
      </c>
      <c r="J261" s="3">
        <v>425</v>
      </c>
      <c r="K261" s="63">
        <f t="shared" si="160"/>
        <v>438.17333333333335</v>
      </c>
      <c r="L261" s="108">
        <f t="shared" si="161"/>
        <v>40311.94666666667</v>
      </c>
      <c r="M261" s="3">
        <v>438.58</v>
      </c>
      <c r="N261" s="87">
        <v>426.93</v>
      </c>
      <c r="O261" s="87">
        <v>435</v>
      </c>
      <c r="P261" s="63">
        <f t="shared" si="162"/>
        <v>433.50333333333333</v>
      </c>
      <c r="Q261" s="108">
        <f t="shared" ref="Q261:Q272" si="166">P261*90</f>
        <v>39015.300000000003</v>
      </c>
      <c r="R261" s="118">
        <v>429.2</v>
      </c>
      <c r="S261" s="86">
        <v>410.42</v>
      </c>
      <c r="T261" s="89">
        <v>401.13</v>
      </c>
      <c r="U261" s="63">
        <f t="shared" si="163"/>
        <v>413.58333333333331</v>
      </c>
      <c r="V261" s="111">
        <f t="shared" si="164"/>
        <v>37636.083333333328</v>
      </c>
      <c r="W261" s="64">
        <f t="shared" si="165"/>
        <v>437.03416666666664</v>
      </c>
      <c r="X261" s="65">
        <f t="shared" ref="X261:X272" si="167">W261*365</f>
        <v>159517.47083333333</v>
      </c>
    </row>
    <row r="262" spans="1:24" ht="16.5" thickBot="1" x14ac:dyDescent="0.3">
      <c r="A262" s="50" t="s">
        <v>309</v>
      </c>
      <c r="B262" s="44" t="s">
        <v>298</v>
      </c>
      <c r="C262" s="4">
        <v>285.83999999999997</v>
      </c>
      <c r="D262" s="4">
        <v>289.52</v>
      </c>
      <c r="E262" s="3">
        <v>304.02999999999997</v>
      </c>
      <c r="F262" s="63">
        <f t="shared" si="158"/>
        <v>293.12999999999994</v>
      </c>
      <c r="G262" s="108">
        <f t="shared" si="159"/>
        <v>26967.959999999995</v>
      </c>
      <c r="H262" s="3">
        <v>286.68</v>
      </c>
      <c r="I262" s="3">
        <v>269.33</v>
      </c>
      <c r="J262" s="3">
        <v>227.06</v>
      </c>
      <c r="K262" s="63">
        <f t="shared" si="160"/>
        <v>261.02333333333331</v>
      </c>
      <c r="L262" s="108">
        <f t="shared" si="161"/>
        <v>24014.146666666664</v>
      </c>
      <c r="M262" s="3">
        <v>233.35</v>
      </c>
      <c r="N262" s="87">
        <v>234.71</v>
      </c>
      <c r="O262" s="87">
        <v>245.81</v>
      </c>
      <c r="P262" s="63">
        <f t="shared" si="162"/>
        <v>237.95666666666668</v>
      </c>
      <c r="Q262" s="108">
        <f t="shared" si="166"/>
        <v>21416.100000000002</v>
      </c>
      <c r="R262" s="3">
        <v>244.37</v>
      </c>
      <c r="S262" s="87">
        <v>242.58</v>
      </c>
      <c r="T262" s="90">
        <v>253.1</v>
      </c>
      <c r="U262" s="63">
        <f t="shared" si="163"/>
        <v>246.68333333333337</v>
      </c>
      <c r="V262" s="111">
        <f t="shared" si="164"/>
        <v>22448.183333333338</v>
      </c>
      <c r="W262" s="64">
        <f t="shared" si="165"/>
        <v>259.69833333333327</v>
      </c>
      <c r="X262" s="65">
        <f t="shared" si="167"/>
        <v>94789.891666666648</v>
      </c>
    </row>
    <row r="263" spans="1:24" ht="16.5" thickBot="1" x14ac:dyDescent="0.3">
      <c r="A263" s="51" t="s">
        <v>275</v>
      </c>
      <c r="B263" s="44" t="s">
        <v>299</v>
      </c>
      <c r="C263" s="4">
        <v>374.58</v>
      </c>
      <c r="D263" s="4">
        <v>369.9</v>
      </c>
      <c r="E263" s="3">
        <v>360.63</v>
      </c>
      <c r="F263" s="63">
        <f t="shared" si="158"/>
        <v>368.37000000000006</v>
      </c>
      <c r="G263" s="108">
        <f t="shared" si="159"/>
        <v>33890.040000000008</v>
      </c>
      <c r="H263" s="3">
        <v>353.16</v>
      </c>
      <c r="I263" s="3">
        <v>341.63</v>
      </c>
      <c r="J263" s="3">
        <v>331.35</v>
      </c>
      <c r="K263" s="63">
        <f t="shared" si="160"/>
        <v>342.04666666666662</v>
      </c>
      <c r="L263" s="108">
        <f t="shared" si="161"/>
        <v>31468.293333333328</v>
      </c>
      <c r="M263" s="3">
        <v>325.02999999999997</v>
      </c>
      <c r="N263" s="87">
        <v>349.21</v>
      </c>
      <c r="O263" s="87">
        <v>360.71</v>
      </c>
      <c r="P263" s="63">
        <f t="shared" si="162"/>
        <v>344.98333333333335</v>
      </c>
      <c r="Q263" s="108">
        <f t="shared" si="166"/>
        <v>31048.5</v>
      </c>
      <c r="R263" s="3">
        <v>359.17</v>
      </c>
      <c r="S263" s="87">
        <v>362.71</v>
      </c>
      <c r="T263" s="90">
        <v>361.27</v>
      </c>
      <c r="U263" s="63">
        <f t="shared" si="163"/>
        <v>361.05</v>
      </c>
      <c r="V263" s="111">
        <f t="shared" si="164"/>
        <v>32855.550000000003</v>
      </c>
      <c r="W263" s="64">
        <f t="shared" si="165"/>
        <v>354.11250000000001</v>
      </c>
      <c r="X263" s="65">
        <f t="shared" si="167"/>
        <v>129251.0625</v>
      </c>
    </row>
    <row r="264" spans="1:24" ht="16.5" thickBot="1" x14ac:dyDescent="0.3">
      <c r="A264" s="50" t="s">
        <v>16</v>
      </c>
      <c r="B264" s="44" t="s">
        <v>268</v>
      </c>
      <c r="C264" s="4">
        <v>51.581000000000003</v>
      </c>
      <c r="D264" s="4">
        <v>49.774000000000001</v>
      </c>
      <c r="E264" s="3">
        <v>50.1</v>
      </c>
      <c r="F264" s="63">
        <f t="shared" si="158"/>
        <v>50.485000000000007</v>
      </c>
      <c r="G264" s="108">
        <f t="shared" si="159"/>
        <v>4644.6200000000008</v>
      </c>
      <c r="H264" s="3">
        <v>53.871000000000002</v>
      </c>
      <c r="I264" s="3">
        <v>44.866999999999997</v>
      </c>
      <c r="J264" s="3">
        <v>45.194000000000003</v>
      </c>
      <c r="K264" s="63">
        <f t="shared" si="160"/>
        <v>47.977333333333341</v>
      </c>
      <c r="L264" s="108">
        <f t="shared" si="161"/>
        <v>4413.9146666666675</v>
      </c>
      <c r="M264" s="3">
        <v>45.71</v>
      </c>
      <c r="N264" s="87">
        <v>48.786000000000001</v>
      </c>
      <c r="O264" s="87">
        <v>48.031999999999996</v>
      </c>
      <c r="P264" s="63">
        <f t="shared" si="162"/>
        <v>47.509333333333338</v>
      </c>
      <c r="Q264" s="108">
        <f t="shared" si="166"/>
        <v>4275.84</v>
      </c>
      <c r="R264" s="3">
        <v>41.067</v>
      </c>
      <c r="S264" s="87">
        <v>37.258000000000003</v>
      </c>
      <c r="T264" s="90">
        <v>48.866999999999997</v>
      </c>
      <c r="U264" s="63">
        <f t="shared" si="163"/>
        <v>42.397333333333336</v>
      </c>
      <c r="V264" s="111">
        <f t="shared" si="164"/>
        <v>3858.1573333333336</v>
      </c>
      <c r="W264" s="64">
        <f t="shared" si="165"/>
        <v>47.09225</v>
      </c>
      <c r="X264" s="65">
        <f t="shared" si="167"/>
        <v>17188.671249999999</v>
      </c>
    </row>
    <row r="265" spans="1:24" ht="16.5" thickBot="1" x14ac:dyDescent="0.3">
      <c r="A265" s="50" t="s">
        <v>17</v>
      </c>
      <c r="B265" s="44" t="s">
        <v>300</v>
      </c>
      <c r="C265" s="4">
        <v>206.94</v>
      </c>
      <c r="D265" s="4">
        <v>203.1</v>
      </c>
      <c r="E265" s="3">
        <v>208.7</v>
      </c>
      <c r="F265" s="63">
        <f t="shared" si="158"/>
        <v>206.24666666666667</v>
      </c>
      <c r="G265" s="108">
        <f t="shared" si="159"/>
        <v>18974.693333333333</v>
      </c>
      <c r="H265" s="3">
        <v>201.42</v>
      </c>
      <c r="I265" s="3">
        <v>204.2</v>
      </c>
      <c r="J265" s="3">
        <v>198.1</v>
      </c>
      <c r="K265" s="63">
        <f t="shared" si="160"/>
        <v>201.24</v>
      </c>
      <c r="L265" s="108">
        <f t="shared" si="161"/>
        <v>18514.080000000002</v>
      </c>
      <c r="M265" s="3">
        <v>183.81</v>
      </c>
      <c r="N265" s="87">
        <v>195.82</v>
      </c>
      <c r="O265" s="87">
        <v>210.65</v>
      </c>
      <c r="P265" s="63">
        <f t="shared" si="162"/>
        <v>196.76</v>
      </c>
      <c r="Q265" s="108">
        <f t="shared" si="166"/>
        <v>17708.399999999998</v>
      </c>
      <c r="R265" s="3">
        <v>207.57</v>
      </c>
      <c r="S265" s="87">
        <v>192.16</v>
      </c>
      <c r="T265" s="90">
        <v>189.67</v>
      </c>
      <c r="U265" s="63">
        <f t="shared" si="163"/>
        <v>196.46666666666667</v>
      </c>
      <c r="V265" s="111">
        <f t="shared" si="164"/>
        <v>17878.466666666667</v>
      </c>
      <c r="W265" s="64">
        <f t="shared" si="165"/>
        <v>200.17833333333331</v>
      </c>
      <c r="X265" s="65">
        <f t="shared" si="167"/>
        <v>73065.09166666666</v>
      </c>
    </row>
    <row r="266" spans="1:24" ht="16.5" thickBot="1" x14ac:dyDescent="0.3">
      <c r="A266" s="50" t="s">
        <v>140</v>
      </c>
      <c r="B266" s="44" t="s">
        <v>301</v>
      </c>
      <c r="C266" s="4">
        <v>98.968000000000004</v>
      </c>
      <c r="D266" s="4">
        <v>112.03</v>
      </c>
      <c r="E266" s="3">
        <v>106.33</v>
      </c>
      <c r="F266" s="63">
        <f t="shared" si="158"/>
        <v>105.776</v>
      </c>
      <c r="G266" s="108">
        <f t="shared" si="159"/>
        <v>9731.3919999999998</v>
      </c>
      <c r="H266" s="3">
        <v>109.13</v>
      </c>
      <c r="I266" s="3">
        <v>106.3</v>
      </c>
      <c r="J266" s="3">
        <v>99.387</v>
      </c>
      <c r="K266" s="63">
        <f t="shared" si="160"/>
        <v>104.93900000000001</v>
      </c>
      <c r="L266" s="108">
        <f t="shared" si="161"/>
        <v>9654.3880000000008</v>
      </c>
      <c r="M266" s="3">
        <v>101.06</v>
      </c>
      <c r="N266" s="87">
        <v>98.856999999999999</v>
      </c>
      <c r="O266" s="87">
        <v>100.45</v>
      </c>
      <c r="P266" s="63">
        <f t="shared" si="162"/>
        <v>100.12233333333334</v>
      </c>
      <c r="Q266" s="108">
        <f t="shared" si="166"/>
        <v>9011.01</v>
      </c>
      <c r="R266" s="3">
        <v>97.73</v>
      </c>
      <c r="S266" s="87">
        <v>103.29</v>
      </c>
      <c r="T266" s="90">
        <v>106.33</v>
      </c>
      <c r="U266" s="63">
        <f t="shared" si="163"/>
        <v>102.45</v>
      </c>
      <c r="V266" s="111">
        <f t="shared" si="164"/>
        <v>9322.9500000000007</v>
      </c>
      <c r="W266" s="64">
        <f t="shared" si="165"/>
        <v>103.32183333333332</v>
      </c>
      <c r="X266" s="65">
        <f t="shared" si="167"/>
        <v>37712.469166666662</v>
      </c>
    </row>
    <row r="267" spans="1:24" ht="16.5" thickBot="1" x14ac:dyDescent="0.3">
      <c r="A267" s="51" t="s">
        <v>276</v>
      </c>
      <c r="B267" s="44" t="s">
        <v>308</v>
      </c>
      <c r="C267" s="4">
        <v>411.87</v>
      </c>
      <c r="D267" s="4">
        <v>425.16</v>
      </c>
      <c r="E267" s="3">
        <v>418.04</v>
      </c>
      <c r="F267" s="63">
        <f t="shared" si="158"/>
        <v>418.35666666666663</v>
      </c>
      <c r="G267" s="108">
        <f t="shared" si="159"/>
        <v>38488.813333333332</v>
      </c>
      <c r="H267" s="3">
        <v>427.9</v>
      </c>
      <c r="I267" s="3">
        <v>414.6</v>
      </c>
      <c r="J267" s="3">
        <v>441.81</v>
      </c>
      <c r="K267" s="63">
        <f t="shared" si="160"/>
        <v>428.1033333333333</v>
      </c>
      <c r="L267" s="108">
        <f t="shared" si="161"/>
        <v>39385.506666666661</v>
      </c>
      <c r="M267" s="3">
        <v>445.74</v>
      </c>
      <c r="N267" s="87">
        <v>486.14</v>
      </c>
      <c r="O267" s="87">
        <v>484.32</v>
      </c>
      <c r="P267" s="63">
        <f t="shared" si="162"/>
        <v>472.06666666666666</v>
      </c>
      <c r="Q267" s="108">
        <f t="shared" si="166"/>
        <v>42486</v>
      </c>
      <c r="R267" s="3">
        <v>462.17</v>
      </c>
      <c r="S267" s="87">
        <v>430.94</v>
      </c>
      <c r="T267" s="90">
        <v>468.4</v>
      </c>
      <c r="U267" s="63">
        <f t="shared" si="163"/>
        <v>453.83666666666664</v>
      </c>
      <c r="V267" s="111">
        <f t="shared" si="164"/>
        <v>41299.136666666665</v>
      </c>
      <c r="W267" s="64">
        <f t="shared" si="165"/>
        <v>443.09083333333325</v>
      </c>
      <c r="X267" s="65">
        <f t="shared" si="167"/>
        <v>161728.15416666665</v>
      </c>
    </row>
    <row r="268" spans="1:24" ht="16.5" thickBot="1" x14ac:dyDescent="0.3">
      <c r="A268" s="50" t="s">
        <v>149</v>
      </c>
      <c r="B268" s="121" t="s">
        <v>302</v>
      </c>
      <c r="C268" s="4">
        <v>112.32</v>
      </c>
      <c r="D268" s="4">
        <v>117.32</v>
      </c>
      <c r="E268" s="3">
        <v>121.87</v>
      </c>
      <c r="F268" s="63">
        <f t="shared" si="158"/>
        <v>117.17</v>
      </c>
      <c r="G268" s="108">
        <f t="shared" si="159"/>
        <v>10779.64</v>
      </c>
      <c r="H268" s="3">
        <v>113.52</v>
      </c>
      <c r="I268" s="3">
        <v>110.97</v>
      </c>
      <c r="J268" s="3">
        <v>123.68</v>
      </c>
      <c r="K268" s="63">
        <f t="shared" si="160"/>
        <v>116.05666666666667</v>
      </c>
      <c r="L268" s="108">
        <f t="shared" si="161"/>
        <v>10677.213333333333</v>
      </c>
      <c r="M268" s="3">
        <v>115.9</v>
      </c>
      <c r="N268" s="87">
        <v>124.39</v>
      </c>
      <c r="O268" s="87">
        <v>126.29</v>
      </c>
      <c r="P268" s="63">
        <f t="shared" si="162"/>
        <v>122.19333333333334</v>
      </c>
      <c r="Q268" s="108">
        <f t="shared" si="166"/>
        <v>10997.400000000001</v>
      </c>
      <c r="R268" s="3">
        <v>114.2</v>
      </c>
      <c r="S268" s="87">
        <v>119.03</v>
      </c>
      <c r="T268" s="90">
        <v>112.23</v>
      </c>
      <c r="U268" s="63">
        <f t="shared" si="163"/>
        <v>115.15333333333335</v>
      </c>
      <c r="V268" s="111">
        <f t="shared" si="164"/>
        <v>10478.953333333335</v>
      </c>
      <c r="W268" s="64">
        <f t="shared" si="165"/>
        <v>117.64333333333333</v>
      </c>
      <c r="X268" s="65">
        <f t="shared" si="167"/>
        <v>42939.816666666666</v>
      </c>
    </row>
    <row r="269" spans="1:24" ht="16.5" thickBot="1" x14ac:dyDescent="0.3">
      <c r="A269" s="49" t="s">
        <v>20</v>
      </c>
      <c r="B269" s="43" t="s">
        <v>303</v>
      </c>
      <c r="C269" s="126">
        <v>538.13</v>
      </c>
      <c r="D269" s="126">
        <v>490.65</v>
      </c>
      <c r="E269" s="118">
        <v>508.17</v>
      </c>
      <c r="F269" s="63">
        <f t="shared" si="158"/>
        <v>512.31666666666672</v>
      </c>
      <c r="G269" s="108">
        <f t="shared" si="159"/>
        <v>47133.133333333339</v>
      </c>
      <c r="H269" s="118">
        <v>541.19000000000005</v>
      </c>
      <c r="I269" s="3">
        <v>523.13</v>
      </c>
      <c r="J269" s="118">
        <v>554.32000000000005</v>
      </c>
      <c r="K269" s="63">
        <f t="shared" si="160"/>
        <v>539.54666666666674</v>
      </c>
      <c r="L269" s="111">
        <f t="shared" si="161"/>
        <v>49638.293333333342</v>
      </c>
      <c r="M269" s="3">
        <v>547.19000000000005</v>
      </c>
      <c r="N269" s="86">
        <v>537.17999999999995</v>
      </c>
      <c r="O269" s="86">
        <v>549.80999999999995</v>
      </c>
      <c r="P269" s="63">
        <f t="shared" si="162"/>
        <v>544.72666666666657</v>
      </c>
      <c r="Q269" s="108">
        <f t="shared" si="166"/>
        <v>49025.399999999994</v>
      </c>
      <c r="R269" s="3">
        <v>555.20000000000005</v>
      </c>
      <c r="S269" s="86">
        <v>534.58000000000004</v>
      </c>
      <c r="T269" s="89">
        <v>541.4</v>
      </c>
      <c r="U269" s="63">
        <f t="shared" si="163"/>
        <v>543.7266666666668</v>
      </c>
      <c r="V269" s="111">
        <f t="shared" si="164"/>
        <v>49479.126666666678</v>
      </c>
      <c r="W269" s="64">
        <f t="shared" si="165"/>
        <v>535.07916666666665</v>
      </c>
      <c r="X269" s="65">
        <f t="shared" si="167"/>
        <v>195303.89583333331</v>
      </c>
    </row>
    <row r="270" spans="1:24" ht="16.5" thickBot="1" x14ac:dyDescent="0.3">
      <c r="A270" s="51" t="s">
        <v>277</v>
      </c>
      <c r="B270" s="44" t="s">
        <v>304</v>
      </c>
      <c r="C270" s="4">
        <v>362.71</v>
      </c>
      <c r="D270" s="4">
        <v>345.96</v>
      </c>
      <c r="E270" s="3">
        <v>361.83</v>
      </c>
      <c r="F270" s="63">
        <f t="shared" si="158"/>
        <v>356.83333333333331</v>
      </c>
      <c r="G270" s="108">
        <f t="shared" si="159"/>
        <v>32828.666666666664</v>
      </c>
      <c r="H270" s="3">
        <v>360.49</v>
      </c>
      <c r="I270" s="3">
        <v>361.97</v>
      </c>
      <c r="J270" s="3">
        <v>361.13</v>
      </c>
      <c r="K270" s="63">
        <f t="shared" si="160"/>
        <v>361.19666666666672</v>
      </c>
      <c r="L270" s="108">
        <f t="shared" si="161"/>
        <v>33230.093333333338</v>
      </c>
      <c r="M270" s="3">
        <v>380.74</v>
      </c>
      <c r="N270" s="87">
        <v>379</v>
      </c>
      <c r="O270" s="87">
        <v>378.78</v>
      </c>
      <c r="P270" s="63">
        <f t="shared" si="162"/>
        <v>379.50666666666666</v>
      </c>
      <c r="Q270" s="108">
        <f t="shared" si="166"/>
        <v>34155.599999999999</v>
      </c>
      <c r="R270" s="3">
        <v>364.23</v>
      </c>
      <c r="S270" s="87">
        <v>356.35</v>
      </c>
      <c r="T270" s="90">
        <v>353.94</v>
      </c>
      <c r="U270" s="63">
        <f t="shared" si="163"/>
        <v>358.17333333333335</v>
      </c>
      <c r="V270" s="111">
        <f t="shared" si="164"/>
        <v>32593.773333333334</v>
      </c>
      <c r="W270" s="64">
        <f t="shared" si="165"/>
        <v>363.92749999999995</v>
      </c>
      <c r="X270" s="65">
        <f t="shared" si="167"/>
        <v>132833.53749999998</v>
      </c>
    </row>
    <row r="271" spans="1:24" ht="16.5" thickBot="1" x14ac:dyDescent="0.3">
      <c r="A271" s="50" t="s">
        <v>141</v>
      </c>
      <c r="B271" s="44" t="s">
        <v>305</v>
      </c>
      <c r="C271" s="4">
        <v>117.23</v>
      </c>
      <c r="D271" s="4">
        <v>120.97</v>
      </c>
      <c r="E271" s="3">
        <v>116.07</v>
      </c>
      <c r="F271" s="63">
        <f t="shared" si="158"/>
        <v>118.08999999999999</v>
      </c>
      <c r="G271" s="108">
        <f t="shared" si="159"/>
        <v>10864.279999999999</v>
      </c>
      <c r="H271" s="3">
        <v>116.16</v>
      </c>
      <c r="I271" s="3">
        <v>116.07</v>
      </c>
      <c r="J271" s="3">
        <v>113.26</v>
      </c>
      <c r="K271" s="63">
        <f t="shared" si="160"/>
        <v>115.16333333333334</v>
      </c>
      <c r="L271" s="108">
        <f t="shared" si="161"/>
        <v>10595.026666666667</v>
      </c>
      <c r="M271" s="3">
        <v>121.55</v>
      </c>
      <c r="N271" s="87">
        <v>128.75</v>
      </c>
      <c r="O271" s="87">
        <v>119.65</v>
      </c>
      <c r="P271" s="63">
        <f t="shared" si="162"/>
        <v>123.31666666666668</v>
      </c>
      <c r="Q271" s="108">
        <f t="shared" si="166"/>
        <v>11098.500000000002</v>
      </c>
      <c r="R271" s="3">
        <v>117.03</v>
      </c>
      <c r="S271" s="87">
        <v>118.68</v>
      </c>
      <c r="T271" s="90">
        <v>116.97</v>
      </c>
      <c r="U271" s="63">
        <f t="shared" si="163"/>
        <v>117.56</v>
      </c>
      <c r="V271" s="111">
        <f t="shared" si="164"/>
        <v>10697.960000000001</v>
      </c>
      <c r="W271" s="64">
        <f t="shared" si="165"/>
        <v>118.53250000000001</v>
      </c>
      <c r="X271" s="65">
        <f t="shared" si="167"/>
        <v>43264.362500000003</v>
      </c>
    </row>
    <row r="272" spans="1:24" ht="16.5" thickBot="1" x14ac:dyDescent="0.3">
      <c r="A272" s="50" t="s">
        <v>142</v>
      </c>
      <c r="B272" s="34"/>
      <c r="C272" s="4">
        <v>0</v>
      </c>
      <c r="D272" s="4">
        <v>0</v>
      </c>
      <c r="E272" s="18"/>
      <c r="F272" s="67">
        <f t="shared" si="158"/>
        <v>0</v>
      </c>
      <c r="G272" s="108">
        <f t="shared" si="159"/>
        <v>0</v>
      </c>
      <c r="H272" s="18"/>
      <c r="I272" s="18"/>
      <c r="J272" s="18"/>
      <c r="K272" s="67">
        <f t="shared" si="160"/>
        <v>0</v>
      </c>
      <c r="L272" s="108">
        <f t="shared" si="161"/>
        <v>0</v>
      </c>
      <c r="M272" s="18"/>
      <c r="N272" s="4"/>
      <c r="O272" s="87"/>
      <c r="P272" s="67">
        <f t="shared" si="162"/>
        <v>0</v>
      </c>
      <c r="Q272" s="108">
        <f t="shared" si="166"/>
        <v>0</v>
      </c>
      <c r="R272" s="3"/>
      <c r="S272" s="3"/>
      <c r="T272" s="4"/>
      <c r="U272" s="67">
        <f t="shared" si="163"/>
        <v>0</v>
      </c>
      <c r="V272" s="112">
        <f t="shared" si="164"/>
        <v>0</v>
      </c>
      <c r="W272" s="137">
        <f t="shared" si="165"/>
        <v>0</v>
      </c>
      <c r="X272" s="65">
        <f t="shared" si="167"/>
        <v>0</v>
      </c>
    </row>
    <row r="273" spans="1:24" ht="16.5" thickBot="1" x14ac:dyDescent="0.3">
      <c r="A273" s="46" t="s">
        <v>150</v>
      </c>
      <c r="B273" s="35"/>
      <c r="C273" s="80">
        <f>SUM(C259:C272)</f>
        <v>3625.5189999999998</v>
      </c>
      <c r="D273" s="80">
        <f>SUM(D259:D272)</f>
        <v>3615.4139999999998</v>
      </c>
      <c r="E273" s="80">
        <f>SUM(E259:E272)</f>
        <v>3582.37</v>
      </c>
      <c r="F273" s="68">
        <f t="shared" si="158"/>
        <v>3607.7676666666666</v>
      </c>
      <c r="G273" s="108">
        <f t="shared" si="159"/>
        <v>331914.62533333333</v>
      </c>
      <c r="H273" s="94">
        <f>SUM(H259:H272)</f>
        <v>3551.7809999999999</v>
      </c>
      <c r="I273" s="80">
        <f>SUM(I259:I272)</f>
        <v>3528.0970000000002</v>
      </c>
      <c r="J273" s="80">
        <f>SUM(J259:J272)</f>
        <v>3443.9710000000005</v>
      </c>
      <c r="K273" s="68">
        <f t="shared" si="160"/>
        <v>3507.9496666666673</v>
      </c>
      <c r="L273" s="119">
        <f t="shared" si="161"/>
        <v>322731.36933333339</v>
      </c>
      <c r="M273" s="9">
        <f>SUM(M259:M272)</f>
        <v>3458.076</v>
      </c>
      <c r="N273" s="80">
        <f>SUM(N259:N272)</f>
        <v>3547.2429999999999</v>
      </c>
      <c r="O273" s="80">
        <f>SUM(O259:O272)</f>
        <v>3602.212</v>
      </c>
      <c r="P273" s="68">
        <f t="shared" si="162"/>
        <v>3535.8436666666662</v>
      </c>
      <c r="Q273" s="119">
        <f>P273*90</f>
        <v>318225.92999999993</v>
      </c>
      <c r="R273" s="94">
        <f>SUM(R259:R272)</f>
        <v>3531.9070000000002</v>
      </c>
      <c r="S273" s="80">
        <f>SUM(S259:S272)</f>
        <v>3435.6379999999999</v>
      </c>
      <c r="T273" s="81">
        <f>SUM(T259:T272)</f>
        <v>3489.5769999999998</v>
      </c>
      <c r="U273" s="68">
        <f t="shared" si="163"/>
        <v>3485.7073333333333</v>
      </c>
      <c r="V273" s="120">
        <f t="shared" si="164"/>
        <v>317199.36733333336</v>
      </c>
      <c r="W273" s="138">
        <f t="shared" si="165"/>
        <v>3534.3170833333334</v>
      </c>
      <c r="X273" s="69">
        <f>SUM(X259:X272)</f>
        <v>1290025.7354166664</v>
      </c>
    </row>
    <row r="274" spans="1:24" ht="16.5" thickBot="1" x14ac:dyDescent="0.3">
      <c r="A274" s="46" t="s">
        <v>151</v>
      </c>
      <c r="B274" s="35"/>
      <c r="C274" s="70"/>
      <c r="D274" s="70"/>
      <c r="E274" s="71"/>
      <c r="F274" s="98"/>
      <c r="G274" s="98"/>
      <c r="H274" s="72"/>
      <c r="I274" s="70" t="s">
        <v>251</v>
      </c>
      <c r="J274" s="71"/>
      <c r="K274" s="97"/>
      <c r="L274" s="97"/>
      <c r="M274" s="72"/>
      <c r="N274" s="70"/>
      <c r="O274" s="71"/>
      <c r="P274" s="97"/>
      <c r="Q274" s="97"/>
      <c r="R274" s="72"/>
      <c r="S274" s="70"/>
      <c r="T274" s="71"/>
      <c r="U274" s="71"/>
      <c r="V274" s="70"/>
      <c r="W274" s="96"/>
      <c r="X274" s="69" t="s">
        <v>0</v>
      </c>
    </row>
    <row r="275" spans="1:24" ht="16.5" hidden="1" customHeight="1" thickBot="1" x14ac:dyDescent="0.3">
      <c r="A275" s="49" t="s">
        <v>143</v>
      </c>
      <c r="B275" s="33"/>
      <c r="C275" s="6">
        <v>633</v>
      </c>
      <c r="D275" s="6">
        <v>646</v>
      </c>
      <c r="E275" s="6">
        <v>654</v>
      </c>
      <c r="F275" s="63">
        <f t="shared" ref="F275:F281" si="168">SUM(C275:E275)/3</f>
        <v>644.33333333333337</v>
      </c>
      <c r="G275" s="108">
        <f t="shared" ref="G275:G281" si="169">F275*92</f>
        <v>59278.666666666672</v>
      </c>
      <c r="H275" s="6">
        <v>652</v>
      </c>
      <c r="I275" s="6">
        <v>653</v>
      </c>
      <c r="J275" s="6">
        <v>649</v>
      </c>
      <c r="K275" s="63">
        <f t="shared" ref="K275:K282" si="170">SUM(H275:J275)/3</f>
        <v>651.33333333333337</v>
      </c>
      <c r="L275" s="108">
        <f t="shared" ref="L275:L281" si="171">K275*92</f>
        <v>59922.666666666672</v>
      </c>
      <c r="M275" s="6">
        <v>704</v>
      </c>
      <c r="N275" s="73">
        <v>702</v>
      </c>
      <c r="O275" s="73">
        <v>712</v>
      </c>
      <c r="P275" s="63">
        <f t="shared" ref="P275:P282" si="172">SUM(M275:O275)/3</f>
        <v>706</v>
      </c>
      <c r="Q275" s="108">
        <f t="shared" ref="Q275:Q281" si="173">P275*90</f>
        <v>63540</v>
      </c>
      <c r="R275" s="6">
        <v>697</v>
      </c>
      <c r="S275" s="73">
        <v>687</v>
      </c>
      <c r="T275" s="74">
        <v>689</v>
      </c>
      <c r="U275" s="63">
        <f t="shared" ref="U275:U282" si="174">SUM(R275:T275)/3</f>
        <v>691</v>
      </c>
      <c r="V275" s="111">
        <f t="shared" ref="V275:V281" si="175">U275*91</f>
        <v>62881</v>
      </c>
      <c r="W275" s="64">
        <f t="shared" ref="W275:W280" si="176">SUM(C275+D275+E275+H275+I275+J275+M275+N275+O275+R275+S275+T275)/12</f>
        <v>673.16666666666663</v>
      </c>
      <c r="X275" s="65">
        <f t="shared" ref="X275:X280" si="177">W275*365</f>
        <v>245705.83333333331</v>
      </c>
    </row>
    <row r="276" spans="1:24" ht="16.5" hidden="1" thickBot="1" x14ac:dyDescent="0.3">
      <c r="A276" s="50" t="s">
        <v>144</v>
      </c>
      <c r="B276" s="34"/>
      <c r="C276" s="5">
        <v>6</v>
      </c>
      <c r="D276" s="5">
        <v>5</v>
      </c>
      <c r="E276" s="5">
        <v>4</v>
      </c>
      <c r="F276" s="63">
        <f t="shared" si="168"/>
        <v>5</v>
      </c>
      <c r="G276" s="108">
        <f t="shared" si="169"/>
        <v>460</v>
      </c>
      <c r="H276" s="5">
        <v>3</v>
      </c>
      <c r="I276" s="5">
        <v>2</v>
      </c>
      <c r="J276" s="5">
        <v>2</v>
      </c>
      <c r="K276" s="63">
        <f t="shared" si="170"/>
        <v>2.3333333333333335</v>
      </c>
      <c r="L276" s="108">
        <f t="shared" si="171"/>
        <v>214.66666666666669</v>
      </c>
      <c r="M276" s="5">
        <v>4</v>
      </c>
      <c r="N276" s="75">
        <v>4</v>
      </c>
      <c r="O276" s="75">
        <v>6</v>
      </c>
      <c r="P276" s="63">
        <f t="shared" si="172"/>
        <v>4.666666666666667</v>
      </c>
      <c r="Q276" s="108">
        <f t="shared" si="173"/>
        <v>420</v>
      </c>
      <c r="R276" s="5">
        <v>7</v>
      </c>
      <c r="S276" s="75">
        <v>10</v>
      </c>
      <c r="T276" s="76">
        <v>10</v>
      </c>
      <c r="U276" s="63">
        <f t="shared" si="174"/>
        <v>9</v>
      </c>
      <c r="V276" s="111">
        <f t="shared" si="175"/>
        <v>819</v>
      </c>
      <c r="W276" s="64">
        <f t="shared" si="176"/>
        <v>5.25</v>
      </c>
      <c r="X276" s="66">
        <f t="shared" si="177"/>
        <v>1916.25</v>
      </c>
    </row>
    <row r="277" spans="1:24" ht="16.5" hidden="1" thickBot="1" x14ac:dyDescent="0.3">
      <c r="A277" s="50" t="s">
        <v>146</v>
      </c>
      <c r="B277" s="34"/>
      <c r="C277" s="5">
        <v>34</v>
      </c>
      <c r="D277" s="5">
        <v>42</v>
      </c>
      <c r="E277" s="5">
        <v>37</v>
      </c>
      <c r="F277" s="63">
        <f t="shared" si="168"/>
        <v>37.666666666666664</v>
      </c>
      <c r="G277" s="108">
        <f t="shared" si="169"/>
        <v>3465.333333333333</v>
      </c>
      <c r="H277" s="5">
        <v>33</v>
      </c>
      <c r="I277" s="5">
        <v>33</v>
      </c>
      <c r="J277" s="5">
        <v>32</v>
      </c>
      <c r="K277" s="63">
        <f t="shared" si="170"/>
        <v>32.666666666666664</v>
      </c>
      <c r="L277" s="108">
        <f t="shared" si="171"/>
        <v>3005.333333333333</v>
      </c>
      <c r="M277" s="5">
        <v>33</v>
      </c>
      <c r="N277" s="75">
        <v>29</v>
      </c>
      <c r="O277" s="75">
        <v>29</v>
      </c>
      <c r="P277" s="63">
        <f t="shared" si="172"/>
        <v>30.333333333333332</v>
      </c>
      <c r="Q277" s="108">
        <f t="shared" si="173"/>
        <v>2730</v>
      </c>
      <c r="R277" s="5">
        <v>27</v>
      </c>
      <c r="S277" s="75">
        <v>28</v>
      </c>
      <c r="T277" s="76">
        <v>28</v>
      </c>
      <c r="U277" s="63">
        <f t="shared" si="174"/>
        <v>27.666666666666668</v>
      </c>
      <c r="V277" s="111">
        <f t="shared" si="175"/>
        <v>2517.666666666667</v>
      </c>
      <c r="W277" s="64">
        <f t="shared" si="176"/>
        <v>32.083333333333336</v>
      </c>
      <c r="X277" s="65">
        <f t="shared" si="177"/>
        <v>11710.416666666668</v>
      </c>
    </row>
    <row r="278" spans="1:24" ht="16.5" hidden="1" thickBot="1" x14ac:dyDescent="0.3">
      <c r="A278" s="50" t="s">
        <v>145</v>
      </c>
      <c r="B278" s="34"/>
      <c r="C278" s="5">
        <v>149</v>
      </c>
      <c r="D278" s="5">
        <v>152</v>
      </c>
      <c r="E278" s="5">
        <v>163</v>
      </c>
      <c r="F278" s="63">
        <f t="shared" si="168"/>
        <v>154.66666666666666</v>
      </c>
      <c r="G278" s="108">
        <f t="shared" si="169"/>
        <v>14229.333333333332</v>
      </c>
      <c r="H278" s="5">
        <v>181</v>
      </c>
      <c r="I278" s="5">
        <v>174</v>
      </c>
      <c r="J278" s="5">
        <v>173</v>
      </c>
      <c r="K278" s="63">
        <f t="shared" si="170"/>
        <v>176</v>
      </c>
      <c r="L278" s="108">
        <f t="shared" si="171"/>
        <v>16192</v>
      </c>
      <c r="M278" s="5">
        <v>192</v>
      </c>
      <c r="N278" s="75">
        <v>207</v>
      </c>
      <c r="O278" s="75">
        <v>226</v>
      </c>
      <c r="P278" s="63">
        <f t="shared" si="172"/>
        <v>208.33333333333334</v>
      </c>
      <c r="Q278" s="108">
        <f t="shared" si="173"/>
        <v>18750</v>
      </c>
      <c r="R278" s="5">
        <v>219</v>
      </c>
      <c r="S278" s="75">
        <v>215</v>
      </c>
      <c r="T278" s="76">
        <v>220</v>
      </c>
      <c r="U278" s="63">
        <f t="shared" si="174"/>
        <v>218</v>
      </c>
      <c r="V278" s="111">
        <f t="shared" si="175"/>
        <v>19838</v>
      </c>
      <c r="W278" s="64">
        <f t="shared" si="176"/>
        <v>189.25</v>
      </c>
      <c r="X278" s="66">
        <f t="shared" si="177"/>
        <v>69076.25</v>
      </c>
    </row>
    <row r="279" spans="1:24" ht="16.5" hidden="1" thickBot="1" x14ac:dyDescent="0.3">
      <c r="A279" s="50" t="s">
        <v>147</v>
      </c>
      <c r="B279" s="34"/>
      <c r="C279" s="5">
        <v>836</v>
      </c>
      <c r="D279" s="5">
        <v>846</v>
      </c>
      <c r="E279" s="5">
        <v>886</v>
      </c>
      <c r="F279" s="63">
        <f t="shared" si="168"/>
        <v>856</v>
      </c>
      <c r="G279" s="108">
        <f t="shared" si="169"/>
        <v>78752</v>
      </c>
      <c r="H279" s="5">
        <v>883</v>
      </c>
      <c r="I279" s="5">
        <v>876</v>
      </c>
      <c r="J279" s="5">
        <v>879</v>
      </c>
      <c r="K279" s="63">
        <f t="shared" si="170"/>
        <v>879.33333333333337</v>
      </c>
      <c r="L279" s="108">
        <f t="shared" si="171"/>
        <v>80898.666666666672</v>
      </c>
      <c r="M279" s="5">
        <v>878</v>
      </c>
      <c r="N279" s="75">
        <v>877</v>
      </c>
      <c r="O279" s="75">
        <v>873</v>
      </c>
      <c r="P279" s="63">
        <f t="shared" si="172"/>
        <v>876</v>
      </c>
      <c r="Q279" s="108">
        <f t="shared" si="173"/>
        <v>78840</v>
      </c>
      <c r="R279" s="5">
        <v>868</v>
      </c>
      <c r="S279" s="75">
        <v>868</v>
      </c>
      <c r="T279" s="76">
        <v>855</v>
      </c>
      <c r="U279" s="63">
        <f t="shared" si="174"/>
        <v>863.66666666666663</v>
      </c>
      <c r="V279" s="111">
        <f t="shared" si="175"/>
        <v>78593.666666666657</v>
      </c>
      <c r="W279" s="64">
        <f t="shared" si="176"/>
        <v>868.75</v>
      </c>
      <c r="X279" s="65">
        <f t="shared" si="177"/>
        <v>317093.75</v>
      </c>
    </row>
    <row r="280" spans="1:24" ht="16.5" hidden="1" thickBot="1" x14ac:dyDescent="0.3">
      <c r="A280" s="50" t="s">
        <v>148</v>
      </c>
      <c r="B280" s="34"/>
      <c r="C280" s="5">
        <v>17</v>
      </c>
      <c r="D280" s="5">
        <v>17</v>
      </c>
      <c r="E280" s="5">
        <v>16</v>
      </c>
      <c r="F280" s="63">
        <f t="shared" si="168"/>
        <v>16.666666666666668</v>
      </c>
      <c r="G280" s="108">
        <f t="shared" si="169"/>
        <v>1533.3333333333335</v>
      </c>
      <c r="H280" s="5">
        <v>16</v>
      </c>
      <c r="I280" s="5">
        <v>16</v>
      </c>
      <c r="J280" s="5">
        <v>17</v>
      </c>
      <c r="K280" s="63">
        <f t="shared" si="170"/>
        <v>16.333333333333332</v>
      </c>
      <c r="L280" s="108">
        <f t="shared" si="171"/>
        <v>1502.6666666666665</v>
      </c>
      <c r="M280" s="5">
        <v>17</v>
      </c>
      <c r="N280" s="75">
        <v>17</v>
      </c>
      <c r="O280" s="75">
        <v>17</v>
      </c>
      <c r="P280" s="63">
        <f t="shared" si="172"/>
        <v>17</v>
      </c>
      <c r="Q280" s="108">
        <f t="shared" si="173"/>
        <v>1530</v>
      </c>
      <c r="R280" s="5">
        <v>17</v>
      </c>
      <c r="S280" s="75">
        <v>17</v>
      </c>
      <c r="T280" s="76">
        <v>17</v>
      </c>
      <c r="U280" s="63">
        <f t="shared" si="174"/>
        <v>17</v>
      </c>
      <c r="V280" s="112">
        <f t="shared" si="175"/>
        <v>1547</v>
      </c>
      <c r="W280" s="64">
        <f t="shared" si="176"/>
        <v>16.75</v>
      </c>
      <c r="X280" s="66">
        <f t="shared" si="177"/>
        <v>6113.75</v>
      </c>
    </row>
    <row r="281" spans="1:24" ht="16.5" hidden="1" thickBot="1" x14ac:dyDescent="0.3">
      <c r="A281" s="53" t="s">
        <v>152</v>
      </c>
      <c r="B281" s="37"/>
      <c r="C281" s="80">
        <f>SUM(C275:C280)</f>
        <v>1675</v>
      </c>
      <c r="D281" s="80">
        <f>SUM(D275:D280)</f>
        <v>1708</v>
      </c>
      <c r="E281" s="80">
        <f>SUM(E275:E280)</f>
        <v>1760</v>
      </c>
      <c r="F281" s="68">
        <f t="shared" si="168"/>
        <v>1714.3333333333333</v>
      </c>
      <c r="G281" s="108">
        <f t="shared" si="169"/>
        <v>157718.66666666666</v>
      </c>
      <c r="H281" s="94">
        <f>SUM(H275:H280)</f>
        <v>1768</v>
      </c>
      <c r="I281" s="80">
        <f>SUM(I275:I280)</f>
        <v>1754</v>
      </c>
      <c r="J281" s="80">
        <f>SUM(J275:J280)</f>
        <v>1752</v>
      </c>
      <c r="K281" s="68">
        <f t="shared" si="170"/>
        <v>1758</v>
      </c>
      <c r="L281" s="119">
        <f t="shared" si="171"/>
        <v>161736</v>
      </c>
      <c r="M281" s="94">
        <f>SUM(M275:M280)</f>
        <v>1828</v>
      </c>
      <c r="N281" s="80">
        <f>SUM(N275:N280)</f>
        <v>1836</v>
      </c>
      <c r="O281" s="80">
        <f>SUM(O275:O280)</f>
        <v>1863</v>
      </c>
      <c r="P281" s="68">
        <f t="shared" si="172"/>
        <v>1842.3333333333333</v>
      </c>
      <c r="Q281" s="108">
        <f t="shared" si="173"/>
        <v>165810</v>
      </c>
      <c r="R281" s="94">
        <f>SUM(R275:R280)</f>
        <v>1835</v>
      </c>
      <c r="S281" s="80">
        <f>SUM(S275:S280)</f>
        <v>1825</v>
      </c>
      <c r="T281" s="81">
        <f>SUM(T275:T280)</f>
        <v>1819</v>
      </c>
      <c r="U281" s="68">
        <f t="shared" si="174"/>
        <v>1826.3333333333333</v>
      </c>
      <c r="V281" s="120">
        <f t="shared" si="175"/>
        <v>166196.33333333331</v>
      </c>
      <c r="W281" s="69">
        <f>SUM(W275:W280)</f>
        <v>1785.25</v>
      </c>
      <c r="X281" s="69">
        <f>SUM(X275:X280)</f>
        <v>651616.25</v>
      </c>
    </row>
    <row r="282" spans="1:24" ht="16.5" hidden="1" thickBot="1" x14ac:dyDescent="0.3">
      <c r="A282" s="54" t="s">
        <v>156</v>
      </c>
      <c r="B282" s="38"/>
      <c r="C282" s="80">
        <f>C273+C281</f>
        <v>5300.5190000000002</v>
      </c>
      <c r="D282" s="80">
        <f>D273+D281</f>
        <v>5323.4139999999998</v>
      </c>
      <c r="E282" s="80">
        <f>E273+E281</f>
        <v>5342.37</v>
      </c>
      <c r="F282" s="80">
        <f>F273+F281</f>
        <v>5322.1009999999997</v>
      </c>
      <c r="G282" s="68">
        <f>SUM(G273+G281)</f>
        <v>489633.29200000002</v>
      </c>
      <c r="H282" s="80">
        <f>H273+H281</f>
        <v>5319.7809999999999</v>
      </c>
      <c r="I282" s="80">
        <f>I273+I281</f>
        <v>5282.0969999999998</v>
      </c>
      <c r="J282" s="80">
        <f>J273+J281</f>
        <v>5195.9710000000005</v>
      </c>
      <c r="K282" s="120">
        <f t="shared" si="170"/>
        <v>5265.9496666666673</v>
      </c>
      <c r="L282" s="68">
        <f>SUM(L273+L281)</f>
        <v>484467.36933333339</v>
      </c>
      <c r="M282" s="94">
        <f>M273+M281</f>
        <v>5286.076</v>
      </c>
      <c r="N282" s="80">
        <f>N273+N281</f>
        <v>5383.2430000000004</v>
      </c>
      <c r="O282" s="80">
        <f>O273+O281</f>
        <v>5465.2119999999995</v>
      </c>
      <c r="P282" s="99">
        <f t="shared" si="172"/>
        <v>5378.1769999999997</v>
      </c>
      <c r="Q282" s="68">
        <f>SUM(Q273+Q281)</f>
        <v>484035.92999999993</v>
      </c>
      <c r="R282" s="94">
        <f>R273+R281</f>
        <v>5366.9070000000002</v>
      </c>
      <c r="S282" s="80">
        <f>S273+S281</f>
        <v>5260.6379999999999</v>
      </c>
      <c r="T282" s="81">
        <f>T273+T281</f>
        <v>5308.5769999999993</v>
      </c>
      <c r="U282" s="99">
        <f t="shared" si="174"/>
        <v>5312.0406666666668</v>
      </c>
      <c r="V282" s="68">
        <f>SUM(V273+V281)</f>
        <v>483395.70066666667</v>
      </c>
      <c r="W282" s="80">
        <f>W273+W281</f>
        <v>5319.5670833333334</v>
      </c>
      <c r="X282" s="82">
        <f>X273+X281</f>
        <v>1941641.9854166664</v>
      </c>
    </row>
    <row r="283" spans="1:24" ht="15.75" hidden="1" x14ac:dyDescent="0.25">
      <c r="A283" s="114"/>
      <c r="B283" s="19"/>
      <c r="C283" s="115"/>
      <c r="D283" s="115"/>
      <c r="E283" s="115"/>
      <c r="F283" s="115"/>
      <c r="G283" s="113"/>
      <c r="H283" s="115"/>
      <c r="I283" s="115"/>
      <c r="J283" s="115"/>
      <c r="K283" s="139"/>
      <c r="L283" s="113"/>
      <c r="M283" s="115"/>
      <c r="N283" s="115"/>
      <c r="O283" s="115"/>
      <c r="P283" s="93"/>
      <c r="Q283" s="113"/>
      <c r="R283" s="115"/>
      <c r="S283" s="115"/>
      <c r="T283" s="115"/>
      <c r="U283" s="93"/>
      <c r="V283" s="113"/>
      <c r="W283" s="115"/>
      <c r="X283" s="115"/>
    </row>
    <row r="284" spans="1:24" hidden="1" x14ac:dyDescent="0.2"/>
    <row r="285" spans="1:24" ht="16.5" hidden="1" thickBot="1" x14ac:dyDescent="0.25">
      <c r="A285" s="45" t="s">
        <v>155</v>
      </c>
      <c r="B285" s="10"/>
      <c r="C285" s="13"/>
      <c r="D285" s="13"/>
      <c r="E285" s="13"/>
      <c r="F285" s="13"/>
      <c r="G285" s="13"/>
      <c r="H285" s="13"/>
      <c r="I285" s="13"/>
      <c r="J285" s="13"/>
      <c r="K285" s="13"/>
      <c r="L285" s="13"/>
      <c r="M285" s="13"/>
      <c r="N285" s="13"/>
      <c r="O285" s="13"/>
      <c r="P285" s="13"/>
      <c r="Q285" s="13"/>
      <c r="R285" s="13"/>
      <c r="S285" s="13"/>
      <c r="T285" s="13"/>
      <c r="U285" s="13"/>
      <c r="V285" s="13"/>
      <c r="W285" s="13"/>
      <c r="X285" s="13"/>
    </row>
    <row r="286" spans="1:24" ht="16.5" thickBot="1" x14ac:dyDescent="0.3">
      <c r="A286" s="32" t="s">
        <v>294</v>
      </c>
      <c r="B286" s="1200" t="s">
        <v>153</v>
      </c>
      <c r="C286" s="1201"/>
      <c r="D286" s="1201"/>
      <c r="E286" s="1201"/>
      <c r="F286" s="1201"/>
      <c r="G286" s="1201"/>
      <c r="H286" s="1201"/>
      <c r="I286" s="1201"/>
      <c r="J286" s="1201"/>
      <c r="K286" s="1201"/>
      <c r="L286" s="1201"/>
      <c r="M286" s="1201"/>
      <c r="N286" s="1201"/>
      <c r="O286" s="1201"/>
      <c r="P286" s="1201"/>
      <c r="Q286" s="1201"/>
      <c r="R286" s="1201"/>
      <c r="S286" s="1201"/>
      <c r="T286" s="1201"/>
      <c r="U286" s="39"/>
      <c r="V286" s="39"/>
      <c r="W286" s="92"/>
      <c r="X286" s="13"/>
    </row>
    <row r="287" spans="1:24" ht="15.75" x14ac:dyDescent="0.25">
      <c r="A287" s="11"/>
      <c r="B287" s="40" t="s">
        <v>261</v>
      </c>
      <c r="C287" s="57"/>
      <c r="D287" s="58"/>
      <c r="E287" s="58"/>
      <c r="F287" s="1192" t="s">
        <v>258</v>
      </c>
      <c r="G287" s="1184" t="s">
        <v>278</v>
      </c>
      <c r="H287" s="58"/>
      <c r="I287" s="58"/>
      <c r="J287" s="58"/>
      <c r="K287" s="1192" t="s">
        <v>258</v>
      </c>
      <c r="L287" s="1184" t="s">
        <v>278</v>
      </c>
      <c r="M287" s="58"/>
      <c r="N287" s="58"/>
      <c r="O287" s="58"/>
      <c r="P287" s="1192" t="s">
        <v>258</v>
      </c>
      <c r="Q287" s="1184" t="s">
        <v>278</v>
      </c>
      <c r="R287" s="58"/>
      <c r="S287" s="58"/>
      <c r="T287" s="59"/>
      <c r="U287" s="1192" t="s">
        <v>258</v>
      </c>
      <c r="V287" s="1184" t="s">
        <v>278</v>
      </c>
      <c r="W287" s="1186" t="s">
        <v>154</v>
      </c>
      <c r="X287" s="1188" t="s">
        <v>155</v>
      </c>
    </row>
    <row r="288" spans="1:24" ht="22.5" customHeight="1" thickBot="1" x14ac:dyDescent="0.3">
      <c r="A288" s="47" t="s">
        <v>56</v>
      </c>
      <c r="B288" s="41" t="s">
        <v>262</v>
      </c>
      <c r="C288" s="60">
        <v>39270</v>
      </c>
      <c r="D288" s="61">
        <v>39301</v>
      </c>
      <c r="E288" s="61">
        <v>39332</v>
      </c>
      <c r="F288" s="1193"/>
      <c r="G288" s="1185"/>
      <c r="H288" s="61">
        <v>39362</v>
      </c>
      <c r="I288" s="61">
        <v>39393</v>
      </c>
      <c r="J288" s="61">
        <v>39423</v>
      </c>
      <c r="K288" s="1193"/>
      <c r="L288" s="1185"/>
      <c r="M288" s="61">
        <v>39448</v>
      </c>
      <c r="N288" s="61">
        <v>39479</v>
      </c>
      <c r="O288" s="61">
        <v>39508</v>
      </c>
      <c r="P288" s="1193"/>
      <c r="Q288" s="1185"/>
      <c r="R288" s="61">
        <v>39539</v>
      </c>
      <c r="S288" s="61">
        <v>39569</v>
      </c>
      <c r="T288" s="62">
        <v>39600</v>
      </c>
      <c r="U288" s="1193"/>
      <c r="V288" s="1185"/>
      <c r="W288" s="1187"/>
      <c r="X288" s="1189"/>
    </row>
    <row r="289" spans="1:24" ht="32.25" customHeight="1" thickBot="1" x14ac:dyDescent="0.3">
      <c r="A289" s="48" t="s">
        <v>291</v>
      </c>
      <c r="B289" s="42" t="s">
        <v>263</v>
      </c>
      <c r="C289" s="125">
        <v>497.33</v>
      </c>
      <c r="D289" s="125">
        <v>518.84</v>
      </c>
      <c r="E289" s="117">
        <v>487.7</v>
      </c>
      <c r="F289" s="63">
        <f t="shared" ref="F289:F303" si="178">SUM(C289:E289)/3</f>
        <v>501.29</v>
      </c>
      <c r="G289" s="108">
        <f t="shared" ref="G289:G303" si="179">F289*92</f>
        <v>46118.68</v>
      </c>
      <c r="H289" s="117">
        <v>478.39</v>
      </c>
      <c r="I289" s="117">
        <v>517.5</v>
      </c>
      <c r="J289" s="117">
        <v>496</v>
      </c>
      <c r="K289" s="63">
        <f t="shared" ref="K289:K303" si="180">SUM(H289:J289)/3</f>
        <v>497.29666666666662</v>
      </c>
      <c r="L289" s="108">
        <f t="shared" ref="L289:L303" si="181">K289*92</f>
        <v>45751.293333333328</v>
      </c>
      <c r="M289" s="117">
        <v>496.23</v>
      </c>
      <c r="N289" s="85">
        <v>488.45</v>
      </c>
      <c r="O289" s="85">
        <v>485</v>
      </c>
      <c r="P289" s="63">
        <f t="shared" ref="P289:P303" si="182">SUM(M289:O289)/3</f>
        <v>489.89333333333337</v>
      </c>
      <c r="Q289" s="108">
        <f t="shared" ref="Q289:Q303" si="183">P289*91</f>
        <v>44580.293333333335</v>
      </c>
      <c r="R289" s="117">
        <v>472.9</v>
      </c>
      <c r="S289" s="85">
        <v>474.23</v>
      </c>
      <c r="T289" s="135">
        <v>464.8</v>
      </c>
      <c r="U289" s="63">
        <f t="shared" ref="U289:U303" si="184">SUM(R289:T289)/3</f>
        <v>470.64333333333337</v>
      </c>
      <c r="V289" s="111">
        <f t="shared" ref="V289:V303" si="185">U289*91</f>
        <v>42828.543333333335</v>
      </c>
      <c r="W289" s="64">
        <f t="shared" ref="W289:W303" si="186">SUM(C289+D289+E289+H289+I289+J289+M289+N289+O289+R289+S289+T289)/12</f>
        <v>489.78083333333331</v>
      </c>
      <c r="X289" s="65">
        <f t="shared" ref="X289:X301" si="187">W289*366</f>
        <v>179259.785</v>
      </c>
    </row>
    <row r="290" spans="1:24" ht="16.5" thickBot="1" x14ac:dyDescent="0.3">
      <c r="A290" s="49" t="s">
        <v>138</v>
      </c>
      <c r="B290" s="43" t="s">
        <v>264</v>
      </c>
      <c r="C290" s="126">
        <v>103.6</v>
      </c>
      <c r="D290" s="126">
        <v>105.19</v>
      </c>
      <c r="E290" s="118">
        <v>116.63</v>
      </c>
      <c r="F290" s="63">
        <f t="shared" si="178"/>
        <v>108.47333333333331</v>
      </c>
      <c r="G290" s="108">
        <f t="shared" si="179"/>
        <v>9979.5466666666653</v>
      </c>
      <c r="H290" s="118">
        <v>127.03</v>
      </c>
      <c r="I290" s="118">
        <v>119.67</v>
      </c>
      <c r="J290" s="118">
        <v>114.84</v>
      </c>
      <c r="K290" s="63">
        <f t="shared" si="180"/>
        <v>120.51333333333332</v>
      </c>
      <c r="L290" s="108">
        <f t="shared" si="181"/>
        <v>11087.226666666666</v>
      </c>
      <c r="M290" s="118">
        <v>114.13</v>
      </c>
      <c r="N290" s="86">
        <v>105.28</v>
      </c>
      <c r="O290" s="86">
        <v>114.97</v>
      </c>
      <c r="P290" s="63">
        <f t="shared" si="182"/>
        <v>111.46</v>
      </c>
      <c r="Q290" s="108">
        <f t="shared" si="183"/>
        <v>10142.859999999999</v>
      </c>
      <c r="R290" s="118">
        <v>121.87</v>
      </c>
      <c r="S290" s="86">
        <v>119.32</v>
      </c>
      <c r="T290" s="89">
        <v>119.7</v>
      </c>
      <c r="U290" s="63">
        <f t="shared" si="184"/>
        <v>120.29666666666667</v>
      </c>
      <c r="V290" s="111">
        <f t="shared" si="185"/>
        <v>10946.996666666666</v>
      </c>
      <c r="W290" s="64">
        <f t="shared" si="186"/>
        <v>115.18583333333333</v>
      </c>
      <c r="X290" s="65">
        <f t="shared" si="187"/>
        <v>42158.014999999999</v>
      </c>
    </row>
    <row r="291" spans="1:24" ht="16.5" thickBot="1" x14ac:dyDescent="0.3">
      <c r="A291" s="50" t="s">
        <v>292</v>
      </c>
      <c r="B291" s="44" t="s">
        <v>265</v>
      </c>
      <c r="C291" s="4">
        <v>477.77</v>
      </c>
      <c r="D291" s="4">
        <v>481.42</v>
      </c>
      <c r="E291" s="3">
        <v>478.23</v>
      </c>
      <c r="F291" s="63">
        <f t="shared" si="178"/>
        <v>479.14000000000004</v>
      </c>
      <c r="G291" s="108">
        <f t="shared" si="179"/>
        <v>44080.880000000005</v>
      </c>
      <c r="H291" s="3">
        <v>473.19</v>
      </c>
      <c r="I291" s="3">
        <v>492.93</v>
      </c>
      <c r="J291" s="3">
        <v>493.74</v>
      </c>
      <c r="K291" s="63">
        <f t="shared" si="180"/>
        <v>486.62000000000006</v>
      </c>
      <c r="L291" s="108">
        <f t="shared" si="181"/>
        <v>44769.040000000008</v>
      </c>
      <c r="M291" s="3">
        <v>489.68</v>
      </c>
      <c r="N291" s="87">
        <v>493.34</v>
      </c>
      <c r="O291" s="87">
        <v>494.81</v>
      </c>
      <c r="P291" s="63">
        <f t="shared" si="182"/>
        <v>492.60999999999996</v>
      </c>
      <c r="Q291" s="108">
        <f t="shared" si="183"/>
        <v>44827.509999999995</v>
      </c>
      <c r="R291" s="3">
        <v>483.53</v>
      </c>
      <c r="S291" s="87">
        <v>479.29</v>
      </c>
      <c r="T291" s="90">
        <v>470.47</v>
      </c>
      <c r="U291" s="63">
        <f t="shared" si="184"/>
        <v>477.76333333333332</v>
      </c>
      <c r="V291" s="111">
        <f t="shared" si="185"/>
        <v>43476.463333333333</v>
      </c>
      <c r="W291" s="64">
        <f t="shared" si="186"/>
        <v>484.0333333333333</v>
      </c>
      <c r="X291" s="66">
        <f t="shared" si="187"/>
        <v>177156.19999999998</v>
      </c>
    </row>
    <row r="292" spans="1:24" ht="16.5" thickBot="1" x14ac:dyDescent="0.3">
      <c r="A292" s="50" t="s">
        <v>25</v>
      </c>
      <c r="B292" s="44" t="s">
        <v>266</v>
      </c>
      <c r="C292" s="4">
        <v>293.2</v>
      </c>
      <c r="D292" s="4">
        <v>300.81</v>
      </c>
      <c r="E292" s="3">
        <v>286.37</v>
      </c>
      <c r="F292" s="63">
        <f t="shared" si="178"/>
        <v>293.45999999999998</v>
      </c>
      <c r="G292" s="108">
        <f t="shared" si="179"/>
        <v>26998.32</v>
      </c>
      <c r="H292" s="3">
        <v>301.68</v>
      </c>
      <c r="I292" s="3">
        <v>306.73</v>
      </c>
      <c r="J292" s="3">
        <v>287.35000000000002</v>
      </c>
      <c r="K292" s="63">
        <f t="shared" si="180"/>
        <v>298.5866666666667</v>
      </c>
      <c r="L292" s="108">
        <f t="shared" si="181"/>
        <v>27469.973333333335</v>
      </c>
      <c r="M292" s="3">
        <v>292.10000000000002</v>
      </c>
      <c r="N292" s="87">
        <v>302.83</v>
      </c>
      <c r="O292" s="87">
        <v>303.39</v>
      </c>
      <c r="P292" s="63">
        <f t="shared" si="182"/>
        <v>299.44</v>
      </c>
      <c r="Q292" s="108">
        <f t="shared" si="183"/>
        <v>27249.040000000001</v>
      </c>
      <c r="R292" s="3">
        <v>295.13</v>
      </c>
      <c r="S292" s="87">
        <v>316.74</v>
      </c>
      <c r="T292" s="90">
        <v>311.57</v>
      </c>
      <c r="U292" s="63">
        <f t="shared" si="184"/>
        <v>307.81333333333333</v>
      </c>
      <c r="V292" s="111">
        <f t="shared" si="185"/>
        <v>28011.013333333332</v>
      </c>
      <c r="W292" s="64">
        <f t="shared" si="186"/>
        <v>299.82499999999999</v>
      </c>
      <c r="X292" s="66">
        <f t="shared" si="187"/>
        <v>109735.95</v>
      </c>
    </row>
    <row r="293" spans="1:24" ht="16.5" thickBot="1" x14ac:dyDescent="0.3">
      <c r="A293" s="51" t="s">
        <v>275</v>
      </c>
      <c r="B293" s="44" t="s">
        <v>267</v>
      </c>
      <c r="C293" s="4">
        <v>372.63</v>
      </c>
      <c r="D293" s="4">
        <v>382.94</v>
      </c>
      <c r="E293" s="3">
        <v>387.7</v>
      </c>
      <c r="F293" s="63">
        <f t="shared" si="178"/>
        <v>381.09</v>
      </c>
      <c r="G293" s="108">
        <f t="shared" si="179"/>
        <v>35060.28</v>
      </c>
      <c r="H293" s="3">
        <v>388.48</v>
      </c>
      <c r="I293" s="3">
        <v>388.53</v>
      </c>
      <c r="J293" s="3">
        <v>390.61</v>
      </c>
      <c r="K293" s="63">
        <f t="shared" si="180"/>
        <v>389.20666666666665</v>
      </c>
      <c r="L293" s="108">
        <f t="shared" si="181"/>
        <v>35807.013333333329</v>
      </c>
      <c r="M293" s="3">
        <v>380.19</v>
      </c>
      <c r="N293" s="87">
        <v>376.14</v>
      </c>
      <c r="O293" s="87">
        <v>375.65</v>
      </c>
      <c r="P293" s="63">
        <f t="shared" si="182"/>
        <v>377.32666666666665</v>
      </c>
      <c r="Q293" s="108">
        <f t="shared" si="183"/>
        <v>34336.726666666662</v>
      </c>
      <c r="R293" s="3">
        <v>385.47</v>
      </c>
      <c r="S293" s="87">
        <v>395.55</v>
      </c>
      <c r="T293" s="90">
        <v>375.6</v>
      </c>
      <c r="U293" s="63">
        <f t="shared" si="184"/>
        <v>385.53999999999996</v>
      </c>
      <c r="V293" s="111">
        <f t="shared" si="185"/>
        <v>35084.14</v>
      </c>
      <c r="W293" s="64">
        <f t="shared" si="186"/>
        <v>383.29083333333341</v>
      </c>
      <c r="X293" s="66">
        <f t="shared" si="187"/>
        <v>140284.44500000004</v>
      </c>
    </row>
    <row r="294" spans="1:24" ht="16.5" thickBot="1" x14ac:dyDescent="0.3">
      <c r="A294" s="50" t="s">
        <v>16</v>
      </c>
      <c r="B294" s="44" t="s">
        <v>268</v>
      </c>
      <c r="C294" s="4">
        <v>59.53</v>
      </c>
      <c r="D294" s="4">
        <v>62.064999999999998</v>
      </c>
      <c r="E294" s="3">
        <v>59.9</v>
      </c>
      <c r="F294" s="63">
        <f t="shared" si="178"/>
        <v>60.498333333333335</v>
      </c>
      <c r="G294" s="108">
        <f t="shared" si="179"/>
        <v>5565.8466666666664</v>
      </c>
      <c r="H294" s="3">
        <v>64.451999999999998</v>
      </c>
      <c r="I294" s="3">
        <v>58.667000000000002</v>
      </c>
      <c r="J294" s="3">
        <v>54.805999999999997</v>
      </c>
      <c r="K294" s="63">
        <f t="shared" si="180"/>
        <v>59.308333333333337</v>
      </c>
      <c r="L294" s="108">
        <f t="shared" si="181"/>
        <v>5456.3666666666668</v>
      </c>
      <c r="M294" s="3">
        <v>58.451999999999998</v>
      </c>
      <c r="N294" s="87">
        <v>58.896999999999998</v>
      </c>
      <c r="O294" s="87">
        <v>56.871000000000002</v>
      </c>
      <c r="P294" s="63">
        <f t="shared" si="182"/>
        <v>58.073333333333331</v>
      </c>
      <c r="Q294" s="108">
        <f t="shared" si="183"/>
        <v>5284.6733333333332</v>
      </c>
      <c r="R294" s="3">
        <v>52.6</v>
      </c>
      <c r="S294" s="87">
        <v>52.484000000000002</v>
      </c>
      <c r="T294" s="90">
        <v>58</v>
      </c>
      <c r="U294" s="63">
        <f t="shared" si="184"/>
        <v>54.361333333333334</v>
      </c>
      <c r="V294" s="111">
        <f t="shared" si="185"/>
        <v>4946.8813333333337</v>
      </c>
      <c r="W294" s="64">
        <f t="shared" si="186"/>
        <v>58.06033333333334</v>
      </c>
      <c r="X294" s="66">
        <f t="shared" si="187"/>
        <v>21250.082000000002</v>
      </c>
    </row>
    <row r="295" spans="1:24" ht="16.5" thickBot="1" x14ac:dyDescent="0.3">
      <c r="A295" s="50" t="s">
        <v>17</v>
      </c>
      <c r="B295" s="44" t="s">
        <v>269</v>
      </c>
      <c r="C295" s="4">
        <v>191.07</v>
      </c>
      <c r="D295" s="4">
        <v>202.16</v>
      </c>
      <c r="E295" s="3">
        <v>219.33</v>
      </c>
      <c r="F295" s="63">
        <f t="shared" si="178"/>
        <v>204.1866666666667</v>
      </c>
      <c r="G295" s="108">
        <f t="shared" si="179"/>
        <v>18785.173333333336</v>
      </c>
      <c r="H295" s="3">
        <v>224.58</v>
      </c>
      <c r="I295" s="3">
        <v>212.17</v>
      </c>
      <c r="J295" s="3">
        <v>214</v>
      </c>
      <c r="K295" s="63">
        <f t="shared" si="180"/>
        <v>216.91666666666666</v>
      </c>
      <c r="L295" s="108">
        <f t="shared" si="181"/>
        <v>19956.333333333332</v>
      </c>
      <c r="M295" s="3">
        <v>210.68</v>
      </c>
      <c r="N295" s="87">
        <v>204</v>
      </c>
      <c r="O295" s="87">
        <v>199.61</v>
      </c>
      <c r="P295" s="63">
        <f t="shared" si="182"/>
        <v>204.76333333333332</v>
      </c>
      <c r="Q295" s="108">
        <f t="shared" si="183"/>
        <v>18633.463333333333</v>
      </c>
      <c r="R295" s="3">
        <v>198.63</v>
      </c>
      <c r="S295" s="87">
        <v>201.52</v>
      </c>
      <c r="T295" s="90">
        <v>208.17</v>
      </c>
      <c r="U295" s="63">
        <f t="shared" si="184"/>
        <v>202.77333333333331</v>
      </c>
      <c r="V295" s="111">
        <f t="shared" si="185"/>
        <v>18452.373333333333</v>
      </c>
      <c r="W295" s="64">
        <f t="shared" si="186"/>
        <v>207.16000000000005</v>
      </c>
      <c r="X295" s="66">
        <f t="shared" si="187"/>
        <v>75820.560000000027</v>
      </c>
    </row>
    <row r="296" spans="1:24" ht="16.5" thickBot="1" x14ac:dyDescent="0.3">
      <c r="A296" s="50" t="s">
        <v>140</v>
      </c>
      <c r="B296" s="44" t="s">
        <v>270</v>
      </c>
      <c r="C296" s="4">
        <v>107.23</v>
      </c>
      <c r="D296" s="4">
        <v>112.68</v>
      </c>
      <c r="E296" s="3">
        <v>112.47</v>
      </c>
      <c r="F296" s="63">
        <f t="shared" si="178"/>
        <v>110.79333333333334</v>
      </c>
      <c r="G296" s="108">
        <f t="shared" si="179"/>
        <v>10192.986666666668</v>
      </c>
      <c r="H296" s="3">
        <v>105.71</v>
      </c>
      <c r="I296" s="3">
        <v>116.33</v>
      </c>
      <c r="J296" s="3">
        <v>118.42</v>
      </c>
      <c r="K296" s="63">
        <f t="shared" si="180"/>
        <v>113.48666666666666</v>
      </c>
      <c r="L296" s="108">
        <f t="shared" si="181"/>
        <v>10440.773333333333</v>
      </c>
      <c r="M296" s="3">
        <v>120.87</v>
      </c>
      <c r="N296" s="87">
        <v>114.14</v>
      </c>
      <c r="O296" s="87">
        <v>120</v>
      </c>
      <c r="P296" s="63">
        <f t="shared" si="182"/>
        <v>118.33666666666666</v>
      </c>
      <c r="Q296" s="108">
        <f t="shared" si="183"/>
        <v>10768.636666666665</v>
      </c>
      <c r="R296" s="3">
        <v>111.4</v>
      </c>
      <c r="S296" s="87">
        <v>113.13</v>
      </c>
      <c r="T296" s="90">
        <v>105.33</v>
      </c>
      <c r="U296" s="63">
        <f t="shared" si="184"/>
        <v>109.95333333333333</v>
      </c>
      <c r="V296" s="111">
        <f t="shared" si="185"/>
        <v>10005.753333333334</v>
      </c>
      <c r="W296" s="64">
        <f t="shared" si="186"/>
        <v>113.1425</v>
      </c>
      <c r="X296" s="66">
        <f t="shared" si="187"/>
        <v>41410.154999999999</v>
      </c>
    </row>
    <row r="297" spans="1:24" ht="16.5" thickBot="1" x14ac:dyDescent="0.3">
      <c r="A297" s="51" t="s">
        <v>276</v>
      </c>
      <c r="B297" s="44" t="s">
        <v>271</v>
      </c>
      <c r="C297" s="4">
        <v>401.24</v>
      </c>
      <c r="D297" s="4">
        <v>418.58</v>
      </c>
      <c r="E297" s="3">
        <v>416.06</v>
      </c>
      <c r="F297" s="63">
        <f t="shared" si="178"/>
        <v>411.96</v>
      </c>
      <c r="G297" s="108">
        <f t="shared" si="179"/>
        <v>37900.32</v>
      </c>
      <c r="H297" s="3">
        <v>408.42</v>
      </c>
      <c r="I297" s="3">
        <v>415.64</v>
      </c>
      <c r="J297" s="3">
        <v>415.45</v>
      </c>
      <c r="K297" s="63">
        <f t="shared" si="180"/>
        <v>413.17</v>
      </c>
      <c r="L297" s="108">
        <f t="shared" si="181"/>
        <v>38011.64</v>
      </c>
      <c r="M297" s="3">
        <v>419.25</v>
      </c>
      <c r="N297" s="87">
        <v>416.96</v>
      </c>
      <c r="O297" s="87">
        <v>413.39</v>
      </c>
      <c r="P297" s="63">
        <f t="shared" si="182"/>
        <v>416.5333333333333</v>
      </c>
      <c r="Q297" s="108">
        <f t="shared" si="183"/>
        <v>37904.533333333333</v>
      </c>
      <c r="R297" s="3">
        <v>425.9</v>
      </c>
      <c r="S297" s="87">
        <v>419.71</v>
      </c>
      <c r="T297" s="90">
        <v>417.84</v>
      </c>
      <c r="U297" s="63">
        <f t="shared" si="184"/>
        <v>421.14999999999992</v>
      </c>
      <c r="V297" s="111">
        <f t="shared" si="185"/>
        <v>38324.649999999994</v>
      </c>
      <c r="W297" s="64">
        <f t="shared" si="186"/>
        <v>415.70333333333332</v>
      </c>
      <c r="X297" s="66">
        <f t="shared" si="187"/>
        <v>152147.41999999998</v>
      </c>
    </row>
    <row r="298" spans="1:24" ht="16.5" thickBot="1" x14ac:dyDescent="0.3">
      <c r="A298" s="50" t="s">
        <v>149</v>
      </c>
      <c r="B298" s="121" t="s">
        <v>279</v>
      </c>
      <c r="C298" s="4">
        <v>114.47</v>
      </c>
      <c r="D298" s="4">
        <v>118.03</v>
      </c>
      <c r="E298" s="3">
        <v>126.1</v>
      </c>
      <c r="F298" s="63">
        <f t="shared" si="178"/>
        <v>119.53333333333335</v>
      </c>
      <c r="G298" s="108">
        <f t="shared" si="179"/>
        <v>10997.066666666668</v>
      </c>
      <c r="H298" s="3">
        <v>123.23</v>
      </c>
      <c r="I298" s="3">
        <v>121.9</v>
      </c>
      <c r="J298" s="3">
        <v>120.58</v>
      </c>
      <c r="K298" s="63">
        <f t="shared" si="180"/>
        <v>121.90333333333332</v>
      </c>
      <c r="L298" s="108">
        <f t="shared" si="181"/>
        <v>11215.106666666665</v>
      </c>
      <c r="M298" s="3">
        <v>118.13</v>
      </c>
      <c r="N298" s="87">
        <v>121.76</v>
      </c>
      <c r="O298" s="87">
        <v>126.06</v>
      </c>
      <c r="P298" s="63">
        <f t="shared" si="182"/>
        <v>121.98333333333333</v>
      </c>
      <c r="Q298" s="108">
        <f t="shared" si="183"/>
        <v>11100.483333333334</v>
      </c>
      <c r="R298" s="3">
        <v>121.87</v>
      </c>
      <c r="S298" s="87">
        <v>119.39</v>
      </c>
      <c r="T298" s="90">
        <v>119.73</v>
      </c>
      <c r="U298" s="63">
        <f t="shared" si="184"/>
        <v>120.33</v>
      </c>
      <c r="V298" s="111">
        <f t="shared" si="185"/>
        <v>10950.03</v>
      </c>
      <c r="W298" s="64">
        <f t="shared" si="186"/>
        <v>120.93750000000001</v>
      </c>
      <c r="X298" s="66">
        <f t="shared" si="187"/>
        <v>44263.125000000007</v>
      </c>
    </row>
    <row r="299" spans="1:24" ht="16.5" thickBot="1" x14ac:dyDescent="0.3">
      <c r="A299" s="49" t="s">
        <v>20</v>
      </c>
      <c r="B299" s="43" t="s">
        <v>272</v>
      </c>
      <c r="C299" s="126">
        <v>534.33000000000004</v>
      </c>
      <c r="D299" s="126">
        <v>522</v>
      </c>
      <c r="E299" s="118">
        <v>539.79999999999995</v>
      </c>
      <c r="F299" s="63">
        <f t="shared" si="178"/>
        <v>532.04333333333329</v>
      </c>
      <c r="G299" s="108">
        <f t="shared" si="179"/>
        <v>48947.986666666664</v>
      </c>
      <c r="H299" s="118">
        <v>533.9</v>
      </c>
      <c r="I299" s="3">
        <v>523.23</v>
      </c>
      <c r="J299" s="118">
        <v>536.65</v>
      </c>
      <c r="K299" s="63">
        <f t="shared" si="180"/>
        <v>531.2600000000001</v>
      </c>
      <c r="L299" s="111">
        <f t="shared" si="181"/>
        <v>48875.920000000013</v>
      </c>
      <c r="M299" s="3">
        <v>531.54999999999995</v>
      </c>
      <c r="N299" s="86">
        <v>540.66</v>
      </c>
      <c r="O299" s="86">
        <v>539.23</v>
      </c>
      <c r="P299" s="63">
        <f t="shared" si="182"/>
        <v>537.14666666666665</v>
      </c>
      <c r="Q299" s="108">
        <f t="shared" si="183"/>
        <v>48880.346666666665</v>
      </c>
      <c r="R299" s="3">
        <v>546.73</v>
      </c>
      <c r="S299" s="86">
        <v>549.54999999999995</v>
      </c>
      <c r="T299" s="89">
        <v>542.33000000000004</v>
      </c>
      <c r="U299" s="63">
        <f t="shared" si="184"/>
        <v>546.20333333333338</v>
      </c>
      <c r="V299" s="111">
        <f t="shared" si="185"/>
        <v>49704.503333333334</v>
      </c>
      <c r="W299" s="64">
        <f t="shared" si="186"/>
        <v>536.6633333333333</v>
      </c>
      <c r="X299" s="65">
        <f t="shared" si="187"/>
        <v>196418.78</v>
      </c>
    </row>
    <row r="300" spans="1:24" ht="16.5" thickBot="1" x14ac:dyDescent="0.3">
      <c r="A300" s="51" t="s">
        <v>277</v>
      </c>
      <c r="B300" s="44" t="s">
        <v>273</v>
      </c>
      <c r="C300" s="4">
        <v>368.7</v>
      </c>
      <c r="D300" s="4">
        <v>389.1</v>
      </c>
      <c r="E300" s="3">
        <v>375.1</v>
      </c>
      <c r="F300" s="63">
        <f t="shared" si="178"/>
        <v>377.63333333333338</v>
      </c>
      <c r="G300" s="108">
        <f t="shared" si="179"/>
        <v>34742.26666666667</v>
      </c>
      <c r="H300" s="3">
        <v>359.84</v>
      </c>
      <c r="I300" s="3">
        <v>370.83</v>
      </c>
      <c r="J300" s="3">
        <v>367.13</v>
      </c>
      <c r="K300" s="63">
        <f t="shared" si="180"/>
        <v>365.93333333333334</v>
      </c>
      <c r="L300" s="108">
        <f t="shared" si="181"/>
        <v>33665.866666666669</v>
      </c>
      <c r="M300" s="3">
        <v>387.26</v>
      </c>
      <c r="N300" s="87">
        <v>370.69</v>
      </c>
      <c r="O300" s="87">
        <v>381.1</v>
      </c>
      <c r="P300" s="63">
        <f t="shared" si="182"/>
        <v>379.68333333333339</v>
      </c>
      <c r="Q300" s="108">
        <f t="shared" si="183"/>
        <v>34551.183333333342</v>
      </c>
      <c r="R300" s="3">
        <v>378.1</v>
      </c>
      <c r="S300" s="87">
        <v>371.32</v>
      </c>
      <c r="T300" s="90">
        <v>369.87</v>
      </c>
      <c r="U300" s="63">
        <f t="shared" si="184"/>
        <v>373.09666666666664</v>
      </c>
      <c r="V300" s="111">
        <f t="shared" si="185"/>
        <v>33951.796666666662</v>
      </c>
      <c r="W300" s="64">
        <f t="shared" si="186"/>
        <v>374.08666666666664</v>
      </c>
      <c r="X300" s="66">
        <f t="shared" si="187"/>
        <v>136915.72</v>
      </c>
    </row>
    <row r="301" spans="1:24" ht="16.5" thickBot="1" x14ac:dyDescent="0.3">
      <c r="A301" s="50" t="s">
        <v>141</v>
      </c>
      <c r="B301" s="44" t="s">
        <v>274</v>
      </c>
      <c r="C301" s="4">
        <v>103.5</v>
      </c>
      <c r="D301" s="4">
        <v>106.61</v>
      </c>
      <c r="E301" s="3">
        <v>112.3</v>
      </c>
      <c r="F301" s="63">
        <f t="shared" si="178"/>
        <v>107.47000000000001</v>
      </c>
      <c r="G301" s="108">
        <f t="shared" si="179"/>
        <v>9887.2400000000016</v>
      </c>
      <c r="H301" s="3">
        <v>104.45</v>
      </c>
      <c r="I301" s="3">
        <v>115.03</v>
      </c>
      <c r="J301" s="3">
        <v>108.74</v>
      </c>
      <c r="K301" s="63">
        <f t="shared" si="180"/>
        <v>109.40666666666668</v>
      </c>
      <c r="L301" s="108">
        <f t="shared" si="181"/>
        <v>10065.413333333334</v>
      </c>
      <c r="M301" s="3">
        <v>105.71</v>
      </c>
      <c r="N301" s="87">
        <v>110.93</v>
      </c>
      <c r="O301" s="87">
        <v>110.61</v>
      </c>
      <c r="P301" s="63">
        <f t="shared" si="182"/>
        <v>109.08333333333333</v>
      </c>
      <c r="Q301" s="108">
        <f t="shared" si="183"/>
        <v>9926.5833333333321</v>
      </c>
      <c r="R301" s="3">
        <v>110.73</v>
      </c>
      <c r="S301" s="87">
        <v>109.84</v>
      </c>
      <c r="T301" s="90">
        <v>111.77</v>
      </c>
      <c r="U301" s="63">
        <f t="shared" si="184"/>
        <v>110.77999999999999</v>
      </c>
      <c r="V301" s="111">
        <f t="shared" si="185"/>
        <v>10080.98</v>
      </c>
      <c r="W301" s="64">
        <f t="shared" si="186"/>
        <v>109.18499999999999</v>
      </c>
      <c r="X301" s="66">
        <f t="shared" si="187"/>
        <v>39961.71</v>
      </c>
    </row>
    <row r="302" spans="1:24" ht="16.5" thickBot="1" x14ac:dyDescent="0.3">
      <c r="A302" s="50" t="s">
        <v>142</v>
      </c>
      <c r="B302" s="34"/>
      <c r="C302" s="4">
        <v>0</v>
      </c>
      <c r="D302" s="4">
        <v>0</v>
      </c>
      <c r="E302" s="18"/>
      <c r="F302" s="67">
        <f t="shared" si="178"/>
        <v>0</v>
      </c>
      <c r="G302" s="108">
        <f t="shared" si="179"/>
        <v>0</v>
      </c>
      <c r="H302" s="18">
        <v>0</v>
      </c>
      <c r="I302" s="18">
        <v>0</v>
      </c>
      <c r="J302" s="18"/>
      <c r="K302" s="67">
        <f t="shared" si="180"/>
        <v>0</v>
      </c>
      <c r="L302" s="108">
        <f t="shared" si="181"/>
        <v>0</v>
      </c>
      <c r="M302" s="18"/>
      <c r="N302" s="4">
        <v>0</v>
      </c>
      <c r="O302" s="87"/>
      <c r="P302" s="67">
        <f t="shared" si="182"/>
        <v>0</v>
      </c>
      <c r="Q302" s="108">
        <f t="shared" si="183"/>
        <v>0</v>
      </c>
      <c r="R302" s="3"/>
      <c r="S302" s="4"/>
      <c r="T302" s="4"/>
      <c r="U302" s="67">
        <f t="shared" si="184"/>
        <v>0</v>
      </c>
      <c r="V302" s="112">
        <f t="shared" si="185"/>
        <v>0</v>
      </c>
      <c r="W302" s="137">
        <f t="shared" si="186"/>
        <v>0</v>
      </c>
      <c r="X302" s="66">
        <f>W302*365</f>
        <v>0</v>
      </c>
    </row>
    <row r="303" spans="1:24" ht="16.5" thickBot="1" x14ac:dyDescent="0.3">
      <c r="A303" s="46" t="s">
        <v>150</v>
      </c>
      <c r="B303" s="35"/>
      <c r="C303" s="80">
        <f>SUM(C289:C302)</f>
        <v>3624.599999999999</v>
      </c>
      <c r="D303" s="80">
        <f>SUM(D289:D302)</f>
        <v>3720.4250000000002</v>
      </c>
      <c r="E303" s="80">
        <f>SUM(E289:E302)</f>
        <v>3717.69</v>
      </c>
      <c r="F303" s="68">
        <f t="shared" si="178"/>
        <v>3687.5716666666667</v>
      </c>
      <c r="G303" s="108">
        <f t="shared" si="179"/>
        <v>339256.59333333332</v>
      </c>
      <c r="H303" s="94">
        <f>SUM(H289:H302)</f>
        <v>3693.3520000000003</v>
      </c>
      <c r="I303" s="80">
        <f>SUM(I289:I302)</f>
        <v>3759.1569999999997</v>
      </c>
      <c r="J303" s="80">
        <f>SUM(J289:J302)</f>
        <v>3718.3159999999998</v>
      </c>
      <c r="K303" s="68">
        <f t="shared" si="180"/>
        <v>3723.6083333333336</v>
      </c>
      <c r="L303" s="119">
        <f t="shared" si="181"/>
        <v>342571.96666666667</v>
      </c>
      <c r="M303" s="9">
        <f>SUM(M289:M302)</f>
        <v>3724.232</v>
      </c>
      <c r="N303" s="80">
        <f>SUM(N289:N302)</f>
        <v>3704.0769999999998</v>
      </c>
      <c r="O303" s="80">
        <f>SUM(O289:O302)</f>
        <v>3720.6910000000003</v>
      </c>
      <c r="P303" s="68">
        <f t="shared" si="182"/>
        <v>3716.3333333333335</v>
      </c>
      <c r="Q303" s="119">
        <f t="shared" si="183"/>
        <v>338186.33333333337</v>
      </c>
      <c r="R303" s="94">
        <f>SUM(R289:R302)</f>
        <v>3704.8599999999997</v>
      </c>
      <c r="S303" s="80">
        <f>SUM(S289:S302)</f>
        <v>3722.0740000000001</v>
      </c>
      <c r="T303" s="81">
        <f>SUM(T289:T302)</f>
        <v>3675.18</v>
      </c>
      <c r="U303" s="68">
        <f t="shared" si="184"/>
        <v>3700.7046666666665</v>
      </c>
      <c r="V303" s="120">
        <f t="shared" si="185"/>
        <v>336764.12466666667</v>
      </c>
      <c r="W303" s="138">
        <f t="shared" si="186"/>
        <v>3707.0545000000002</v>
      </c>
      <c r="X303" s="69">
        <f>SUM(X289:X302)</f>
        <v>1356781.9470000002</v>
      </c>
    </row>
    <row r="304" spans="1:24" ht="16.5" thickBot="1" x14ac:dyDescent="0.3">
      <c r="A304" s="46" t="s">
        <v>151</v>
      </c>
      <c r="B304" s="35"/>
      <c r="C304" s="70"/>
      <c r="D304" s="70"/>
      <c r="E304" s="71"/>
      <c r="F304" s="98"/>
      <c r="G304" s="98"/>
      <c r="H304" s="72"/>
      <c r="I304" s="70" t="s">
        <v>251</v>
      </c>
      <c r="J304" s="71"/>
      <c r="K304" s="97"/>
      <c r="L304" s="97"/>
      <c r="M304" s="72"/>
      <c r="N304" s="70"/>
      <c r="O304" s="71"/>
      <c r="P304" s="97"/>
      <c r="Q304" s="97"/>
      <c r="R304" s="72"/>
      <c r="S304" s="70"/>
      <c r="T304" s="71"/>
      <c r="U304" s="71"/>
      <c r="V304" s="70"/>
      <c r="W304" s="96"/>
      <c r="X304" s="69" t="s">
        <v>0</v>
      </c>
    </row>
    <row r="305" spans="1:24" ht="25.5" customHeight="1" thickBot="1" x14ac:dyDescent="0.3">
      <c r="A305" s="49" t="s">
        <v>143</v>
      </c>
      <c r="B305" s="33"/>
      <c r="C305" s="6">
        <v>546</v>
      </c>
      <c r="D305" s="6">
        <v>550</v>
      </c>
      <c r="E305" s="6">
        <v>604</v>
      </c>
      <c r="F305" s="63">
        <f t="shared" ref="F305:F311" si="188">SUM(C305:E305)/3</f>
        <v>566.66666666666663</v>
      </c>
      <c r="G305" s="108">
        <f t="shared" ref="G305:G311" si="189">F305*92</f>
        <v>52133.333333333328</v>
      </c>
      <c r="H305" s="6">
        <v>624</v>
      </c>
      <c r="I305" s="6">
        <v>648</v>
      </c>
      <c r="J305" s="6">
        <v>622</v>
      </c>
      <c r="K305" s="63">
        <f t="shared" ref="K305:K312" si="190">SUM(H305:J305)/3</f>
        <v>631.33333333333337</v>
      </c>
      <c r="L305" s="108">
        <f t="shared" ref="L305:L311" si="191">K305*92</f>
        <v>58082.666666666672</v>
      </c>
      <c r="M305" s="6">
        <v>637</v>
      </c>
      <c r="N305" s="73">
        <v>647</v>
      </c>
      <c r="O305" s="73">
        <v>630</v>
      </c>
      <c r="P305" s="63">
        <f t="shared" ref="P305:P312" si="192">SUM(M305:O305)/3</f>
        <v>638</v>
      </c>
      <c r="Q305" s="108">
        <f t="shared" ref="Q305:Q311" si="193">P305*91</f>
        <v>58058</v>
      </c>
      <c r="R305" s="6">
        <v>629</v>
      </c>
      <c r="S305" s="73">
        <v>612</v>
      </c>
      <c r="T305" s="74">
        <v>609</v>
      </c>
      <c r="U305" s="63">
        <f t="shared" ref="U305:U312" si="194">SUM(R305:T305)/3</f>
        <v>616.66666666666663</v>
      </c>
      <c r="V305" s="111">
        <f t="shared" ref="V305:V311" si="195">U305*91</f>
        <v>56116.666666666664</v>
      </c>
      <c r="W305" s="64">
        <f t="shared" ref="W305:W310" si="196">SUM(C305+D305+E305+H305+I305+J305+M305+N305+O305+R305+S305+T305)/12</f>
        <v>613.16666666666663</v>
      </c>
      <c r="X305" s="65">
        <f t="shared" ref="X305:X310" si="197">W305*366</f>
        <v>224419</v>
      </c>
    </row>
    <row r="306" spans="1:24" ht="16.5" thickBot="1" x14ac:dyDescent="0.3">
      <c r="A306" s="50" t="s">
        <v>144</v>
      </c>
      <c r="B306" s="34"/>
      <c r="C306" s="5">
        <v>6</v>
      </c>
      <c r="D306" s="5">
        <v>4</v>
      </c>
      <c r="E306" s="5">
        <v>5</v>
      </c>
      <c r="F306" s="63">
        <f t="shared" si="188"/>
        <v>5</v>
      </c>
      <c r="G306" s="108">
        <f t="shared" si="189"/>
        <v>460</v>
      </c>
      <c r="H306" s="5">
        <v>6</v>
      </c>
      <c r="I306" s="5">
        <v>5</v>
      </c>
      <c r="J306" s="5">
        <v>5</v>
      </c>
      <c r="K306" s="63">
        <f t="shared" si="190"/>
        <v>5.333333333333333</v>
      </c>
      <c r="L306" s="108">
        <f t="shared" si="191"/>
        <v>490.66666666666663</v>
      </c>
      <c r="M306" s="5">
        <v>6</v>
      </c>
      <c r="N306" s="75">
        <v>7</v>
      </c>
      <c r="O306" s="75">
        <v>7</v>
      </c>
      <c r="P306" s="63">
        <f t="shared" si="192"/>
        <v>6.666666666666667</v>
      </c>
      <c r="Q306" s="108">
        <f t="shared" si="193"/>
        <v>606.66666666666674</v>
      </c>
      <c r="R306" s="5">
        <v>7</v>
      </c>
      <c r="S306" s="75">
        <v>7</v>
      </c>
      <c r="T306" s="76">
        <v>5</v>
      </c>
      <c r="U306" s="63">
        <f t="shared" si="194"/>
        <v>6.333333333333333</v>
      </c>
      <c r="V306" s="111">
        <f t="shared" si="195"/>
        <v>576.33333333333326</v>
      </c>
      <c r="W306" s="64">
        <f t="shared" si="196"/>
        <v>5.833333333333333</v>
      </c>
      <c r="X306" s="66">
        <f t="shared" si="197"/>
        <v>2135</v>
      </c>
    </row>
    <row r="307" spans="1:24" ht="16.5" thickBot="1" x14ac:dyDescent="0.3">
      <c r="A307" s="50" t="s">
        <v>146</v>
      </c>
      <c r="B307" s="34"/>
      <c r="C307" s="5">
        <v>29</v>
      </c>
      <c r="D307" s="5">
        <v>29</v>
      </c>
      <c r="E307" s="5">
        <v>28</v>
      </c>
      <c r="F307" s="63">
        <f t="shared" si="188"/>
        <v>28.666666666666668</v>
      </c>
      <c r="G307" s="108">
        <f t="shared" si="189"/>
        <v>2637.3333333333335</v>
      </c>
      <c r="H307" s="5">
        <v>32</v>
      </c>
      <c r="I307" s="5">
        <v>32</v>
      </c>
      <c r="J307" s="5">
        <v>33</v>
      </c>
      <c r="K307" s="63">
        <f t="shared" si="190"/>
        <v>32.333333333333336</v>
      </c>
      <c r="L307" s="108">
        <f t="shared" si="191"/>
        <v>2974.666666666667</v>
      </c>
      <c r="M307" s="5">
        <v>32</v>
      </c>
      <c r="N307" s="75">
        <v>32</v>
      </c>
      <c r="O307" s="75">
        <v>32</v>
      </c>
      <c r="P307" s="63">
        <f t="shared" si="192"/>
        <v>32</v>
      </c>
      <c r="Q307" s="108">
        <f t="shared" si="193"/>
        <v>2912</v>
      </c>
      <c r="R307" s="5">
        <v>35</v>
      </c>
      <c r="S307" s="75">
        <v>34</v>
      </c>
      <c r="T307" s="76">
        <v>32</v>
      </c>
      <c r="U307" s="63">
        <f t="shared" si="194"/>
        <v>33.666666666666664</v>
      </c>
      <c r="V307" s="111">
        <f t="shared" si="195"/>
        <v>3063.6666666666665</v>
      </c>
      <c r="W307" s="64">
        <f t="shared" si="196"/>
        <v>31.666666666666668</v>
      </c>
      <c r="X307" s="66">
        <f t="shared" si="197"/>
        <v>11590</v>
      </c>
    </row>
    <row r="308" spans="1:24" ht="16.5" thickBot="1" x14ac:dyDescent="0.3">
      <c r="A308" s="50" t="s">
        <v>145</v>
      </c>
      <c r="B308" s="34"/>
      <c r="C308" s="5">
        <v>144</v>
      </c>
      <c r="D308" s="5">
        <v>146</v>
      </c>
      <c r="E308" s="5">
        <v>146</v>
      </c>
      <c r="F308" s="63">
        <f t="shared" si="188"/>
        <v>145.33333333333334</v>
      </c>
      <c r="G308" s="108">
        <f t="shared" si="189"/>
        <v>13370.666666666668</v>
      </c>
      <c r="H308" s="5">
        <v>153</v>
      </c>
      <c r="I308" s="5">
        <v>159</v>
      </c>
      <c r="J308" s="5">
        <v>147</v>
      </c>
      <c r="K308" s="63">
        <f t="shared" si="190"/>
        <v>153</v>
      </c>
      <c r="L308" s="108">
        <f t="shared" si="191"/>
        <v>14076</v>
      </c>
      <c r="M308" s="5">
        <v>150</v>
      </c>
      <c r="N308" s="75">
        <v>145</v>
      </c>
      <c r="O308" s="75">
        <v>147</v>
      </c>
      <c r="P308" s="63">
        <f t="shared" si="192"/>
        <v>147.33333333333334</v>
      </c>
      <c r="Q308" s="108">
        <f t="shared" si="193"/>
        <v>13407.333333333334</v>
      </c>
      <c r="R308" s="5">
        <v>153</v>
      </c>
      <c r="S308" s="75">
        <v>162</v>
      </c>
      <c r="T308" s="76">
        <v>155</v>
      </c>
      <c r="U308" s="63">
        <f t="shared" si="194"/>
        <v>156.66666666666666</v>
      </c>
      <c r="V308" s="111">
        <f t="shared" si="195"/>
        <v>14256.666666666666</v>
      </c>
      <c r="W308" s="64">
        <f t="shared" si="196"/>
        <v>150.58333333333334</v>
      </c>
      <c r="X308" s="66">
        <f t="shared" si="197"/>
        <v>55113.5</v>
      </c>
    </row>
    <row r="309" spans="1:24" ht="16.5" thickBot="1" x14ac:dyDescent="0.3">
      <c r="A309" s="50" t="s">
        <v>147</v>
      </c>
      <c r="B309" s="34"/>
      <c r="C309" s="5">
        <v>913</v>
      </c>
      <c r="D309" s="5">
        <v>860</v>
      </c>
      <c r="E309" s="5">
        <v>859</v>
      </c>
      <c r="F309" s="63">
        <f t="shared" si="188"/>
        <v>877.33333333333337</v>
      </c>
      <c r="G309" s="108">
        <f t="shared" si="189"/>
        <v>80714.666666666672</v>
      </c>
      <c r="H309" s="5">
        <v>856</v>
      </c>
      <c r="I309" s="5">
        <v>853</v>
      </c>
      <c r="J309" s="5">
        <v>854</v>
      </c>
      <c r="K309" s="63">
        <f t="shared" si="190"/>
        <v>854.33333333333337</v>
      </c>
      <c r="L309" s="108">
        <f t="shared" si="191"/>
        <v>78598.666666666672</v>
      </c>
      <c r="M309" s="5">
        <v>854</v>
      </c>
      <c r="N309" s="75">
        <v>853</v>
      </c>
      <c r="O309" s="75">
        <v>847</v>
      </c>
      <c r="P309" s="63">
        <f t="shared" si="192"/>
        <v>851.33333333333337</v>
      </c>
      <c r="Q309" s="108">
        <f t="shared" si="193"/>
        <v>77471.333333333343</v>
      </c>
      <c r="R309" s="5">
        <v>847</v>
      </c>
      <c r="S309" s="75">
        <v>845</v>
      </c>
      <c r="T309" s="76">
        <v>839</v>
      </c>
      <c r="U309" s="63">
        <f t="shared" si="194"/>
        <v>843.66666666666663</v>
      </c>
      <c r="V309" s="111">
        <f t="shared" si="195"/>
        <v>76773.666666666657</v>
      </c>
      <c r="W309" s="64">
        <f t="shared" si="196"/>
        <v>856.66666666666663</v>
      </c>
      <c r="X309" s="66">
        <f t="shared" si="197"/>
        <v>313540</v>
      </c>
    </row>
    <row r="310" spans="1:24" ht="16.5" thickBot="1" x14ac:dyDescent="0.3">
      <c r="A310" s="50" t="s">
        <v>148</v>
      </c>
      <c r="B310" s="34"/>
      <c r="C310" s="5">
        <v>18</v>
      </c>
      <c r="D310" s="5">
        <v>18</v>
      </c>
      <c r="E310" s="5">
        <v>18</v>
      </c>
      <c r="F310" s="63">
        <f t="shared" si="188"/>
        <v>18</v>
      </c>
      <c r="G310" s="108">
        <f t="shared" si="189"/>
        <v>1656</v>
      </c>
      <c r="H310" s="5">
        <v>18</v>
      </c>
      <c r="I310" s="5">
        <v>18</v>
      </c>
      <c r="J310" s="5">
        <v>18</v>
      </c>
      <c r="K310" s="63">
        <f t="shared" si="190"/>
        <v>18</v>
      </c>
      <c r="L310" s="108">
        <f t="shared" si="191"/>
        <v>1656</v>
      </c>
      <c r="M310" s="5">
        <v>18</v>
      </c>
      <c r="N310" s="75">
        <v>17</v>
      </c>
      <c r="O310" s="75">
        <v>17</v>
      </c>
      <c r="P310" s="63">
        <f t="shared" si="192"/>
        <v>17.333333333333332</v>
      </c>
      <c r="Q310" s="108">
        <f t="shared" si="193"/>
        <v>1577.3333333333333</v>
      </c>
      <c r="R310" s="5">
        <v>17</v>
      </c>
      <c r="S310" s="75">
        <v>17</v>
      </c>
      <c r="T310" s="76">
        <v>17</v>
      </c>
      <c r="U310" s="63">
        <f t="shared" si="194"/>
        <v>17</v>
      </c>
      <c r="V310" s="112">
        <f t="shared" si="195"/>
        <v>1547</v>
      </c>
      <c r="W310" s="64">
        <f t="shared" si="196"/>
        <v>17.583333333333332</v>
      </c>
      <c r="X310" s="66">
        <f t="shared" si="197"/>
        <v>6435.5</v>
      </c>
    </row>
    <row r="311" spans="1:24" ht="16.5" thickBot="1" x14ac:dyDescent="0.3">
      <c r="A311" s="53" t="s">
        <v>152</v>
      </c>
      <c r="B311" s="37"/>
      <c r="C311" s="80">
        <f>SUM(C305:C310)</f>
        <v>1656</v>
      </c>
      <c r="D311" s="80">
        <f>SUM(D305:D310)</f>
        <v>1607</v>
      </c>
      <c r="E311" s="80">
        <f>SUM(E305:E310)</f>
        <v>1660</v>
      </c>
      <c r="F311" s="68">
        <f t="shared" si="188"/>
        <v>1641</v>
      </c>
      <c r="G311" s="108">
        <f t="shared" si="189"/>
        <v>150972</v>
      </c>
      <c r="H311" s="94">
        <f>SUM(H305:H310)</f>
        <v>1689</v>
      </c>
      <c r="I311" s="80">
        <f>SUM(I305:I310)</f>
        <v>1715</v>
      </c>
      <c r="J311" s="80">
        <f>SUM(J305:J310)</f>
        <v>1679</v>
      </c>
      <c r="K311" s="68">
        <f t="shared" si="190"/>
        <v>1694.3333333333333</v>
      </c>
      <c r="L311" s="119">
        <f t="shared" si="191"/>
        <v>155878.66666666666</v>
      </c>
      <c r="M311" s="94">
        <f>SUM(M305:M310)</f>
        <v>1697</v>
      </c>
      <c r="N311" s="80">
        <f>SUM(N305:N310)</f>
        <v>1701</v>
      </c>
      <c r="O311" s="80">
        <f>SUM(O305:O310)</f>
        <v>1680</v>
      </c>
      <c r="P311" s="68">
        <f t="shared" si="192"/>
        <v>1692.6666666666667</v>
      </c>
      <c r="Q311" s="108">
        <f t="shared" si="193"/>
        <v>154032.66666666669</v>
      </c>
      <c r="R311" s="94">
        <f>SUM(R305:R310)</f>
        <v>1688</v>
      </c>
      <c r="S311" s="80">
        <f>SUM(S305:S310)</f>
        <v>1677</v>
      </c>
      <c r="T311" s="81">
        <f>SUM(T305:T310)</f>
        <v>1657</v>
      </c>
      <c r="U311" s="68">
        <f t="shared" si="194"/>
        <v>1674</v>
      </c>
      <c r="V311" s="120">
        <f t="shared" si="195"/>
        <v>152334</v>
      </c>
      <c r="W311" s="69">
        <f>SUM(W305:W310)</f>
        <v>1675.4999999999998</v>
      </c>
      <c r="X311" s="69">
        <f>SUM(X305:X310)</f>
        <v>613233</v>
      </c>
    </row>
    <row r="312" spans="1:24" ht="16.5" thickBot="1" x14ac:dyDescent="0.3">
      <c r="A312" s="54" t="s">
        <v>156</v>
      </c>
      <c r="B312" s="38"/>
      <c r="C312" s="80">
        <f>C303+C311</f>
        <v>5280.5999999999985</v>
      </c>
      <c r="D312" s="80">
        <f>D303+D311</f>
        <v>5327.4250000000002</v>
      </c>
      <c r="E312" s="80">
        <f>E303+E311</f>
        <v>5377.6900000000005</v>
      </c>
      <c r="F312" s="80">
        <f>F303+F311</f>
        <v>5328.5716666666667</v>
      </c>
      <c r="G312" s="68">
        <f>SUM(G303+G311)</f>
        <v>490228.59333333332</v>
      </c>
      <c r="H312" s="80">
        <f>H303+H311</f>
        <v>5382.3520000000008</v>
      </c>
      <c r="I312" s="80">
        <f>I303+I311</f>
        <v>5474.1569999999992</v>
      </c>
      <c r="J312" s="80">
        <f>J303+J311</f>
        <v>5397.3159999999998</v>
      </c>
      <c r="K312" s="120">
        <f t="shared" si="190"/>
        <v>5417.9416666666666</v>
      </c>
      <c r="L312" s="68">
        <f>SUM(L303+L311)</f>
        <v>498450.6333333333</v>
      </c>
      <c r="M312" s="94">
        <f>M303+M311</f>
        <v>5421.232</v>
      </c>
      <c r="N312" s="80">
        <f>N303+N311</f>
        <v>5405.0769999999993</v>
      </c>
      <c r="O312" s="80">
        <f>O303+O311</f>
        <v>5400.6910000000007</v>
      </c>
      <c r="P312" s="99">
        <f t="shared" si="192"/>
        <v>5409</v>
      </c>
      <c r="Q312" s="68">
        <f>SUM(Q303+Q311)</f>
        <v>492219.00000000006</v>
      </c>
      <c r="R312" s="94">
        <f>R303+R311</f>
        <v>5392.86</v>
      </c>
      <c r="S312" s="80">
        <f>S303+S311</f>
        <v>5399.0740000000005</v>
      </c>
      <c r="T312" s="81">
        <f>T303+T311</f>
        <v>5332.18</v>
      </c>
      <c r="U312" s="99">
        <f t="shared" si="194"/>
        <v>5374.7046666666674</v>
      </c>
      <c r="V312" s="68">
        <f>SUM(V303+V311)</f>
        <v>489098.12466666667</v>
      </c>
      <c r="W312" s="80">
        <f>W303+W311</f>
        <v>5382.5545000000002</v>
      </c>
      <c r="X312" s="82">
        <f>X303+X311</f>
        <v>1970014.9470000002</v>
      </c>
    </row>
    <row r="313" spans="1:24" ht="15.75" x14ac:dyDescent="0.25">
      <c r="A313" s="114"/>
      <c r="B313" s="19"/>
      <c r="C313" s="115"/>
      <c r="D313" s="115"/>
      <c r="E313" s="115"/>
      <c r="F313" s="115"/>
      <c r="G313" s="113"/>
      <c r="H313" s="115"/>
      <c r="I313" s="115"/>
      <c r="J313" s="115"/>
      <c r="K313" s="139"/>
      <c r="L313" s="113"/>
      <c r="M313" s="115"/>
      <c r="N313" s="115"/>
      <c r="O313" s="115"/>
      <c r="P313" s="93"/>
      <c r="Q313" s="113"/>
      <c r="R313" s="115"/>
      <c r="S313" s="115"/>
      <c r="T313" s="115"/>
      <c r="U313" s="93"/>
      <c r="V313" s="113"/>
      <c r="W313" s="115"/>
      <c r="X313" s="115"/>
    </row>
    <row r="315" spans="1:24" ht="16.5" thickBot="1" x14ac:dyDescent="0.25">
      <c r="A315" s="45" t="s">
        <v>155</v>
      </c>
      <c r="B315" s="10"/>
      <c r="C315" s="13"/>
      <c r="D315" s="13"/>
      <c r="E315" s="13"/>
      <c r="F315" s="13"/>
      <c r="G315" s="13"/>
      <c r="H315" s="13"/>
      <c r="I315" s="13"/>
      <c r="J315" s="13"/>
      <c r="K315" s="13"/>
      <c r="L315" s="13"/>
      <c r="M315" s="13"/>
      <c r="N315" s="13"/>
      <c r="O315" s="13"/>
      <c r="P315" s="13"/>
      <c r="Q315" s="13"/>
      <c r="R315" s="13"/>
      <c r="S315" s="13"/>
      <c r="T315" s="13"/>
      <c r="U315" s="13"/>
      <c r="V315" s="13"/>
      <c r="W315" s="13"/>
      <c r="X315" s="13"/>
    </row>
    <row r="316" spans="1:24" ht="16.5" thickBot="1" x14ac:dyDescent="0.3">
      <c r="A316" s="32" t="s">
        <v>293</v>
      </c>
      <c r="B316" s="1200" t="s">
        <v>153</v>
      </c>
      <c r="C316" s="1205"/>
      <c r="D316" s="1205"/>
      <c r="E316" s="1205"/>
      <c r="F316" s="1205"/>
      <c r="G316" s="1205"/>
      <c r="H316" s="1205"/>
      <c r="I316" s="1205"/>
      <c r="J316" s="1205"/>
      <c r="K316" s="1205"/>
      <c r="L316" s="1205"/>
      <c r="M316" s="1205"/>
      <c r="N316" s="1205"/>
      <c r="O316" s="1205"/>
      <c r="P316" s="1205"/>
      <c r="Q316" s="1205"/>
      <c r="R316" s="1205"/>
      <c r="S316" s="1205"/>
      <c r="T316" s="1205"/>
      <c r="U316" s="39"/>
      <c r="V316" s="39"/>
      <c r="W316" s="92"/>
      <c r="X316" s="13"/>
    </row>
    <row r="317" spans="1:24" ht="15.75" x14ac:dyDescent="0.25">
      <c r="A317" s="11"/>
      <c r="B317" s="40" t="s">
        <v>261</v>
      </c>
      <c r="C317" s="57"/>
      <c r="D317" s="58"/>
      <c r="E317" s="58"/>
      <c r="F317" s="1192" t="s">
        <v>258</v>
      </c>
      <c r="G317" s="1184" t="s">
        <v>278</v>
      </c>
      <c r="H317" s="58"/>
      <c r="I317" s="58"/>
      <c r="J317" s="58"/>
      <c r="K317" s="1192" t="s">
        <v>258</v>
      </c>
      <c r="L317" s="1184" t="s">
        <v>278</v>
      </c>
      <c r="M317" s="58"/>
      <c r="N317" s="58"/>
      <c r="O317" s="58"/>
      <c r="P317" s="1192" t="s">
        <v>258</v>
      </c>
      <c r="Q317" s="1184" t="s">
        <v>278</v>
      </c>
      <c r="R317" s="58"/>
      <c r="S317" s="58"/>
      <c r="T317" s="59"/>
      <c r="U317" s="1192" t="s">
        <v>258</v>
      </c>
      <c r="V317" s="1184" t="s">
        <v>278</v>
      </c>
      <c r="W317" s="1186" t="s">
        <v>154</v>
      </c>
      <c r="X317" s="1188" t="s">
        <v>155</v>
      </c>
    </row>
    <row r="318" spans="1:24" ht="15.75" customHeight="1" thickBot="1" x14ac:dyDescent="0.3">
      <c r="A318" s="47" t="s">
        <v>56</v>
      </c>
      <c r="B318" s="41" t="s">
        <v>262</v>
      </c>
      <c r="C318" s="60">
        <v>38904</v>
      </c>
      <c r="D318" s="61">
        <v>38935</v>
      </c>
      <c r="E318" s="61">
        <v>38966</v>
      </c>
      <c r="F318" s="1193"/>
      <c r="G318" s="1202"/>
      <c r="H318" s="61">
        <v>38996</v>
      </c>
      <c r="I318" s="61">
        <v>39027</v>
      </c>
      <c r="J318" s="61">
        <v>39057</v>
      </c>
      <c r="K318" s="1202"/>
      <c r="L318" s="1202"/>
      <c r="M318" s="61">
        <v>39083</v>
      </c>
      <c r="N318" s="61">
        <v>39114</v>
      </c>
      <c r="O318" s="61">
        <v>39142</v>
      </c>
      <c r="P318" s="1202"/>
      <c r="Q318" s="1202"/>
      <c r="R318" s="61">
        <v>39179</v>
      </c>
      <c r="S318" s="61">
        <v>39203</v>
      </c>
      <c r="T318" s="62">
        <v>39234</v>
      </c>
      <c r="U318" s="1202"/>
      <c r="V318" s="1202"/>
      <c r="W318" s="1202"/>
      <c r="X318" s="1202"/>
    </row>
    <row r="319" spans="1:24" ht="32.25" customHeight="1" thickBot="1" x14ac:dyDescent="0.3">
      <c r="A319" s="48" t="s">
        <v>291</v>
      </c>
      <c r="B319" s="42" t="s">
        <v>263</v>
      </c>
      <c r="C319" s="125">
        <v>507.61</v>
      </c>
      <c r="D319" s="125">
        <v>517.41999999999996</v>
      </c>
      <c r="E319" s="117">
        <v>502.5</v>
      </c>
      <c r="F319" s="63">
        <f t="shared" ref="F319:F333" si="198">SUM(C319:E319)/3</f>
        <v>509.17666666666668</v>
      </c>
      <c r="G319" s="108">
        <f t="shared" ref="G319:G333" si="199">F319*92</f>
        <v>46844.253333333334</v>
      </c>
      <c r="H319" s="117">
        <v>517.05999999999995</v>
      </c>
      <c r="I319" s="117">
        <v>478.57</v>
      </c>
      <c r="J319" s="117">
        <v>473.52</v>
      </c>
      <c r="K319" s="63">
        <f t="shared" ref="K319:K333" si="200">SUM(H319:J319)/3</f>
        <v>489.71666666666664</v>
      </c>
      <c r="L319" s="108">
        <f t="shared" ref="L319:L333" si="201">K319*92</f>
        <v>45053.933333333334</v>
      </c>
      <c r="M319" s="117">
        <v>492.71</v>
      </c>
      <c r="N319" s="85">
        <v>477.46</v>
      </c>
      <c r="O319" s="85">
        <v>479.58</v>
      </c>
      <c r="P319" s="63">
        <f t="shared" ref="P319:P333" si="202">SUM(M319:O319)/3</f>
        <v>483.25</v>
      </c>
      <c r="Q319" s="108">
        <f t="shared" ref="Q319:Q331" si="203">P319*90</f>
        <v>43492.5</v>
      </c>
      <c r="R319" s="117">
        <v>502.57</v>
      </c>
      <c r="S319" s="85">
        <v>505.87</v>
      </c>
      <c r="T319" s="135">
        <v>514.29999999999995</v>
      </c>
      <c r="U319" s="63">
        <f t="shared" ref="U319:U333" si="204">SUM(R319:T319)/3</f>
        <v>507.58</v>
      </c>
      <c r="V319" s="111">
        <f t="shared" ref="V319:V333" si="205">U319*91</f>
        <v>46189.78</v>
      </c>
      <c r="W319" s="64">
        <f t="shared" ref="W319:W333" si="206">SUM(C319+D319+E319+H319+I319+J319+M319+N319+O319+R319+S319+T319)/12</f>
        <v>497.43083333333334</v>
      </c>
      <c r="X319" s="65">
        <f>W319*365</f>
        <v>181562.25416666668</v>
      </c>
    </row>
    <row r="320" spans="1:24" ht="16.5" thickBot="1" x14ac:dyDescent="0.3">
      <c r="A320" s="49" t="s">
        <v>138</v>
      </c>
      <c r="B320" s="43" t="s">
        <v>264</v>
      </c>
      <c r="C320" s="126">
        <v>92.483999999999995</v>
      </c>
      <c r="D320" s="126">
        <v>96.77</v>
      </c>
      <c r="E320" s="118">
        <v>100.47</v>
      </c>
      <c r="F320" s="63">
        <f t="shared" si="198"/>
        <v>96.574666666666658</v>
      </c>
      <c r="G320" s="108">
        <f t="shared" si="199"/>
        <v>8884.8693333333322</v>
      </c>
      <c r="H320" s="118">
        <v>115.61</v>
      </c>
      <c r="I320" s="118">
        <v>106.2</v>
      </c>
      <c r="J320" s="118">
        <v>105.32</v>
      </c>
      <c r="K320" s="63">
        <f t="shared" si="200"/>
        <v>109.04333333333334</v>
      </c>
      <c r="L320" s="108">
        <f t="shared" si="201"/>
        <v>10031.986666666668</v>
      </c>
      <c r="M320" s="118">
        <v>109.97</v>
      </c>
      <c r="N320" s="86">
        <v>117.71</v>
      </c>
      <c r="O320" s="86">
        <v>109.81</v>
      </c>
      <c r="P320" s="63">
        <f t="shared" si="202"/>
        <v>112.49666666666667</v>
      </c>
      <c r="Q320" s="108">
        <f t="shared" si="203"/>
        <v>10124.700000000001</v>
      </c>
      <c r="R320" s="118">
        <v>115.3</v>
      </c>
      <c r="S320" s="86">
        <v>104.58</v>
      </c>
      <c r="T320" s="89">
        <v>102.43</v>
      </c>
      <c r="U320" s="63">
        <f t="shared" si="204"/>
        <v>107.43666666666667</v>
      </c>
      <c r="V320" s="111">
        <f t="shared" si="205"/>
        <v>9776.7366666666676</v>
      </c>
      <c r="W320" s="64">
        <f t="shared" si="206"/>
        <v>106.38783333333333</v>
      </c>
      <c r="X320" s="65">
        <f>W320*365</f>
        <v>38831.559166666666</v>
      </c>
    </row>
    <row r="321" spans="1:24" ht="16.5" thickBot="1" x14ac:dyDescent="0.3">
      <c r="A321" s="50" t="s">
        <v>292</v>
      </c>
      <c r="B321" s="44" t="s">
        <v>265</v>
      </c>
      <c r="C321" s="4">
        <v>443.39</v>
      </c>
      <c r="D321" s="4">
        <v>463.68</v>
      </c>
      <c r="E321" s="3">
        <v>472.6</v>
      </c>
      <c r="F321" s="63">
        <f t="shared" si="198"/>
        <v>459.89000000000004</v>
      </c>
      <c r="G321" s="108">
        <f t="shared" si="199"/>
        <v>42309.880000000005</v>
      </c>
      <c r="H321" s="3">
        <v>474.42</v>
      </c>
      <c r="I321" s="3">
        <v>468.67</v>
      </c>
      <c r="J321" s="3">
        <v>467.94</v>
      </c>
      <c r="K321" s="63">
        <f t="shared" si="200"/>
        <v>470.34333333333331</v>
      </c>
      <c r="L321" s="108">
        <f t="shared" si="201"/>
        <v>43271.586666666662</v>
      </c>
      <c r="M321" s="3">
        <v>473.52</v>
      </c>
      <c r="N321" s="87">
        <v>467.43</v>
      </c>
      <c r="O321" s="87">
        <v>469.32</v>
      </c>
      <c r="P321" s="63">
        <f t="shared" si="202"/>
        <v>470.09</v>
      </c>
      <c r="Q321" s="108">
        <f t="shared" si="203"/>
        <v>42308.1</v>
      </c>
      <c r="R321" s="3">
        <v>477.13</v>
      </c>
      <c r="S321" s="87">
        <v>481.65</v>
      </c>
      <c r="T321" s="90">
        <v>481.73</v>
      </c>
      <c r="U321" s="63">
        <f t="shared" si="204"/>
        <v>480.17</v>
      </c>
      <c r="V321" s="111">
        <f t="shared" si="205"/>
        <v>43695.47</v>
      </c>
      <c r="W321" s="64">
        <f t="shared" si="206"/>
        <v>470.12333333333328</v>
      </c>
      <c r="X321" s="66">
        <f t="shared" ref="X321:X340" si="207">W321*365</f>
        <v>171595.01666666663</v>
      </c>
    </row>
    <row r="322" spans="1:24" ht="16.5" thickBot="1" x14ac:dyDescent="0.3">
      <c r="A322" s="50" t="s">
        <v>25</v>
      </c>
      <c r="B322" s="44" t="s">
        <v>266</v>
      </c>
      <c r="C322" s="4">
        <v>323.45</v>
      </c>
      <c r="D322" s="4">
        <v>320.61</v>
      </c>
      <c r="E322" s="3">
        <v>305.67</v>
      </c>
      <c r="F322" s="63">
        <f t="shared" si="198"/>
        <v>316.57666666666665</v>
      </c>
      <c r="G322" s="108">
        <f t="shared" si="199"/>
        <v>29125.053333333333</v>
      </c>
      <c r="H322" s="3">
        <v>295</v>
      </c>
      <c r="I322" s="3">
        <v>285.23</v>
      </c>
      <c r="J322" s="3">
        <v>263.48</v>
      </c>
      <c r="K322" s="63">
        <f t="shared" si="200"/>
        <v>281.23666666666668</v>
      </c>
      <c r="L322" s="108">
        <f t="shared" si="201"/>
        <v>25873.773333333334</v>
      </c>
      <c r="M322" s="3">
        <v>263.19</v>
      </c>
      <c r="N322" s="87">
        <v>241.18</v>
      </c>
      <c r="O322" s="87">
        <v>239.06</v>
      </c>
      <c r="P322" s="63">
        <f t="shared" si="202"/>
        <v>247.81000000000003</v>
      </c>
      <c r="Q322" s="108">
        <f t="shared" si="203"/>
        <v>22302.9</v>
      </c>
      <c r="R322" s="3">
        <v>254.13</v>
      </c>
      <c r="S322" s="87">
        <v>265.87</v>
      </c>
      <c r="T322" s="90">
        <v>273</v>
      </c>
      <c r="U322" s="63">
        <f t="shared" si="204"/>
        <v>264.33333333333331</v>
      </c>
      <c r="V322" s="111">
        <f t="shared" si="205"/>
        <v>24054.333333333332</v>
      </c>
      <c r="W322" s="64">
        <f t="shared" si="206"/>
        <v>277.48916666666668</v>
      </c>
      <c r="X322" s="66">
        <f t="shared" si="207"/>
        <v>101283.54583333334</v>
      </c>
    </row>
    <row r="323" spans="1:24" ht="16.5" thickBot="1" x14ac:dyDescent="0.3">
      <c r="A323" s="51" t="s">
        <v>275</v>
      </c>
      <c r="B323" s="44" t="s">
        <v>267</v>
      </c>
      <c r="C323" s="4">
        <v>359.67</v>
      </c>
      <c r="D323" s="4">
        <v>299.35000000000002</v>
      </c>
      <c r="E323" s="3">
        <v>313.17</v>
      </c>
      <c r="F323" s="63">
        <f t="shared" si="198"/>
        <v>324.06333333333333</v>
      </c>
      <c r="G323" s="108">
        <f t="shared" si="199"/>
        <v>29813.826666666668</v>
      </c>
      <c r="H323" s="3">
        <v>306.02999999999997</v>
      </c>
      <c r="I323" s="3">
        <v>314.23</v>
      </c>
      <c r="J323" s="3">
        <v>312.77</v>
      </c>
      <c r="K323" s="63">
        <f t="shared" si="200"/>
        <v>311.01</v>
      </c>
      <c r="L323" s="108">
        <f t="shared" si="201"/>
        <v>28612.92</v>
      </c>
      <c r="M323" s="3">
        <v>320.89999999999998</v>
      </c>
      <c r="N323" s="87">
        <v>318.82</v>
      </c>
      <c r="O323" s="87">
        <v>332.1</v>
      </c>
      <c r="P323" s="63">
        <f t="shared" si="202"/>
        <v>323.94</v>
      </c>
      <c r="Q323" s="108">
        <f t="shared" si="203"/>
        <v>29154.6</v>
      </c>
      <c r="R323" s="3">
        <v>363.8</v>
      </c>
      <c r="S323" s="87">
        <v>365.42</v>
      </c>
      <c r="T323" s="90">
        <v>372.17</v>
      </c>
      <c r="U323" s="63">
        <f t="shared" si="204"/>
        <v>367.13000000000005</v>
      </c>
      <c r="V323" s="111">
        <f t="shared" si="205"/>
        <v>33408.83</v>
      </c>
      <c r="W323" s="64">
        <f t="shared" si="206"/>
        <v>331.53583333333336</v>
      </c>
      <c r="X323" s="66">
        <f t="shared" si="207"/>
        <v>121010.57916666668</v>
      </c>
    </row>
    <row r="324" spans="1:24" ht="16.5" thickBot="1" x14ac:dyDescent="0.3">
      <c r="A324" s="50" t="s">
        <v>16</v>
      </c>
      <c r="B324" s="44" t="s">
        <v>268</v>
      </c>
      <c r="C324" s="4">
        <v>64.483999999999995</v>
      </c>
      <c r="D324" s="4">
        <v>60.548000000000002</v>
      </c>
      <c r="E324" s="3">
        <v>58.366999999999997</v>
      </c>
      <c r="F324" s="63">
        <f t="shared" si="198"/>
        <v>61.133000000000003</v>
      </c>
      <c r="G324" s="108">
        <f t="shared" si="199"/>
        <v>5624.2359999999999</v>
      </c>
      <c r="H324" s="3">
        <v>65.77</v>
      </c>
      <c r="I324" s="3">
        <v>57.567</v>
      </c>
      <c r="J324" s="3">
        <v>57.677</v>
      </c>
      <c r="K324" s="63">
        <f t="shared" si="200"/>
        <v>60.337999999999994</v>
      </c>
      <c r="L324" s="108">
        <f t="shared" si="201"/>
        <v>5551.0959999999995</v>
      </c>
      <c r="M324" s="3">
        <v>61.805999999999997</v>
      </c>
      <c r="N324" s="87">
        <v>65.070999999999998</v>
      </c>
      <c r="O324" s="87">
        <v>55.387</v>
      </c>
      <c r="P324" s="63">
        <f t="shared" si="202"/>
        <v>60.754666666666672</v>
      </c>
      <c r="Q324" s="108">
        <f t="shared" si="203"/>
        <v>5467.92</v>
      </c>
      <c r="R324" s="3">
        <v>56.2</v>
      </c>
      <c r="S324" s="87">
        <v>53.935000000000002</v>
      </c>
      <c r="T324" s="90">
        <v>55.23</v>
      </c>
      <c r="U324" s="63">
        <f t="shared" si="204"/>
        <v>55.12166666666667</v>
      </c>
      <c r="V324" s="111">
        <f t="shared" si="205"/>
        <v>5016.0716666666667</v>
      </c>
      <c r="W324" s="64">
        <f t="shared" si="206"/>
        <v>59.336833333333324</v>
      </c>
      <c r="X324" s="66">
        <f t="shared" si="207"/>
        <v>21657.944166666664</v>
      </c>
    </row>
    <row r="325" spans="1:24" ht="16.5" thickBot="1" x14ac:dyDescent="0.3">
      <c r="A325" s="50" t="s">
        <v>17</v>
      </c>
      <c r="B325" s="44" t="s">
        <v>269</v>
      </c>
      <c r="C325" s="4">
        <v>199.55</v>
      </c>
      <c r="D325" s="4">
        <v>192.71</v>
      </c>
      <c r="E325" s="3">
        <v>183.87</v>
      </c>
      <c r="F325" s="63">
        <f t="shared" si="198"/>
        <v>192.04333333333332</v>
      </c>
      <c r="G325" s="108">
        <f t="shared" si="199"/>
        <v>17667.986666666664</v>
      </c>
      <c r="H325" s="3">
        <v>176.84</v>
      </c>
      <c r="I325" s="3">
        <v>179.1</v>
      </c>
      <c r="J325" s="3">
        <v>194.06</v>
      </c>
      <c r="K325" s="63">
        <f t="shared" si="200"/>
        <v>183.33333333333334</v>
      </c>
      <c r="L325" s="108">
        <f t="shared" si="201"/>
        <v>16866.666666666668</v>
      </c>
      <c r="M325" s="3">
        <v>190.84</v>
      </c>
      <c r="N325" s="87">
        <v>199.21</v>
      </c>
      <c r="O325" s="87">
        <v>197.65</v>
      </c>
      <c r="P325" s="63">
        <f t="shared" si="202"/>
        <v>195.9</v>
      </c>
      <c r="Q325" s="108">
        <f t="shared" si="203"/>
        <v>17631</v>
      </c>
      <c r="R325" s="3">
        <v>201.2</v>
      </c>
      <c r="S325" s="87">
        <v>195.71</v>
      </c>
      <c r="T325" s="90">
        <v>197.03</v>
      </c>
      <c r="U325" s="63">
        <f t="shared" si="204"/>
        <v>197.98</v>
      </c>
      <c r="V325" s="111">
        <f t="shared" si="205"/>
        <v>18016.18</v>
      </c>
      <c r="W325" s="64">
        <f t="shared" si="206"/>
        <v>192.31416666666669</v>
      </c>
      <c r="X325" s="66">
        <f t="shared" si="207"/>
        <v>70194.670833333337</v>
      </c>
    </row>
    <row r="326" spans="1:24" ht="16.5" thickBot="1" x14ac:dyDescent="0.3">
      <c r="A326" s="50" t="s">
        <v>140</v>
      </c>
      <c r="B326" s="44" t="s">
        <v>270</v>
      </c>
      <c r="C326" s="4">
        <v>102.81</v>
      </c>
      <c r="D326" s="4">
        <v>98.903000000000006</v>
      </c>
      <c r="E326" s="3">
        <v>101.5</v>
      </c>
      <c r="F326" s="63">
        <f t="shared" si="198"/>
        <v>101.07100000000001</v>
      </c>
      <c r="G326" s="108">
        <f t="shared" si="199"/>
        <v>9298.5320000000011</v>
      </c>
      <c r="H326" s="3">
        <v>103.55</v>
      </c>
      <c r="I326" s="3">
        <v>106.7</v>
      </c>
      <c r="J326" s="3">
        <v>103.48</v>
      </c>
      <c r="K326" s="63">
        <f t="shared" si="200"/>
        <v>104.57666666666667</v>
      </c>
      <c r="L326" s="108">
        <f t="shared" si="201"/>
        <v>9621.0533333333333</v>
      </c>
      <c r="M326" s="3">
        <v>101.48</v>
      </c>
      <c r="N326" s="87">
        <v>103.5</v>
      </c>
      <c r="O326" s="87">
        <v>100.81</v>
      </c>
      <c r="P326" s="63">
        <f t="shared" si="202"/>
        <v>101.93</v>
      </c>
      <c r="Q326" s="108">
        <f t="shared" si="203"/>
        <v>9173.7000000000007</v>
      </c>
      <c r="R326" s="3">
        <v>109.47</v>
      </c>
      <c r="S326" s="87">
        <v>112.61</v>
      </c>
      <c r="T326" s="90">
        <v>117.97</v>
      </c>
      <c r="U326" s="63">
        <f t="shared" si="204"/>
        <v>113.34999999999998</v>
      </c>
      <c r="V326" s="111">
        <f t="shared" si="205"/>
        <v>10314.849999999999</v>
      </c>
      <c r="W326" s="64">
        <f t="shared" si="206"/>
        <v>105.23191666666668</v>
      </c>
      <c r="X326" s="66">
        <f t="shared" si="207"/>
        <v>38409.649583333339</v>
      </c>
    </row>
    <row r="327" spans="1:24" ht="16.5" thickBot="1" x14ac:dyDescent="0.3">
      <c r="A327" s="51" t="s">
        <v>276</v>
      </c>
      <c r="B327" s="44" t="s">
        <v>271</v>
      </c>
      <c r="C327" s="4">
        <v>405.03</v>
      </c>
      <c r="D327" s="4">
        <v>407.71</v>
      </c>
      <c r="E327" s="3">
        <v>378.97</v>
      </c>
      <c r="F327" s="63">
        <f t="shared" si="198"/>
        <v>397.23666666666668</v>
      </c>
      <c r="G327" s="108">
        <f t="shared" si="199"/>
        <v>36545.773333333331</v>
      </c>
      <c r="H327" s="3">
        <v>400.51</v>
      </c>
      <c r="I327" s="3">
        <v>396.7</v>
      </c>
      <c r="J327" s="3">
        <v>371.91</v>
      </c>
      <c r="K327" s="63">
        <f t="shared" si="200"/>
        <v>389.70666666666671</v>
      </c>
      <c r="L327" s="108">
        <f t="shared" si="201"/>
        <v>35853.013333333336</v>
      </c>
      <c r="M327" s="3">
        <v>371.29</v>
      </c>
      <c r="N327" s="87">
        <v>385.57</v>
      </c>
      <c r="O327" s="87">
        <v>384</v>
      </c>
      <c r="P327" s="63">
        <f t="shared" si="202"/>
        <v>380.28666666666669</v>
      </c>
      <c r="Q327" s="108">
        <f t="shared" si="203"/>
        <v>34225.800000000003</v>
      </c>
      <c r="R327" s="3">
        <v>393.83</v>
      </c>
      <c r="S327" s="87">
        <v>409.32</v>
      </c>
      <c r="T327" s="90">
        <v>404.84</v>
      </c>
      <c r="U327" s="63">
        <f t="shared" si="204"/>
        <v>402.66333333333336</v>
      </c>
      <c r="V327" s="111">
        <f t="shared" si="205"/>
        <v>36642.363333333335</v>
      </c>
      <c r="W327" s="64">
        <f t="shared" si="206"/>
        <v>392.47333333333336</v>
      </c>
      <c r="X327" s="66">
        <f t="shared" si="207"/>
        <v>143252.76666666666</v>
      </c>
    </row>
    <row r="328" spans="1:24" ht="16.5" thickBot="1" x14ac:dyDescent="0.3">
      <c r="A328" s="50" t="s">
        <v>149</v>
      </c>
      <c r="B328" s="121" t="s">
        <v>279</v>
      </c>
      <c r="C328" s="4">
        <v>111.61</v>
      </c>
      <c r="D328" s="4">
        <v>106.68</v>
      </c>
      <c r="E328" s="3">
        <v>104.57</v>
      </c>
      <c r="F328" s="63">
        <f t="shared" si="198"/>
        <v>107.62</v>
      </c>
      <c r="G328" s="108">
        <f t="shared" si="199"/>
        <v>9901.0400000000009</v>
      </c>
      <c r="H328" s="3">
        <v>94.742000000000004</v>
      </c>
      <c r="I328" s="3">
        <v>79.900000000000006</v>
      </c>
      <c r="J328" s="3">
        <v>83.129000000000005</v>
      </c>
      <c r="K328" s="63">
        <f t="shared" si="200"/>
        <v>85.923666666666676</v>
      </c>
      <c r="L328" s="108">
        <f t="shared" si="201"/>
        <v>7904.9773333333342</v>
      </c>
      <c r="M328" s="3">
        <v>110.32</v>
      </c>
      <c r="N328" s="87">
        <v>114.39</v>
      </c>
      <c r="O328" s="87">
        <v>119.9</v>
      </c>
      <c r="P328" s="63">
        <f t="shared" si="202"/>
        <v>114.87</v>
      </c>
      <c r="Q328" s="108">
        <f t="shared" si="203"/>
        <v>10338.300000000001</v>
      </c>
      <c r="R328" s="3">
        <v>121.27</v>
      </c>
      <c r="S328" s="87">
        <v>123.74</v>
      </c>
      <c r="T328" s="90">
        <v>120.17</v>
      </c>
      <c r="U328" s="63">
        <f t="shared" si="204"/>
        <v>121.72666666666667</v>
      </c>
      <c r="V328" s="111">
        <f t="shared" si="205"/>
        <v>11077.126666666667</v>
      </c>
      <c r="W328" s="64">
        <f t="shared" si="206"/>
        <v>107.53508333333333</v>
      </c>
      <c r="X328" s="66">
        <f>W328*365</f>
        <v>39250.30541666667</v>
      </c>
    </row>
    <row r="329" spans="1:24" ht="16.5" thickBot="1" x14ac:dyDescent="0.3">
      <c r="A329" s="49" t="s">
        <v>20</v>
      </c>
      <c r="B329" s="43" t="s">
        <v>272</v>
      </c>
      <c r="C329" s="126">
        <v>496.81</v>
      </c>
      <c r="D329" s="126">
        <v>473.74</v>
      </c>
      <c r="E329" s="118">
        <v>483.67</v>
      </c>
      <c r="F329" s="63">
        <f t="shared" si="198"/>
        <v>484.74</v>
      </c>
      <c r="G329" s="108">
        <f t="shared" si="199"/>
        <v>44596.08</v>
      </c>
      <c r="H329" s="118">
        <v>501.23</v>
      </c>
      <c r="I329" s="3">
        <v>467.27</v>
      </c>
      <c r="J329" s="118">
        <v>470.42</v>
      </c>
      <c r="K329" s="63">
        <f t="shared" si="200"/>
        <v>479.64000000000004</v>
      </c>
      <c r="L329" s="111">
        <f t="shared" si="201"/>
        <v>44126.880000000005</v>
      </c>
      <c r="M329" s="3">
        <v>425.77</v>
      </c>
      <c r="N329" s="86">
        <v>439</v>
      </c>
      <c r="O329" s="86">
        <v>450.68</v>
      </c>
      <c r="P329" s="63">
        <f t="shared" si="202"/>
        <v>438.48333333333335</v>
      </c>
      <c r="Q329" s="108">
        <f t="shared" si="203"/>
        <v>39463.5</v>
      </c>
      <c r="R329" s="3">
        <v>445.43</v>
      </c>
      <c r="S329" s="86">
        <v>503.48</v>
      </c>
      <c r="T329" s="89">
        <v>526.77</v>
      </c>
      <c r="U329" s="63">
        <f t="shared" si="204"/>
        <v>491.89333333333337</v>
      </c>
      <c r="V329" s="111">
        <f t="shared" si="205"/>
        <v>44762.293333333335</v>
      </c>
      <c r="W329" s="64">
        <f t="shared" si="206"/>
        <v>473.68916666666672</v>
      </c>
      <c r="X329" s="65">
        <f t="shared" si="207"/>
        <v>172896.54583333337</v>
      </c>
    </row>
    <row r="330" spans="1:24" ht="16.5" thickBot="1" x14ac:dyDescent="0.3">
      <c r="A330" s="51" t="s">
        <v>277</v>
      </c>
      <c r="B330" s="44" t="s">
        <v>273</v>
      </c>
      <c r="C330" s="4">
        <v>358.87</v>
      </c>
      <c r="D330" s="4">
        <v>369.74</v>
      </c>
      <c r="E330" s="3">
        <v>385.73</v>
      </c>
      <c r="F330" s="63">
        <f t="shared" si="198"/>
        <v>371.44666666666672</v>
      </c>
      <c r="G330" s="108">
        <f t="shared" si="199"/>
        <v>34173.093333333338</v>
      </c>
      <c r="H330" s="3">
        <v>359.39</v>
      </c>
      <c r="I330" s="3">
        <v>372.07</v>
      </c>
      <c r="J330" s="3">
        <v>368.88</v>
      </c>
      <c r="K330" s="63">
        <f t="shared" si="200"/>
        <v>366.78000000000003</v>
      </c>
      <c r="L330" s="108">
        <f t="shared" si="201"/>
        <v>33743.760000000002</v>
      </c>
      <c r="M330" s="3">
        <v>352.51</v>
      </c>
      <c r="N330" s="87">
        <v>360</v>
      </c>
      <c r="O330" s="87">
        <v>362.65</v>
      </c>
      <c r="P330" s="63">
        <f t="shared" si="202"/>
        <v>358.3866666666666</v>
      </c>
      <c r="Q330" s="108">
        <f t="shared" si="203"/>
        <v>32254.799999999996</v>
      </c>
      <c r="R330" s="3">
        <v>369.16</v>
      </c>
      <c r="S330" s="87">
        <v>365.25</v>
      </c>
      <c r="T330" s="90">
        <v>369.67</v>
      </c>
      <c r="U330" s="63">
        <f t="shared" si="204"/>
        <v>368.0266666666667</v>
      </c>
      <c r="V330" s="111">
        <f t="shared" si="205"/>
        <v>33490.426666666666</v>
      </c>
      <c r="W330" s="64">
        <f t="shared" si="206"/>
        <v>366.15999999999991</v>
      </c>
      <c r="X330" s="66">
        <f t="shared" si="207"/>
        <v>133648.39999999997</v>
      </c>
    </row>
    <row r="331" spans="1:24" ht="16.5" thickBot="1" x14ac:dyDescent="0.3">
      <c r="A331" s="50" t="s">
        <v>141</v>
      </c>
      <c r="B331" s="44" t="s">
        <v>274</v>
      </c>
      <c r="C331" s="4">
        <v>117.06</v>
      </c>
      <c r="D331" s="4">
        <v>110.26</v>
      </c>
      <c r="E331" s="3">
        <v>117.97</v>
      </c>
      <c r="F331" s="63">
        <f t="shared" si="198"/>
        <v>115.09666666666665</v>
      </c>
      <c r="G331" s="108">
        <f t="shared" si="199"/>
        <v>10588.893333333332</v>
      </c>
      <c r="H331" s="3">
        <v>108.48</v>
      </c>
      <c r="I331" s="3">
        <v>120.13</v>
      </c>
      <c r="J331" s="3">
        <v>112.84</v>
      </c>
      <c r="K331" s="63">
        <f t="shared" si="200"/>
        <v>113.81666666666668</v>
      </c>
      <c r="L331" s="108">
        <f t="shared" si="201"/>
        <v>10471.133333333335</v>
      </c>
      <c r="M331" s="3">
        <v>107.68</v>
      </c>
      <c r="N331" s="87">
        <v>106.43</v>
      </c>
      <c r="O331" s="87">
        <v>109.71</v>
      </c>
      <c r="P331" s="63">
        <f t="shared" si="202"/>
        <v>107.94</v>
      </c>
      <c r="Q331" s="108">
        <f t="shared" si="203"/>
        <v>9714.6</v>
      </c>
      <c r="R331" s="3">
        <v>113.83</v>
      </c>
      <c r="S331" s="87">
        <v>115.71</v>
      </c>
      <c r="T331" s="90">
        <v>106.6</v>
      </c>
      <c r="U331" s="63">
        <f t="shared" si="204"/>
        <v>112.04666666666667</v>
      </c>
      <c r="V331" s="111">
        <f t="shared" si="205"/>
        <v>10196.246666666666</v>
      </c>
      <c r="W331" s="64">
        <f t="shared" si="206"/>
        <v>112.22500000000001</v>
      </c>
      <c r="X331" s="66">
        <f t="shared" si="207"/>
        <v>40962.125</v>
      </c>
    </row>
    <row r="332" spans="1:24" ht="16.5" thickBot="1" x14ac:dyDescent="0.3">
      <c r="A332" s="50" t="s">
        <v>142</v>
      </c>
      <c r="B332" s="34"/>
      <c r="C332" s="4">
        <v>0</v>
      </c>
      <c r="D332" s="4">
        <v>0</v>
      </c>
      <c r="E332" s="4">
        <v>0</v>
      </c>
      <c r="F332" s="67">
        <f t="shared" si="198"/>
        <v>0</v>
      </c>
      <c r="G332" s="108">
        <f t="shared" si="199"/>
        <v>0</v>
      </c>
      <c r="H332" s="18">
        <v>0</v>
      </c>
      <c r="I332" s="18">
        <v>0</v>
      </c>
      <c r="J332" s="18"/>
      <c r="K332" s="67">
        <f t="shared" si="200"/>
        <v>0</v>
      </c>
      <c r="L332" s="108">
        <f t="shared" si="201"/>
        <v>0</v>
      </c>
      <c r="M332" s="18"/>
      <c r="N332" s="4"/>
      <c r="O332" s="87"/>
      <c r="P332" s="67">
        <f t="shared" si="202"/>
        <v>0</v>
      </c>
      <c r="Q332" s="108">
        <f>P332*91</f>
        <v>0</v>
      </c>
      <c r="R332" s="3"/>
      <c r="S332" s="4"/>
      <c r="T332" s="4"/>
      <c r="U332" s="67">
        <f t="shared" si="204"/>
        <v>0</v>
      </c>
      <c r="V332" s="112">
        <f t="shared" si="205"/>
        <v>0</v>
      </c>
      <c r="W332" s="137">
        <f t="shared" si="206"/>
        <v>0</v>
      </c>
      <c r="X332" s="66">
        <f>W332*365</f>
        <v>0</v>
      </c>
    </row>
    <row r="333" spans="1:24" ht="16.5" thickBot="1" x14ac:dyDescent="0.3">
      <c r="A333" s="46" t="s">
        <v>150</v>
      </c>
      <c r="B333" s="35"/>
      <c r="C333" s="80">
        <f>SUM(C319:C332)</f>
        <v>3582.828</v>
      </c>
      <c r="D333" s="80">
        <f>SUM(D319:D332)</f>
        <v>3518.1210000000001</v>
      </c>
      <c r="E333" s="80">
        <f>SUM(E319:E332)</f>
        <v>3509.0570000000002</v>
      </c>
      <c r="F333" s="68">
        <f t="shared" si="198"/>
        <v>3536.6686666666669</v>
      </c>
      <c r="G333" s="108">
        <f t="shared" si="199"/>
        <v>325373.51733333338</v>
      </c>
      <c r="H333" s="94">
        <f>SUM(H319:H332)</f>
        <v>3518.6320000000001</v>
      </c>
      <c r="I333" s="80">
        <f>SUM(I319:I332)</f>
        <v>3432.3370000000004</v>
      </c>
      <c r="J333" s="80">
        <f>SUM(J319:J332)</f>
        <v>3385.4259999999999</v>
      </c>
      <c r="K333" s="68">
        <f t="shared" si="200"/>
        <v>3445.4650000000001</v>
      </c>
      <c r="L333" s="119">
        <f t="shared" si="201"/>
        <v>316982.78000000003</v>
      </c>
      <c r="M333" s="9">
        <f>SUM(M319:M332)</f>
        <v>3381.9860000000003</v>
      </c>
      <c r="N333" s="80">
        <f>SUM(N319:N332)</f>
        <v>3395.7709999999997</v>
      </c>
      <c r="O333" s="80">
        <f>SUM(O319:O332)</f>
        <v>3410.6569999999997</v>
      </c>
      <c r="P333" s="68">
        <f t="shared" si="202"/>
        <v>3396.1379999999995</v>
      </c>
      <c r="Q333" s="119">
        <f>P333*91</f>
        <v>309048.55799999996</v>
      </c>
      <c r="R333" s="94">
        <f>SUM(R319:R332)</f>
        <v>3523.3199999999997</v>
      </c>
      <c r="S333" s="80">
        <f>SUM(S319:S332)</f>
        <v>3603.145</v>
      </c>
      <c r="T333" s="81">
        <f>SUM(T319:T332)</f>
        <v>3641.9100000000003</v>
      </c>
      <c r="U333" s="68">
        <f t="shared" si="204"/>
        <v>3589.4583333333335</v>
      </c>
      <c r="V333" s="120">
        <f t="shared" si="205"/>
        <v>326640.70833333337</v>
      </c>
      <c r="W333" s="138">
        <f t="shared" si="206"/>
        <v>3491.9325000000003</v>
      </c>
      <c r="X333" s="69">
        <f>SUM(X319:X332)</f>
        <v>1274555.3625</v>
      </c>
    </row>
    <row r="334" spans="1:24" ht="16.5" thickBot="1" x14ac:dyDescent="0.3">
      <c r="A334" s="46" t="s">
        <v>151</v>
      </c>
      <c r="B334" s="35"/>
      <c r="C334" s="70"/>
      <c r="D334" s="70"/>
      <c r="E334" s="71"/>
      <c r="F334" s="98"/>
      <c r="G334" s="98"/>
      <c r="H334" s="72"/>
      <c r="I334" s="70" t="s">
        <v>251</v>
      </c>
      <c r="J334" s="71"/>
      <c r="K334" s="97"/>
      <c r="L334" s="97"/>
      <c r="M334" s="72"/>
      <c r="N334" s="70"/>
      <c r="O334" s="71"/>
      <c r="P334" s="97"/>
      <c r="Q334" s="97"/>
      <c r="R334" s="72"/>
      <c r="S334" s="70"/>
      <c r="T334" s="71"/>
      <c r="U334" s="71"/>
      <c r="V334" s="70"/>
      <c r="W334" s="96"/>
      <c r="X334" s="69" t="s">
        <v>0</v>
      </c>
    </row>
    <row r="335" spans="1:24" ht="25.5" customHeight="1" thickBot="1" x14ac:dyDescent="0.3">
      <c r="A335" s="49" t="s">
        <v>143</v>
      </c>
      <c r="B335" s="33"/>
      <c r="C335" s="6">
        <v>507</v>
      </c>
      <c r="D335" s="6">
        <v>509</v>
      </c>
      <c r="E335" s="6">
        <v>517</v>
      </c>
      <c r="F335" s="63">
        <f t="shared" ref="F335:F341" si="208">SUM(C335:E335)/3</f>
        <v>511</v>
      </c>
      <c r="G335" s="108">
        <f t="shared" ref="G335:G341" si="209">F335*92</f>
        <v>47012</v>
      </c>
      <c r="H335" s="6">
        <v>505</v>
      </c>
      <c r="I335" s="6">
        <v>510</v>
      </c>
      <c r="J335" s="6">
        <v>477</v>
      </c>
      <c r="K335" s="63">
        <f t="shared" ref="K335:K342" si="210">SUM(H335:J335)/3</f>
        <v>497.33333333333331</v>
      </c>
      <c r="L335" s="108">
        <f t="shared" ref="L335:L341" si="211">K335*92</f>
        <v>45754.666666666664</v>
      </c>
      <c r="M335" s="6">
        <v>511</v>
      </c>
      <c r="N335" s="73">
        <v>533</v>
      </c>
      <c r="O335" s="73">
        <v>523</v>
      </c>
      <c r="P335" s="63">
        <f t="shared" ref="P335:P342" si="212">SUM(M335:O335)/3</f>
        <v>522.33333333333337</v>
      </c>
      <c r="Q335" s="108">
        <f t="shared" ref="Q335:Q341" si="213">P335*90</f>
        <v>47010</v>
      </c>
      <c r="R335" s="6">
        <v>536</v>
      </c>
      <c r="S335" s="73">
        <v>531</v>
      </c>
      <c r="T335" s="74">
        <v>531</v>
      </c>
      <c r="U335" s="63">
        <f t="shared" ref="U335:U342" si="214">SUM(R335:T335)/3</f>
        <v>532.66666666666663</v>
      </c>
      <c r="V335" s="111">
        <f t="shared" ref="V335:V341" si="215">U335*91</f>
        <v>48472.666666666664</v>
      </c>
      <c r="W335" s="64">
        <f t="shared" ref="W335:W340" si="216">SUM(C335+D335+E335+H335+I335+J335+M335+N335+O335+R335+S335+T335)/12</f>
        <v>515.83333333333337</v>
      </c>
      <c r="X335" s="65">
        <f t="shared" si="207"/>
        <v>188279.16666666669</v>
      </c>
    </row>
    <row r="336" spans="1:24" ht="16.5" thickBot="1" x14ac:dyDescent="0.3">
      <c r="A336" s="50" t="s">
        <v>144</v>
      </c>
      <c r="B336" s="34"/>
      <c r="C336" s="5">
        <v>2</v>
      </c>
      <c r="D336" s="5">
        <v>2</v>
      </c>
      <c r="E336" s="5">
        <v>3</v>
      </c>
      <c r="F336" s="63">
        <f t="shared" si="208"/>
        <v>2.3333333333333335</v>
      </c>
      <c r="G336" s="108">
        <f t="shared" si="209"/>
        <v>214.66666666666669</v>
      </c>
      <c r="H336" s="5">
        <v>3</v>
      </c>
      <c r="I336" s="5">
        <v>3</v>
      </c>
      <c r="J336" s="5">
        <v>1</v>
      </c>
      <c r="K336" s="63">
        <f t="shared" si="210"/>
        <v>2.3333333333333335</v>
      </c>
      <c r="L336" s="108">
        <f t="shared" si="211"/>
        <v>214.66666666666669</v>
      </c>
      <c r="M336" s="5">
        <v>1</v>
      </c>
      <c r="N336" s="75">
        <v>2</v>
      </c>
      <c r="O336" s="75">
        <v>2</v>
      </c>
      <c r="P336" s="63">
        <f t="shared" si="212"/>
        <v>1.6666666666666667</v>
      </c>
      <c r="Q336" s="108">
        <f t="shared" si="213"/>
        <v>150</v>
      </c>
      <c r="R336" s="5">
        <v>3</v>
      </c>
      <c r="S336" s="75">
        <v>3</v>
      </c>
      <c r="T336" s="76">
        <v>3</v>
      </c>
      <c r="U336" s="63">
        <f t="shared" si="214"/>
        <v>3</v>
      </c>
      <c r="V336" s="111">
        <f t="shared" si="215"/>
        <v>273</v>
      </c>
      <c r="W336" s="64">
        <f t="shared" si="216"/>
        <v>2.3333333333333335</v>
      </c>
      <c r="X336" s="66">
        <f t="shared" si="207"/>
        <v>851.66666666666674</v>
      </c>
    </row>
    <row r="337" spans="1:24" ht="16.5" thickBot="1" x14ac:dyDescent="0.3">
      <c r="A337" s="50" t="s">
        <v>146</v>
      </c>
      <c r="B337" s="34"/>
      <c r="C337" s="5">
        <v>29</v>
      </c>
      <c r="D337" s="5">
        <v>37</v>
      </c>
      <c r="E337" s="5">
        <v>32</v>
      </c>
      <c r="F337" s="63">
        <f t="shared" si="208"/>
        <v>32.666666666666664</v>
      </c>
      <c r="G337" s="108">
        <f t="shared" si="209"/>
        <v>3005.333333333333</v>
      </c>
      <c r="H337" s="5">
        <v>26</v>
      </c>
      <c r="I337" s="5">
        <v>24</v>
      </c>
      <c r="J337" s="5">
        <v>24</v>
      </c>
      <c r="K337" s="63">
        <f t="shared" si="210"/>
        <v>24.666666666666668</v>
      </c>
      <c r="L337" s="108">
        <f t="shared" si="211"/>
        <v>2269.3333333333335</v>
      </c>
      <c r="M337" s="5">
        <v>26</v>
      </c>
      <c r="N337" s="75">
        <v>33</v>
      </c>
      <c r="O337" s="75">
        <v>26</v>
      </c>
      <c r="P337" s="63">
        <f t="shared" si="212"/>
        <v>28.333333333333332</v>
      </c>
      <c r="Q337" s="108">
        <f t="shared" si="213"/>
        <v>2550</v>
      </c>
      <c r="R337" s="5">
        <v>27</v>
      </c>
      <c r="S337" s="75">
        <v>30</v>
      </c>
      <c r="T337" s="76">
        <v>30</v>
      </c>
      <c r="U337" s="63">
        <f t="shared" si="214"/>
        <v>29</v>
      </c>
      <c r="V337" s="111">
        <f t="shared" si="215"/>
        <v>2639</v>
      </c>
      <c r="W337" s="64">
        <f t="shared" si="216"/>
        <v>28.666666666666668</v>
      </c>
      <c r="X337" s="66">
        <f t="shared" si="207"/>
        <v>10463.333333333334</v>
      </c>
    </row>
    <row r="338" spans="1:24" ht="16.5" thickBot="1" x14ac:dyDescent="0.3">
      <c r="A338" s="50" t="s">
        <v>145</v>
      </c>
      <c r="B338" s="34"/>
      <c r="C338" s="5">
        <v>158</v>
      </c>
      <c r="D338" s="5">
        <v>164</v>
      </c>
      <c r="E338" s="5">
        <v>182</v>
      </c>
      <c r="F338" s="63">
        <f t="shared" si="208"/>
        <v>168</v>
      </c>
      <c r="G338" s="108">
        <f t="shared" si="209"/>
        <v>15456</v>
      </c>
      <c r="H338" s="5">
        <v>199</v>
      </c>
      <c r="I338" s="5">
        <v>201</v>
      </c>
      <c r="J338" s="5">
        <v>208</v>
      </c>
      <c r="K338" s="63">
        <f t="shared" si="210"/>
        <v>202.66666666666666</v>
      </c>
      <c r="L338" s="108">
        <f t="shared" si="211"/>
        <v>18645.333333333332</v>
      </c>
      <c r="M338" s="5">
        <v>195</v>
      </c>
      <c r="N338" s="75">
        <v>200</v>
      </c>
      <c r="O338" s="75">
        <v>191</v>
      </c>
      <c r="P338" s="63">
        <f t="shared" si="212"/>
        <v>195.33333333333334</v>
      </c>
      <c r="Q338" s="108">
        <f t="shared" si="213"/>
        <v>17580</v>
      </c>
      <c r="R338" s="5">
        <v>172</v>
      </c>
      <c r="S338" s="75">
        <v>183</v>
      </c>
      <c r="T338" s="76">
        <v>183</v>
      </c>
      <c r="U338" s="63">
        <f t="shared" si="214"/>
        <v>179.33333333333334</v>
      </c>
      <c r="V338" s="111">
        <f t="shared" si="215"/>
        <v>16319.333333333334</v>
      </c>
      <c r="W338" s="64">
        <f t="shared" si="216"/>
        <v>186.33333333333334</v>
      </c>
      <c r="X338" s="66">
        <f>W338*365</f>
        <v>68011.666666666672</v>
      </c>
    </row>
    <row r="339" spans="1:24" ht="16.5" thickBot="1" x14ac:dyDescent="0.3">
      <c r="A339" s="50" t="s">
        <v>147</v>
      </c>
      <c r="B339" s="34"/>
      <c r="C339" s="5">
        <v>811</v>
      </c>
      <c r="D339" s="5">
        <v>907</v>
      </c>
      <c r="E339" s="5">
        <v>924</v>
      </c>
      <c r="F339" s="63">
        <f t="shared" si="208"/>
        <v>880.66666666666663</v>
      </c>
      <c r="G339" s="108">
        <f t="shared" si="209"/>
        <v>81021.333333333328</v>
      </c>
      <c r="H339" s="5">
        <v>923</v>
      </c>
      <c r="I339" s="5">
        <v>981</v>
      </c>
      <c r="J339" s="5">
        <v>994</v>
      </c>
      <c r="K339" s="63">
        <f t="shared" si="210"/>
        <v>966</v>
      </c>
      <c r="L339" s="108">
        <f t="shared" si="211"/>
        <v>88872</v>
      </c>
      <c r="M339" s="5">
        <v>1044</v>
      </c>
      <c r="N339" s="75">
        <v>1060</v>
      </c>
      <c r="O339" s="75">
        <v>1052</v>
      </c>
      <c r="P339" s="63">
        <f t="shared" si="212"/>
        <v>1052</v>
      </c>
      <c r="Q339" s="108">
        <f t="shared" si="213"/>
        <v>94680</v>
      </c>
      <c r="R339" s="5">
        <v>986</v>
      </c>
      <c r="S339" s="75">
        <v>928</v>
      </c>
      <c r="T339" s="76">
        <v>928</v>
      </c>
      <c r="U339" s="63">
        <f t="shared" si="214"/>
        <v>947.33333333333337</v>
      </c>
      <c r="V339" s="111">
        <f t="shared" si="215"/>
        <v>86207.333333333343</v>
      </c>
      <c r="W339" s="64">
        <f t="shared" si="216"/>
        <v>961.5</v>
      </c>
      <c r="X339" s="66">
        <f t="shared" si="207"/>
        <v>350947.5</v>
      </c>
    </row>
    <row r="340" spans="1:24" ht="16.5" thickBot="1" x14ac:dyDescent="0.3">
      <c r="A340" s="50" t="s">
        <v>148</v>
      </c>
      <c r="B340" s="34"/>
      <c r="C340" s="5">
        <v>17</v>
      </c>
      <c r="D340" s="5">
        <v>17</v>
      </c>
      <c r="E340" s="5">
        <v>17</v>
      </c>
      <c r="F340" s="63">
        <f t="shared" si="208"/>
        <v>17</v>
      </c>
      <c r="G340" s="108">
        <f t="shared" si="209"/>
        <v>1564</v>
      </c>
      <c r="H340" s="5">
        <v>16</v>
      </c>
      <c r="I340" s="5">
        <v>16</v>
      </c>
      <c r="J340" s="5">
        <v>17</v>
      </c>
      <c r="K340" s="63">
        <f t="shared" si="210"/>
        <v>16.333333333333332</v>
      </c>
      <c r="L340" s="108">
        <f t="shared" si="211"/>
        <v>1502.6666666666665</v>
      </c>
      <c r="M340" s="5">
        <v>17</v>
      </c>
      <c r="N340" s="75">
        <v>17</v>
      </c>
      <c r="O340" s="75">
        <v>18</v>
      </c>
      <c r="P340" s="63">
        <f t="shared" si="212"/>
        <v>17.333333333333332</v>
      </c>
      <c r="Q340" s="108">
        <f t="shared" si="213"/>
        <v>1560</v>
      </c>
      <c r="R340" s="5">
        <v>18</v>
      </c>
      <c r="S340" s="75">
        <v>18</v>
      </c>
      <c r="T340" s="76">
        <v>18</v>
      </c>
      <c r="U340" s="63">
        <f t="shared" si="214"/>
        <v>18</v>
      </c>
      <c r="V340" s="112">
        <f t="shared" si="215"/>
        <v>1638</v>
      </c>
      <c r="W340" s="64">
        <f t="shared" si="216"/>
        <v>17.166666666666668</v>
      </c>
      <c r="X340" s="66">
        <f t="shared" si="207"/>
        <v>6265.8333333333339</v>
      </c>
    </row>
    <row r="341" spans="1:24" ht="16.5" thickBot="1" x14ac:dyDescent="0.3">
      <c r="A341" s="53" t="s">
        <v>152</v>
      </c>
      <c r="B341" s="37"/>
      <c r="C341" s="80">
        <f>SUM(C335:C340)</f>
        <v>1524</v>
      </c>
      <c r="D341" s="80">
        <f>SUM(D335:D340)</f>
        <v>1636</v>
      </c>
      <c r="E341" s="80">
        <f>SUM(E335:E340)</f>
        <v>1675</v>
      </c>
      <c r="F341" s="68">
        <f t="shared" si="208"/>
        <v>1611.6666666666667</v>
      </c>
      <c r="G341" s="108">
        <f t="shared" si="209"/>
        <v>148273.33333333334</v>
      </c>
      <c r="H341" s="94">
        <f>SUM(H335:H340)</f>
        <v>1672</v>
      </c>
      <c r="I341" s="80">
        <f>SUM(I335:I340)</f>
        <v>1735</v>
      </c>
      <c r="J341" s="80">
        <f>SUM(J335:J340)</f>
        <v>1721</v>
      </c>
      <c r="K341" s="68">
        <f t="shared" si="210"/>
        <v>1709.3333333333333</v>
      </c>
      <c r="L341" s="119">
        <f t="shared" si="211"/>
        <v>157258.66666666666</v>
      </c>
      <c r="M341" s="94">
        <f>SUM(M335:M340)</f>
        <v>1794</v>
      </c>
      <c r="N341" s="80">
        <f>SUM(N335:N340)</f>
        <v>1845</v>
      </c>
      <c r="O341" s="80">
        <f>SUM(O335:O340)</f>
        <v>1812</v>
      </c>
      <c r="P341" s="68">
        <f t="shared" si="212"/>
        <v>1817</v>
      </c>
      <c r="Q341" s="119">
        <f t="shared" si="213"/>
        <v>163530</v>
      </c>
      <c r="R341" s="94">
        <f>SUM(R335:R340)</f>
        <v>1742</v>
      </c>
      <c r="S341" s="80">
        <f>SUM(S335:S340)</f>
        <v>1693</v>
      </c>
      <c r="T341" s="81">
        <f>SUM(T335:T340)</f>
        <v>1693</v>
      </c>
      <c r="U341" s="68">
        <f t="shared" si="214"/>
        <v>1709.3333333333333</v>
      </c>
      <c r="V341" s="120">
        <f t="shared" si="215"/>
        <v>155549.33333333331</v>
      </c>
      <c r="W341" s="69">
        <f>SUM(W335:W340)</f>
        <v>1711.8333333333335</v>
      </c>
      <c r="X341" s="69">
        <f>SUM(X335:X340)</f>
        <v>624819.16666666674</v>
      </c>
    </row>
    <row r="342" spans="1:24" ht="16.5" thickBot="1" x14ac:dyDescent="0.3">
      <c r="A342" s="54" t="s">
        <v>156</v>
      </c>
      <c r="B342" s="38"/>
      <c r="C342" s="80">
        <f>C333+C341</f>
        <v>5106.8279999999995</v>
      </c>
      <c r="D342" s="80">
        <f>D333+D341</f>
        <v>5154.1210000000001</v>
      </c>
      <c r="E342" s="80">
        <f>E333+E341</f>
        <v>5184.0570000000007</v>
      </c>
      <c r="F342" s="80">
        <f>F333+F341</f>
        <v>5148.3353333333334</v>
      </c>
      <c r="G342" s="68">
        <f>SUM(G333+G341)</f>
        <v>473646.85066666675</v>
      </c>
      <c r="H342" s="80">
        <f>H333+H341</f>
        <v>5190.6319999999996</v>
      </c>
      <c r="I342" s="80">
        <f>I333+I341</f>
        <v>5167.3370000000004</v>
      </c>
      <c r="J342" s="80">
        <f>J333+J341</f>
        <v>5106.4259999999995</v>
      </c>
      <c r="K342" s="120">
        <f t="shared" si="210"/>
        <v>5154.7983333333332</v>
      </c>
      <c r="L342" s="68">
        <f>SUM(L333+L341)</f>
        <v>474241.44666666666</v>
      </c>
      <c r="M342" s="94">
        <f>M333+M341</f>
        <v>5175.9860000000008</v>
      </c>
      <c r="N342" s="80">
        <f>N333+N341</f>
        <v>5240.7709999999997</v>
      </c>
      <c r="O342" s="80">
        <f>O333+O341</f>
        <v>5222.6569999999992</v>
      </c>
      <c r="P342" s="99">
        <f t="shared" si="212"/>
        <v>5213.1379999999999</v>
      </c>
      <c r="Q342" s="68">
        <f>SUM(Q333+Q341)</f>
        <v>472578.55799999996</v>
      </c>
      <c r="R342" s="94">
        <f>R333+R341</f>
        <v>5265.32</v>
      </c>
      <c r="S342" s="80">
        <f>S333+S341</f>
        <v>5296.1450000000004</v>
      </c>
      <c r="T342" s="81">
        <f>T333+T341</f>
        <v>5334.91</v>
      </c>
      <c r="U342" s="99">
        <f t="shared" si="214"/>
        <v>5298.791666666667</v>
      </c>
      <c r="V342" s="68">
        <f>SUM(V333+V341)</f>
        <v>482190.04166666669</v>
      </c>
      <c r="W342" s="80">
        <f>W333+W341</f>
        <v>5203.7658333333338</v>
      </c>
      <c r="X342" s="82">
        <f>X333+X341</f>
        <v>1899374.5291666668</v>
      </c>
    </row>
    <row r="343" spans="1:24" ht="15.75" x14ac:dyDescent="0.25">
      <c r="A343" s="114"/>
      <c r="B343" s="19"/>
      <c r="C343" s="115"/>
      <c r="D343" s="115"/>
      <c r="E343" s="115"/>
      <c r="F343" s="115"/>
      <c r="G343" s="113"/>
      <c r="H343" s="115"/>
      <c r="I343" s="115"/>
      <c r="J343" s="115"/>
      <c r="K343" s="139"/>
      <c r="L343" s="113"/>
      <c r="M343" s="115"/>
      <c r="N343" s="115"/>
      <c r="O343" s="115"/>
      <c r="P343" s="93"/>
      <c r="Q343" s="113"/>
      <c r="R343" s="115"/>
      <c r="S343" s="115"/>
      <c r="T343" s="115"/>
      <c r="U343" s="93"/>
      <c r="V343" s="113"/>
      <c r="W343" s="115"/>
      <c r="X343" s="115"/>
    </row>
    <row r="344" spans="1:24" ht="15.75" x14ac:dyDescent="0.25">
      <c r="A344" s="114"/>
      <c r="B344" s="19"/>
      <c r="C344" s="115"/>
      <c r="D344" s="115"/>
      <c r="E344" s="115"/>
      <c r="F344" s="115"/>
      <c r="G344" s="113"/>
      <c r="H344" s="115"/>
      <c r="I344" s="115"/>
      <c r="J344" s="115"/>
      <c r="K344" s="139"/>
      <c r="L344" s="113"/>
      <c r="M344" s="115"/>
      <c r="N344" s="115"/>
      <c r="O344" s="115"/>
      <c r="P344" s="93"/>
      <c r="Q344" s="113"/>
      <c r="R344" s="115"/>
      <c r="S344" s="115"/>
      <c r="T344" s="115"/>
      <c r="U344" s="93"/>
      <c r="V344" s="113"/>
      <c r="W344" s="115"/>
      <c r="X344" s="115"/>
    </row>
    <row r="345" spans="1:24" ht="16.5" thickBot="1" x14ac:dyDescent="0.25">
      <c r="A345" s="45" t="s">
        <v>155</v>
      </c>
      <c r="B345" s="10"/>
      <c r="C345" s="13"/>
      <c r="D345" s="13"/>
      <c r="E345" s="13"/>
      <c r="F345" s="13"/>
      <c r="G345" s="13"/>
      <c r="H345" s="13"/>
      <c r="I345" s="13"/>
      <c r="J345" s="13"/>
      <c r="K345" s="13"/>
      <c r="L345" s="13"/>
      <c r="M345" s="13"/>
      <c r="N345" s="13"/>
      <c r="O345" s="13"/>
      <c r="P345" s="13"/>
      <c r="Q345" s="13"/>
      <c r="R345" s="13"/>
      <c r="S345" s="13"/>
      <c r="T345" s="13"/>
      <c r="U345" s="13"/>
      <c r="V345" s="13"/>
      <c r="W345" s="13"/>
      <c r="X345" s="13"/>
    </row>
    <row r="346" spans="1:24" ht="16.5" thickBot="1" x14ac:dyDescent="0.3">
      <c r="A346" s="32" t="s">
        <v>290</v>
      </c>
      <c r="B346" s="1200" t="s">
        <v>153</v>
      </c>
      <c r="C346" s="1205"/>
      <c r="D346" s="1205"/>
      <c r="E346" s="1205"/>
      <c r="F346" s="1205"/>
      <c r="G346" s="1205"/>
      <c r="H346" s="1205"/>
      <c r="I346" s="1205"/>
      <c r="J346" s="1205"/>
      <c r="K346" s="1205"/>
      <c r="L346" s="1205"/>
      <c r="M346" s="1205"/>
      <c r="N346" s="1205"/>
      <c r="O346" s="1205"/>
      <c r="P346" s="1205"/>
      <c r="Q346" s="1205"/>
      <c r="R346" s="1205"/>
      <c r="S346" s="1205"/>
      <c r="T346" s="1205"/>
      <c r="U346" s="39"/>
      <c r="V346" s="39"/>
      <c r="W346" s="92"/>
      <c r="X346" s="13"/>
    </row>
    <row r="347" spans="1:24" ht="15.75" x14ac:dyDescent="0.25">
      <c r="A347" s="11"/>
      <c r="B347" s="40" t="s">
        <v>261</v>
      </c>
      <c r="C347" s="57"/>
      <c r="D347" s="58"/>
      <c r="E347" s="58"/>
      <c r="F347" s="1192" t="s">
        <v>258</v>
      </c>
      <c r="G347" s="1184" t="s">
        <v>278</v>
      </c>
      <c r="H347" s="58"/>
      <c r="I347" s="58"/>
      <c r="J347" s="58"/>
      <c r="K347" s="1192" t="s">
        <v>258</v>
      </c>
      <c r="L347" s="1184" t="s">
        <v>278</v>
      </c>
      <c r="M347" s="58"/>
      <c r="N347" s="58"/>
      <c r="O347" s="58"/>
      <c r="P347" s="1192" t="s">
        <v>258</v>
      </c>
      <c r="Q347" s="1184" t="s">
        <v>278</v>
      </c>
      <c r="R347" s="58"/>
      <c r="S347" s="58"/>
      <c r="T347" s="59"/>
      <c r="U347" s="1192" t="s">
        <v>258</v>
      </c>
      <c r="V347" s="1184" t="s">
        <v>278</v>
      </c>
      <c r="W347" s="1186" t="s">
        <v>154</v>
      </c>
      <c r="X347" s="1188" t="s">
        <v>155</v>
      </c>
    </row>
    <row r="348" spans="1:24" ht="15.75" customHeight="1" thickBot="1" x14ac:dyDescent="0.3">
      <c r="A348" s="47" t="s">
        <v>56</v>
      </c>
      <c r="B348" s="41" t="s">
        <v>262</v>
      </c>
      <c r="C348" s="60">
        <v>38538</v>
      </c>
      <c r="D348" s="61">
        <v>38569</v>
      </c>
      <c r="E348" s="61">
        <v>38600</v>
      </c>
      <c r="F348" s="1193"/>
      <c r="G348" s="1202"/>
      <c r="H348" s="61">
        <v>38630</v>
      </c>
      <c r="I348" s="61">
        <v>38661</v>
      </c>
      <c r="J348" s="61">
        <v>38691</v>
      </c>
      <c r="K348" s="1202"/>
      <c r="L348" s="1202"/>
      <c r="M348" s="61">
        <v>38718</v>
      </c>
      <c r="N348" s="61">
        <v>38749</v>
      </c>
      <c r="O348" s="61">
        <v>38777</v>
      </c>
      <c r="P348" s="1202"/>
      <c r="Q348" s="1202"/>
      <c r="R348" s="61">
        <v>38808</v>
      </c>
      <c r="S348" s="61">
        <v>38838</v>
      </c>
      <c r="T348" s="62">
        <v>38869</v>
      </c>
      <c r="U348" s="1202"/>
      <c r="V348" s="1202"/>
      <c r="W348" s="1202"/>
      <c r="X348" s="1202"/>
    </row>
    <row r="349" spans="1:24" ht="32.25" customHeight="1" thickBot="1" x14ac:dyDescent="0.3">
      <c r="A349" s="48" t="s">
        <v>291</v>
      </c>
      <c r="B349" s="42" t="s">
        <v>263</v>
      </c>
      <c r="C349" s="125">
        <v>456.77</v>
      </c>
      <c r="D349" s="125">
        <v>441.45</v>
      </c>
      <c r="E349" s="117">
        <v>460.2</v>
      </c>
      <c r="F349" s="63">
        <f t="shared" ref="F349:F363" si="217">SUM(C349:E349)/3</f>
        <v>452.80666666666667</v>
      </c>
      <c r="G349" s="108">
        <f t="shared" ref="G349:G363" si="218">F349*92</f>
        <v>41658.213333333333</v>
      </c>
      <c r="H349" s="117">
        <v>449.61</v>
      </c>
      <c r="I349" s="117">
        <v>436.43</v>
      </c>
      <c r="J349" s="117">
        <v>435.55</v>
      </c>
      <c r="K349" s="63">
        <f t="shared" ref="K349:K363" si="219">SUM(H349:J349)/3</f>
        <v>440.53</v>
      </c>
      <c r="L349" s="108">
        <f t="shared" ref="L349:L363" si="220">K349*92</f>
        <v>40528.759999999995</v>
      </c>
      <c r="M349" s="117">
        <v>446.52</v>
      </c>
      <c r="N349" s="85">
        <v>447.57</v>
      </c>
      <c r="O349" s="85">
        <v>483.19</v>
      </c>
      <c r="P349" s="63">
        <f t="shared" ref="P349:P363" si="221">SUM(M349:O349)/3</f>
        <v>459.09333333333331</v>
      </c>
      <c r="Q349" s="108">
        <f t="shared" ref="Q349:Q361" si="222">P349*90</f>
        <v>41318.399999999994</v>
      </c>
      <c r="R349" s="117">
        <v>476.97</v>
      </c>
      <c r="S349" s="85">
        <v>477.42</v>
      </c>
      <c r="T349" s="135">
        <v>493.7</v>
      </c>
      <c r="U349" s="63">
        <f t="shared" ref="U349:U363" si="223">SUM(R349:T349)/3</f>
        <v>482.69666666666672</v>
      </c>
      <c r="V349" s="111">
        <f t="shared" ref="V349:V363" si="224">U349*91</f>
        <v>43925.396666666667</v>
      </c>
      <c r="W349" s="64">
        <f t="shared" ref="W349:W363" si="225">SUM(C349+D349+E349+H349+I349+J349+M349+N349+O349+R349+S349+T349)/12</f>
        <v>458.78166666666669</v>
      </c>
      <c r="X349" s="65">
        <f>W349*365</f>
        <v>167455.30833333335</v>
      </c>
    </row>
    <row r="350" spans="1:24" ht="16.5" thickBot="1" x14ac:dyDescent="0.3">
      <c r="A350" s="49" t="s">
        <v>138</v>
      </c>
      <c r="B350" s="43" t="s">
        <v>264</v>
      </c>
      <c r="C350" s="126">
        <v>128.41999999999999</v>
      </c>
      <c r="D350" s="126">
        <v>140.13</v>
      </c>
      <c r="E350" s="118">
        <v>126.17</v>
      </c>
      <c r="F350" s="63">
        <f t="shared" si="217"/>
        <v>131.57333333333332</v>
      </c>
      <c r="G350" s="108">
        <f t="shared" si="218"/>
        <v>12104.746666666666</v>
      </c>
      <c r="H350" s="118">
        <v>127.16</v>
      </c>
      <c r="I350" s="118">
        <v>113.43</v>
      </c>
      <c r="J350" s="118">
        <v>111.16</v>
      </c>
      <c r="K350" s="63">
        <f t="shared" si="219"/>
        <v>117.25</v>
      </c>
      <c r="L350" s="108">
        <f t="shared" si="220"/>
        <v>10787</v>
      </c>
      <c r="M350" s="118">
        <v>138.1</v>
      </c>
      <c r="N350" s="86">
        <v>109.79</v>
      </c>
      <c r="O350" s="86">
        <v>99.064999999999998</v>
      </c>
      <c r="P350" s="63">
        <f t="shared" si="221"/>
        <v>115.65166666666666</v>
      </c>
      <c r="Q350" s="108">
        <f t="shared" si="222"/>
        <v>10408.65</v>
      </c>
      <c r="R350" s="118">
        <v>103</v>
      </c>
      <c r="S350" s="86">
        <v>98.451999999999998</v>
      </c>
      <c r="T350" s="89">
        <v>97.867000000000004</v>
      </c>
      <c r="U350" s="63">
        <f t="shared" si="223"/>
        <v>99.77300000000001</v>
      </c>
      <c r="V350" s="111">
        <f t="shared" si="224"/>
        <v>9079.3430000000008</v>
      </c>
      <c r="W350" s="64">
        <f t="shared" si="225"/>
        <v>116.062</v>
      </c>
      <c r="X350" s="65">
        <f>W350*365</f>
        <v>42362.63</v>
      </c>
    </row>
    <row r="351" spans="1:24" ht="16.5" thickBot="1" x14ac:dyDescent="0.3">
      <c r="A351" s="50" t="s">
        <v>292</v>
      </c>
      <c r="B351" s="44" t="s">
        <v>265</v>
      </c>
      <c r="C351" s="4">
        <v>375.45</v>
      </c>
      <c r="D351" s="4">
        <v>374.35</v>
      </c>
      <c r="E351" s="3">
        <v>385.1</v>
      </c>
      <c r="F351" s="63">
        <f t="shared" si="217"/>
        <v>378.3</v>
      </c>
      <c r="G351" s="108">
        <f t="shared" si="218"/>
        <v>34803.599999999999</v>
      </c>
      <c r="H351" s="3">
        <v>414.74</v>
      </c>
      <c r="I351" s="3">
        <v>411.3</v>
      </c>
      <c r="J351" s="3">
        <v>412.13</v>
      </c>
      <c r="K351" s="63">
        <f t="shared" si="219"/>
        <v>412.72333333333336</v>
      </c>
      <c r="L351" s="108">
        <f t="shared" si="220"/>
        <v>37970.546666666669</v>
      </c>
      <c r="M351" s="3">
        <v>420.9</v>
      </c>
      <c r="N351" s="87">
        <v>421.75</v>
      </c>
      <c r="O351" s="87">
        <v>437.58</v>
      </c>
      <c r="P351" s="63">
        <f t="shared" si="221"/>
        <v>426.74333333333334</v>
      </c>
      <c r="Q351" s="108">
        <f t="shared" si="222"/>
        <v>38406.9</v>
      </c>
      <c r="R351" s="3">
        <v>440.5</v>
      </c>
      <c r="S351" s="87">
        <v>438.9</v>
      </c>
      <c r="T351" s="90">
        <v>441.4</v>
      </c>
      <c r="U351" s="63">
        <f t="shared" si="223"/>
        <v>440.26666666666665</v>
      </c>
      <c r="V351" s="111">
        <f t="shared" si="224"/>
        <v>40064.266666666663</v>
      </c>
      <c r="W351" s="64">
        <f t="shared" si="225"/>
        <v>414.50833333333327</v>
      </c>
      <c r="X351" s="66">
        <f t="shared" ref="X351:X370" si="226">W351*365</f>
        <v>151295.54166666666</v>
      </c>
    </row>
    <row r="352" spans="1:24" ht="16.5" thickBot="1" x14ac:dyDescent="0.3">
      <c r="A352" s="50" t="s">
        <v>25</v>
      </c>
      <c r="B352" s="44" t="s">
        <v>266</v>
      </c>
      <c r="C352" s="4">
        <v>244</v>
      </c>
      <c r="D352" s="4">
        <v>249.16</v>
      </c>
      <c r="E352" s="3">
        <v>264.77</v>
      </c>
      <c r="F352" s="63">
        <f t="shared" si="217"/>
        <v>252.64333333333332</v>
      </c>
      <c r="G352" s="108">
        <f t="shared" si="218"/>
        <v>23243.186666666665</v>
      </c>
      <c r="H352" s="3">
        <v>278.77</v>
      </c>
      <c r="I352" s="3">
        <v>295.2</v>
      </c>
      <c r="J352" s="3">
        <v>281.81</v>
      </c>
      <c r="K352" s="63">
        <f t="shared" si="219"/>
        <v>285.26</v>
      </c>
      <c r="L352" s="108">
        <f t="shared" si="220"/>
        <v>26243.919999999998</v>
      </c>
      <c r="M352" s="3">
        <v>290.26</v>
      </c>
      <c r="N352" s="87">
        <v>295.75</v>
      </c>
      <c r="O352" s="87">
        <v>279.64999999999998</v>
      </c>
      <c r="P352" s="63">
        <f t="shared" si="221"/>
        <v>288.55333333333334</v>
      </c>
      <c r="Q352" s="108">
        <f t="shared" si="222"/>
        <v>25969.8</v>
      </c>
      <c r="R352" s="3">
        <v>307.7</v>
      </c>
      <c r="S352" s="87">
        <v>309.39</v>
      </c>
      <c r="T352" s="90">
        <v>309.57</v>
      </c>
      <c r="U352" s="63">
        <f t="shared" si="223"/>
        <v>308.8866666666666</v>
      </c>
      <c r="V352" s="111">
        <f t="shared" si="224"/>
        <v>28108.686666666661</v>
      </c>
      <c r="W352" s="64">
        <f t="shared" si="225"/>
        <v>283.83583333333331</v>
      </c>
      <c r="X352" s="66">
        <f t="shared" si="226"/>
        <v>103600.07916666666</v>
      </c>
    </row>
    <row r="353" spans="1:24" ht="16.5" thickBot="1" x14ac:dyDescent="0.3">
      <c r="A353" s="51" t="s">
        <v>275</v>
      </c>
      <c r="B353" s="44" t="s">
        <v>267</v>
      </c>
      <c r="C353" s="4">
        <v>331.84</v>
      </c>
      <c r="D353" s="4">
        <v>327.96</v>
      </c>
      <c r="E353" s="3">
        <v>326.39999999999998</v>
      </c>
      <c r="F353" s="63">
        <f t="shared" si="217"/>
        <v>328.73333333333329</v>
      </c>
      <c r="G353" s="108">
        <f t="shared" si="218"/>
        <v>30243.466666666664</v>
      </c>
      <c r="H353" s="3">
        <v>327.93</v>
      </c>
      <c r="I353" s="3">
        <v>323.43</v>
      </c>
      <c r="J353" s="3">
        <v>319.51</v>
      </c>
      <c r="K353" s="63">
        <f t="shared" si="219"/>
        <v>323.62333333333333</v>
      </c>
      <c r="L353" s="108">
        <f t="shared" si="220"/>
        <v>29773.346666666668</v>
      </c>
      <c r="M353" s="3">
        <v>328.09</v>
      </c>
      <c r="N353" s="87">
        <v>333.71</v>
      </c>
      <c r="O353" s="87">
        <v>340.322</v>
      </c>
      <c r="P353" s="63">
        <f t="shared" si="221"/>
        <v>334.04066666666665</v>
      </c>
      <c r="Q353" s="108">
        <f t="shared" si="222"/>
        <v>30063.66</v>
      </c>
      <c r="R353" s="3">
        <v>343.7</v>
      </c>
      <c r="S353" s="87">
        <v>353.16300000000001</v>
      </c>
      <c r="T353" s="90">
        <v>361.37</v>
      </c>
      <c r="U353" s="63">
        <f t="shared" si="223"/>
        <v>352.74433333333337</v>
      </c>
      <c r="V353" s="111">
        <f t="shared" si="224"/>
        <v>32099.734333333337</v>
      </c>
      <c r="W353" s="64">
        <f t="shared" si="225"/>
        <v>334.78541666666666</v>
      </c>
      <c r="X353" s="66">
        <f t="shared" si="226"/>
        <v>122196.67708333333</v>
      </c>
    </row>
    <row r="354" spans="1:24" ht="16.5" thickBot="1" x14ac:dyDescent="0.3">
      <c r="A354" s="50" t="s">
        <v>16</v>
      </c>
      <c r="B354" s="44" t="s">
        <v>268</v>
      </c>
      <c r="C354" s="4">
        <v>69.55</v>
      </c>
      <c r="D354" s="4">
        <v>66.322999999999993</v>
      </c>
      <c r="E354" s="3">
        <v>68.900000000000006</v>
      </c>
      <c r="F354" s="63">
        <f t="shared" si="217"/>
        <v>68.257666666666665</v>
      </c>
      <c r="G354" s="108">
        <f t="shared" si="218"/>
        <v>6279.7053333333333</v>
      </c>
      <c r="H354" s="3">
        <v>70.225999999999999</v>
      </c>
      <c r="I354" s="3">
        <v>66.966999999999999</v>
      </c>
      <c r="J354" s="3">
        <v>66.709999999999994</v>
      </c>
      <c r="K354" s="63">
        <f t="shared" si="219"/>
        <v>67.967666666666659</v>
      </c>
      <c r="L354" s="108">
        <f t="shared" si="220"/>
        <v>6253.025333333333</v>
      </c>
      <c r="M354" s="3">
        <v>62.22</v>
      </c>
      <c r="N354" s="87">
        <v>59.893000000000001</v>
      </c>
      <c r="O354" s="87">
        <v>61.194000000000003</v>
      </c>
      <c r="P354" s="63">
        <f t="shared" si="221"/>
        <v>61.102333333333341</v>
      </c>
      <c r="Q354" s="108">
        <f t="shared" si="222"/>
        <v>5499.2100000000009</v>
      </c>
      <c r="R354" s="3">
        <v>61.13</v>
      </c>
      <c r="S354" s="87">
        <v>60.128999999999998</v>
      </c>
      <c r="T354" s="90">
        <v>61.067</v>
      </c>
      <c r="U354" s="63">
        <f t="shared" si="223"/>
        <v>60.775333333333329</v>
      </c>
      <c r="V354" s="111">
        <f t="shared" si="224"/>
        <v>5530.5553333333328</v>
      </c>
      <c r="W354" s="64">
        <f t="shared" si="225"/>
        <v>64.525750000000002</v>
      </c>
      <c r="X354" s="66">
        <f t="shared" si="226"/>
        <v>23551.89875</v>
      </c>
    </row>
    <row r="355" spans="1:24" ht="16.5" thickBot="1" x14ac:dyDescent="0.3">
      <c r="A355" s="50" t="s">
        <v>17</v>
      </c>
      <c r="B355" s="44" t="s">
        <v>269</v>
      </c>
      <c r="C355" s="4">
        <v>185.06</v>
      </c>
      <c r="D355" s="4">
        <v>195.19</v>
      </c>
      <c r="E355" s="3">
        <v>198.4</v>
      </c>
      <c r="F355" s="63">
        <f t="shared" si="217"/>
        <v>192.88333333333333</v>
      </c>
      <c r="G355" s="108">
        <f t="shared" si="218"/>
        <v>17745.266666666666</v>
      </c>
      <c r="H355" s="3">
        <v>193.42</v>
      </c>
      <c r="I355" s="3">
        <v>188.8</v>
      </c>
      <c r="J355" s="3">
        <v>196.68</v>
      </c>
      <c r="K355" s="63">
        <f t="shared" si="219"/>
        <v>192.9666666666667</v>
      </c>
      <c r="L355" s="108">
        <f t="shared" si="220"/>
        <v>17752.933333333334</v>
      </c>
      <c r="M355" s="3">
        <v>206.1</v>
      </c>
      <c r="N355" s="87">
        <v>206.46</v>
      </c>
      <c r="O355" s="87">
        <v>204.74</v>
      </c>
      <c r="P355" s="63">
        <f t="shared" si="221"/>
        <v>205.76666666666665</v>
      </c>
      <c r="Q355" s="108">
        <f t="shared" si="222"/>
        <v>18519</v>
      </c>
      <c r="R355" s="3">
        <v>197</v>
      </c>
      <c r="S355" s="87">
        <v>198.81</v>
      </c>
      <c r="T355" s="90">
        <v>198.73</v>
      </c>
      <c r="U355" s="63">
        <f t="shared" si="223"/>
        <v>198.17999999999998</v>
      </c>
      <c r="V355" s="111">
        <f t="shared" si="224"/>
        <v>18034.379999999997</v>
      </c>
      <c r="W355" s="64">
        <f t="shared" si="225"/>
        <v>197.44916666666666</v>
      </c>
      <c r="X355" s="66">
        <f t="shared" si="226"/>
        <v>72068.945833333331</v>
      </c>
    </row>
    <row r="356" spans="1:24" ht="16.5" thickBot="1" x14ac:dyDescent="0.3">
      <c r="A356" s="50" t="s">
        <v>140</v>
      </c>
      <c r="B356" s="44" t="s">
        <v>270</v>
      </c>
      <c r="C356" s="4">
        <v>100.87</v>
      </c>
      <c r="D356" s="4">
        <v>100.74</v>
      </c>
      <c r="E356" s="3">
        <v>98.5</v>
      </c>
      <c r="F356" s="63">
        <f t="shared" si="217"/>
        <v>100.03666666666668</v>
      </c>
      <c r="G356" s="108">
        <f t="shared" si="218"/>
        <v>9203.3733333333348</v>
      </c>
      <c r="H356" s="3">
        <v>91.903000000000006</v>
      </c>
      <c r="I356" s="3">
        <v>93.266999999999996</v>
      </c>
      <c r="J356" s="3">
        <v>105.23</v>
      </c>
      <c r="K356" s="63">
        <f t="shared" si="219"/>
        <v>96.800000000000011</v>
      </c>
      <c r="L356" s="108">
        <f t="shared" si="220"/>
        <v>8905.6</v>
      </c>
      <c r="M356" s="3">
        <v>99.45</v>
      </c>
      <c r="N356" s="87">
        <v>99.820999999999998</v>
      </c>
      <c r="O356" s="87">
        <v>102.81</v>
      </c>
      <c r="P356" s="63">
        <f t="shared" si="221"/>
        <v>100.69366666666667</v>
      </c>
      <c r="Q356" s="108">
        <f t="shared" si="222"/>
        <v>9062.43</v>
      </c>
      <c r="R356" s="3">
        <v>102.67</v>
      </c>
      <c r="S356" s="87">
        <v>103</v>
      </c>
      <c r="T356" s="90">
        <v>99.966999999999999</v>
      </c>
      <c r="U356" s="63">
        <f t="shared" si="223"/>
        <v>101.879</v>
      </c>
      <c r="V356" s="111">
        <f t="shared" si="224"/>
        <v>9270.9889999999996</v>
      </c>
      <c r="W356" s="64">
        <f t="shared" si="225"/>
        <v>99.852333333333334</v>
      </c>
      <c r="X356" s="66">
        <f t="shared" si="226"/>
        <v>36446.101666666669</v>
      </c>
    </row>
    <row r="357" spans="1:24" ht="16.5" thickBot="1" x14ac:dyDescent="0.3">
      <c r="A357" s="51" t="s">
        <v>276</v>
      </c>
      <c r="B357" s="44" t="s">
        <v>271</v>
      </c>
      <c r="C357" s="4">
        <v>414.78</v>
      </c>
      <c r="D357" s="4">
        <v>402.87</v>
      </c>
      <c r="E357" s="3">
        <v>398.3</v>
      </c>
      <c r="F357" s="63">
        <f t="shared" si="217"/>
        <v>405.31666666666666</v>
      </c>
      <c r="G357" s="108">
        <f t="shared" si="218"/>
        <v>37289.133333333331</v>
      </c>
      <c r="H357" s="3">
        <v>411.68</v>
      </c>
      <c r="I357" s="3">
        <v>394.64</v>
      </c>
      <c r="J357" s="3">
        <v>402.13</v>
      </c>
      <c r="K357" s="63">
        <f t="shared" si="219"/>
        <v>402.81666666666661</v>
      </c>
      <c r="L357" s="108">
        <f t="shared" si="220"/>
        <v>37059.133333333331</v>
      </c>
      <c r="M357" s="3">
        <v>414.39</v>
      </c>
      <c r="N357" s="87">
        <v>407.47</v>
      </c>
      <c r="O357" s="87">
        <v>414.74</v>
      </c>
      <c r="P357" s="63">
        <f t="shared" si="221"/>
        <v>412.2</v>
      </c>
      <c r="Q357" s="108">
        <f t="shared" si="222"/>
        <v>37098</v>
      </c>
      <c r="R357" s="3">
        <v>414.5</v>
      </c>
      <c r="S357" s="87">
        <v>394.93</v>
      </c>
      <c r="T357" s="90">
        <v>405.17</v>
      </c>
      <c r="U357" s="63">
        <f t="shared" si="223"/>
        <v>404.86666666666673</v>
      </c>
      <c r="V357" s="111">
        <f t="shared" si="224"/>
        <v>36842.866666666676</v>
      </c>
      <c r="W357" s="64">
        <f t="shared" si="225"/>
        <v>406.3</v>
      </c>
      <c r="X357" s="66">
        <f t="shared" si="226"/>
        <v>148299.5</v>
      </c>
    </row>
    <row r="358" spans="1:24" ht="16.5" thickBot="1" x14ac:dyDescent="0.3">
      <c r="A358" s="50" t="s">
        <v>149</v>
      </c>
      <c r="B358" s="121" t="s">
        <v>279</v>
      </c>
      <c r="C358" s="4">
        <v>101.87</v>
      </c>
      <c r="D358" s="4">
        <v>105.81</v>
      </c>
      <c r="E358" s="3">
        <v>108.63</v>
      </c>
      <c r="F358" s="63">
        <f t="shared" si="217"/>
        <v>105.43666666666667</v>
      </c>
      <c r="G358" s="108">
        <f t="shared" si="218"/>
        <v>9700.1733333333341</v>
      </c>
      <c r="H358" s="3">
        <v>106.13</v>
      </c>
      <c r="I358" s="3">
        <v>97</v>
      </c>
      <c r="J358" s="3">
        <v>94.61</v>
      </c>
      <c r="K358" s="63">
        <f t="shared" si="219"/>
        <v>99.24666666666667</v>
      </c>
      <c r="L358" s="108">
        <f t="shared" si="220"/>
        <v>9130.6933333333327</v>
      </c>
      <c r="M358" s="3">
        <v>87.93</v>
      </c>
      <c r="N358" s="87">
        <v>91.929000000000002</v>
      </c>
      <c r="O358" s="87">
        <v>91.129000000000005</v>
      </c>
      <c r="P358" s="63">
        <f t="shared" si="221"/>
        <v>90.329333333333338</v>
      </c>
      <c r="Q358" s="108">
        <f t="shared" si="222"/>
        <v>8129.64</v>
      </c>
      <c r="R358" s="3">
        <v>99.23</v>
      </c>
      <c r="S358" s="87">
        <v>98.064999999999998</v>
      </c>
      <c r="T358" s="90">
        <v>92.533000000000001</v>
      </c>
      <c r="U358" s="63">
        <f t="shared" si="223"/>
        <v>96.609333333333339</v>
      </c>
      <c r="V358" s="111">
        <f t="shared" si="224"/>
        <v>8791.4493333333339</v>
      </c>
      <c r="W358" s="64">
        <f t="shared" si="225"/>
        <v>97.905500000000004</v>
      </c>
      <c r="X358" s="66">
        <f>W358*365</f>
        <v>35735.5075</v>
      </c>
    </row>
    <row r="359" spans="1:24" ht="16.5" thickBot="1" x14ac:dyDescent="0.3">
      <c r="A359" s="49" t="s">
        <v>20</v>
      </c>
      <c r="B359" s="43" t="s">
        <v>272</v>
      </c>
      <c r="C359" s="126">
        <v>477.52</v>
      </c>
      <c r="D359" s="126">
        <v>476.94</v>
      </c>
      <c r="E359" s="118">
        <v>467.93</v>
      </c>
      <c r="F359" s="63">
        <f t="shared" si="217"/>
        <v>474.13000000000005</v>
      </c>
      <c r="G359" s="108">
        <f t="shared" si="218"/>
        <v>43619.960000000006</v>
      </c>
      <c r="H359" s="118">
        <v>497.16</v>
      </c>
      <c r="I359" s="3">
        <v>492.83</v>
      </c>
      <c r="J359" s="118">
        <v>491.39</v>
      </c>
      <c r="K359" s="63">
        <f t="shared" si="219"/>
        <v>493.79333333333335</v>
      </c>
      <c r="L359" s="111">
        <f t="shared" si="220"/>
        <v>45428.986666666671</v>
      </c>
      <c r="M359" s="3">
        <v>497.29</v>
      </c>
      <c r="N359" s="86">
        <v>479.11</v>
      </c>
      <c r="O359" s="86">
        <v>489.26</v>
      </c>
      <c r="P359" s="63">
        <f t="shared" si="221"/>
        <v>488.55333333333334</v>
      </c>
      <c r="Q359" s="108">
        <f t="shared" si="222"/>
        <v>43969.8</v>
      </c>
      <c r="R359" s="3">
        <v>496.13</v>
      </c>
      <c r="S359" s="86">
        <v>487.29</v>
      </c>
      <c r="T359" s="89">
        <v>488.6</v>
      </c>
      <c r="U359" s="63">
        <f t="shared" si="223"/>
        <v>490.67333333333335</v>
      </c>
      <c r="V359" s="111">
        <f t="shared" si="224"/>
        <v>44651.273333333338</v>
      </c>
      <c r="W359" s="64">
        <f t="shared" si="225"/>
        <v>486.78750000000008</v>
      </c>
      <c r="X359" s="65">
        <f t="shared" si="226"/>
        <v>177677.43750000003</v>
      </c>
    </row>
    <row r="360" spans="1:24" ht="16.5" thickBot="1" x14ac:dyDescent="0.3">
      <c r="A360" s="51" t="s">
        <v>277</v>
      </c>
      <c r="B360" s="44" t="s">
        <v>273</v>
      </c>
      <c r="C360" s="4">
        <v>337.23</v>
      </c>
      <c r="D360" s="4">
        <v>370.58</v>
      </c>
      <c r="E360" s="3">
        <v>393.5</v>
      </c>
      <c r="F360" s="63">
        <f t="shared" si="217"/>
        <v>367.1033333333333</v>
      </c>
      <c r="G360" s="108">
        <f t="shared" si="218"/>
        <v>33773.506666666661</v>
      </c>
      <c r="H360" s="3">
        <v>378.03</v>
      </c>
      <c r="I360" s="3">
        <v>365.43</v>
      </c>
      <c r="J360" s="3">
        <v>366.61</v>
      </c>
      <c r="K360" s="63">
        <f t="shared" si="219"/>
        <v>370.02333333333337</v>
      </c>
      <c r="L360" s="108">
        <f t="shared" si="220"/>
        <v>34042.146666666667</v>
      </c>
      <c r="M360" s="3">
        <v>382.2</v>
      </c>
      <c r="N360" s="87">
        <v>384.83</v>
      </c>
      <c r="O360" s="87">
        <v>379.42</v>
      </c>
      <c r="P360" s="63">
        <f t="shared" si="221"/>
        <v>382.15000000000003</v>
      </c>
      <c r="Q360" s="108">
        <f t="shared" si="222"/>
        <v>34393.5</v>
      </c>
      <c r="R360" s="3">
        <v>351.93</v>
      </c>
      <c r="S360" s="87">
        <v>353.35</v>
      </c>
      <c r="T360" s="90">
        <v>357.8</v>
      </c>
      <c r="U360" s="63">
        <f t="shared" si="223"/>
        <v>354.35999999999996</v>
      </c>
      <c r="V360" s="111">
        <f t="shared" si="224"/>
        <v>32246.759999999995</v>
      </c>
      <c r="W360" s="64">
        <f t="shared" si="225"/>
        <v>368.40916666666664</v>
      </c>
      <c r="X360" s="66">
        <f t="shared" si="226"/>
        <v>134469.34583333333</v>
      </c>
    </row>
    <row r="361" spans="1:24" ht="16.5" thickBot="1" x14ac:dyDescent="0.3">
      <c r="A361" s="50" t="s">
        <v>141</v>
      </c>
      <c r="B361" s="44" t="s">
        <v>274</v>
      </c>
      <c r="C361" s="4">
        <v>133.87</v>
      </c>
      <c r="D361" s="4">
        <v>134.9</v>
      </c>
      <c r="E361" s="3">
        <v>132.47</v>
      </c>
      <c r="F361" s="63">
        <f t="shared" si="217"/>
        <v>133.74666666666667</v>
      </c>
      <c r="G361" s="108">
        <f t="shared" si="218"/>
        <v>12304.693333333333</v>
      </c>
      <c r="H361" s="3">
        <v>122.52</v>
      </c>
      <c r="I361" s="3">
        <v>99.7</v>
      </c>
      <c r="J361" s="3">
        <v>99.74</v>
      </c>
      <c r="K361" s="63">
        <f t="shared" si="219"/>
        <v>107.32</v>
      </c>
      <c r="L361" s="108">
        <f t="shared" si="220"/>
        <v>9873.4399999999987</v>
      </c>
      <c r="M361" s="3">
        <v>105.26</v>
      </c>
      <c r="N361" s="87">
        <v>108.18</v>
      </c>
      <c r="O361" s="87">
        <v>115.29</v>
      </c>
      <c r="P361" s="63">
        <f t="shared" si="221"/>
        <v>109.57666666666667</v>
      </c>
      <c r="Q361" s="108">
        <f t="shared" si="222"/>
        <v>9861.9</v>
      </c>
      <c r="R361" s="3">
        <v>112.07</v>
      </c>
      <c r="S361" s="87">
        <v>121.84</v>
      </c>
      <c r="T361" s="90">
        <v>119.1</v>
      </c>
      <c r="U361" s="63">
        <f t="shared" si="223"/>
        <v>117.67</v>
      </c>
      <c r="V361" s="111">
        <f t="shared" si="224"/>
        <v>10707.97</v>
      </c>
      <c r="W361" s="64">
        <f t="shared" si="225"/>
        <v>117.07833333333332</v>
      </c>
      <c r="X361" s="66">
        <f t="shared" si="226"/>
        <v>42733.59166666666</v>
      </c>
    </row>
    <row r="362" spans="1:24" ht="16.5" thickBot="1" x14ac:dyDescent="0.3">
      <c r="A362" s="50" t="s">
        <v>142</v>
      </c>
      <c r="B362" s="34"/>
      <c r="C362" s="4">
        <v>0</v>
      </c>
      <c r="D362" s="4">
        <v>0</v>
      </c>
      <c r="E362" s="4">
        <v>0</v>
      </c>
      <c r="F362" s="67">
        <f t="shared" si="217"/>
        <v>0</v>
      </c>
      <c r="G362" s="108">
        <f t="shared" si="218"/>
        <v>0</v>
      </c>
      <c r="H362" s="18"/>
      <c r="I362" s="4">
        <v>0</v>
      </c>
      <c r="J362" s="18"/>
      <c r="K362" s="67">
        <f t="shared" si="219"/>
        <v>0</v>
      </c>
      <c r="L362" s="108">
        <f t="shared" si="220"/>
        <v>0</v>
      </c>
      <c r="M362" s="18"/>
      <c r="N362" s="4">
        <v>0</v>
      </c>
      <c r="O362" s="4">
        <v>0</v>
      </c>
      <c r="P362" s="67">
        <f t="shared" si="221"/>
        <v>0</v>
      </c>
      <c r="Q362" s="108">
        <f>P362*91</f>
        <v>0</v>
      </c>
      <c r="R362" s="3"/>
      <c r="S362" s="4"/>
      <c r="T362" s="4"/>
      <c r="U362" s="67">
        <f t="shared" si="223"/>
        <v>0</v>
      </c>
      <c r="V362" s="112">
        <f t="shared" si="224"/>
        <v>0</v>
      </c>
      <c r="W362" s="137">
        <f t="shared" si="225"/>
        <v>0</v>
      </c>
      <c r="X362" s="66">
        <f>W362*365</f>
        <v>0</v>
      </c>
    </row>
    <row r="363" spans="1:24" ht="16.5" thickBot="1" x14ac:dyDescent="0.3">
      <c r="A363" s="46" t="s">
        <v>150</v>
      </c>
      <c r="B363" s="35"/>
      <c r="C363" s="80">
        <f>SUM(C349:C362)</f>
        <v>3357.2299999999996</v>
      </c>
      <c r="D363" s="80">
        <f>SUM(D349:D362)</f>
        <v>3386.4030000000002</v>
      </c>
      <c r="E363" s="80">
        <f>SUM(E349:E362)</f>
        <v>3429.27</v>
      </c>
      <c r="F363" s="68">
        <f t="shared" si="217"/>
        <v>3390.9676666666669</v>
      </c>
      <c r="G363" s="108">
        <f t="shared" si="218"/>
        <v>311969.02533333335</v>
      </c>
      <c r="H363" s="94">
        <f>SUM(H349:H362)</f>
        <v>3469.279</v>
      </c>
      <c r="I363" s="80">
        <f>SUM(I349:I362)</f>
        <v>3378.424</v>
      </c>
      <c r="J363" s="80">
        <f>SUM(J349:J362)</f>
        <v>3383.26</v>
      </c>
      <c r="K363" s="68">
        <f t="shared" si="219"/>
        <v>3410.3209999999999</v>
      </c>
      <c r="L363" s="119">
        <f t="shared" si="220"/>
        <v>313749.53200000001</v>
      </c>
      <c r="M363" s="9">
        <f>SUM(M349:M362)</f>
        <v>3478.7099999999996</v>
      </c>
      <c r="N363" s="80">
        <f>SUM(N349:N362)</f>
        <v>3446.2629999999999</v>
      </c>
      <c r="O363" s="80">
        <f>SUM(O349:O362)</f>
        <v>3498.3900000000003</v>
      </c>
      <c r="P363" s="68">
        <f t="shared" si="221"/>
        <v>3474.4543333333336</v>
      </c>
      <c r="Q363" s="119">
        <f>P363*91</f>
        <v>316175.34433333337</v>
      </c>
      <c r="R363" s="94">
        <f>SUM(R349:R362)</f>
        <v>3506.53</v>
      </c>
      <c r="S363" s="80">
        <f>SUM(S349:S362)</f>
        <v>3494.739</v>
      </c>
      <c r="T363" s="81">
        <f>SUM(T349:T362)</f>
        <v>3526.8740000000003</v>
      </c>
      <c r="U363" s="68">
        <f t="shared" si="223"/>
        <v>3509.3809999999999</v>
      </c>
      <c r="V363" s="120">
        <f t="shared" si="224"/>
        <v>319353.67099999997</v>
      </c>
      <c r="W363" s="138">
        <f t="shared" si="225"/>
        <v>3446.2810000000004</v>
      </c>
      <c r="X363" s="69">
        <f>SUM(X349:X362)</f>
        <v>1257892.5649999997</v>
      </c>
    </row>
    <row r="364" spans="1:24" ht="16.5" thickBot="1" x14ac:dyDescent="0.3">
      <c r="A364" s="46" t="s">
        <v>151</v>
      </c>
      <c r="B364" s="35"/>
      <c r="C364" s="70"/>
      <c r="D364" s="70"/>
      <c r="E364" s="71"/>
      <c r="F364" s="98"/>
      <c r="G364" s="98"/>
      <c r="H364" s="72"/>
      <c r="I364" s="70" t="s">
        <v>251</v>
      </c>
      <c r="J364" s="71"/>
      <c r="K364" s="97"/>
      <c r="L364" s="97"/>
      <c r="M364" s="72"/>
      <c r="N364" s="70"/>
      <c r="O364" s="71"/>
      <c r="P364" s="97"/>
      <c r="Q364" s="97"/>
      <c r="R364" s="72"/>
      <c r="S364" s="70"/>
      <c r="T364" s="71"/>
      <c r="U364" s="71"/>
      <c r="V364" s="70"/>
      <c r="W364" s="96"/>
      <c r="X364" s="69" t="s">
        <v>0</v>
      </c>
    </row>
    <row r="365" spans="1:24" ht="25.5" customHeight="1" thickBot="1" x14ac:dyDescent="0.3">
      <c r="A365" s="49" t="s">
        <v>143</v>
      </c>
      <c r="B365" s="33"/>
      <c r="C365" s="6">
        <v>615</v>
      </c>
      <c r="D365" s="6">
        <v>614</v>
      </c>
      <c r="E365" s="6">
        <v>622</v>
      </c>
      <c r="F365" s="63">
        <f t="shared" ref="F365:F371" si="227">SUM(C365:E365)/3</f>
        <v>617</v>
      </c>
      <c r="G365" s="108">
        <f t="shared" ref="G365:G371" si="228">F365*92</f>
        <v>56764</v>
      </c>
      <c r="H365" s="6">
        <v>671</v>
      </c>
      <c r="I365" s="6">
        <v>640</v>
      </c>
      <c r="J365" s="6">
        <v>580</v>
      </c>
      <c r="K365" s="63">
        <f t="shared" ref="K365:K372" si="229">SUM(H365:J365)/3</f>
        <v>630.33333333333337</v>
      </c>
      <c r="L365" s="108">
        <f t="shared" ref="L365:L371" si="230">K365*92</f>
        <v>57990.666666666672</v>
      </c>
      <c r="M365" s="6">
        <v>607</v>
      </c>
      <c r="N365" s="73">
        <v>617</v>
      </c>
      <c r="O365" s="73">
        <v>610</v>
      </c>
      <c r="P365" s="63">
        <f t="shared" ref="P365:P372" si="231">SUM(M365:O365)/3</f>
        <v>611.33333333333337</v>
      </c>
      <c r="Q365" s="108">
        <f t="shared" ref="Q365:Q371" si="232">P365*90</f>
        <v>55020</v>
      </c>
      <c r="R365" s="6">
        <v>639</v>
      </c>
      <c r="S365" s="73">
        <v>636</v>
      </c>
      <c r="T365" s="74">
        <v>543</v>
      </c>
      <c r="U365" s="63">
        <f t="shared" ref="U365:U372" si="233">SUM(R365:T365)/3</f>
        <v>606</v>
      </c>
      <c r="V365" s="111">
        <f t="shared" ref="V365:V371" si="234">U365*91</f>
        <v>55146</v>
      </c>
      <c r="W365" s="64">
        <f t="shared" ref="W365:W370" si="235">SUM(C365+D365+E365+H365+I365+J365+M365+N365+O365+R365+S365+T365)/12</f>
        <v>616.16666666666663</v>
      </c>
      <c r="X365" s="65">
        <f t="shared" si="226"/>
        <v>224900.83333333331</v>
      </c>
    </row>
    <row r="366" spans="1:24" ht="16.5" thickBot="1" x14ac:dyDescent="0.3">
      <c r="A366" s="50" t="s">
        <v>144</v>
      </c>
      <c r="B366" s="34"/>
      <c r="C366" s="5">
        <v>9</v>
      </c>
      <c r="D366" s="5">
        <v>6</v>
      </c>
      <c r="E366" s="5">
        <v>8</v>
      </c>
      <c r="F366" s="63">
        <f t="shared" si="227"/>
        <v>7.666666666666667</v>
      </c>
      <c r="G366" s="108">
        <f t="shared" si="228"/>
        <v>705.33333333333337</v>
      </c>
      <c r="H366" s="5">
        <v>7</v>
      </c>
      <c r="I366" s="5">
        <v>6</v>
      </c>
      <c r="J366" s="5">
        <v>6</v>
      </c>
      <c r="K366" s="63">
        <f t="shared" si="229"/>
        <v>6.333333333333333</v>
      </c>
      <c r="L366" s="108">
        <f t="shared" si="230"/>
        <v>582.66666666666663</v>
      </c>
      <c r="M366" s="5">
        <v>4</v>
      </c>
      <c r="N366" s="75">
        <v>3</v>
      </c>
      <c r="O366" s="75">
        <v>5</v>
      </c>
      <c r="P366" s="63">
        <f t="shared" si="231"/>
        <v>4</v>
      </c>
      <c r="Q366" s="108">
        <f t="shared" si="232"/>
        <v>360</v>
      </c>
      <c r="R366" s="5">
        <v>3</v>
      </c>
      <c r="S366" s="75">
        <v>3</v>
      </c>
      <c r="T366" s="76">
        <v>2</v>
      </c>
      <c r="U366" s="63">
        <f t="shared" si="233"/>
        <v>2.6666666666666665</v>
      </c>
      <c r="V366" s="111">
        <f t="shared" si="234"/>
        <v>242.66666666666666</v>
      </c>
      <c r="W366" s="64">
        <f t="shared" si="235"/>
        <v>5.166666666666667</v>
      </c>
      <c r="X366" s="66">
        <f>W366*122</f>
        <v>630.33333333333337</v>
      </c>
    </row>
    <row r="367" spans="1:24" ht="16.5" thickBot="1" x14ac:dyDescent="0.3">
      <c r="A367" s="50" t="s">
        <v>146</v>
      </c>
      <c r="B367" s="34"/>
      <c r="C367" s="5">
        <v>27</v>
      </c>
      <c r="D367" s="5">
        <v>28</v>
      </c>
      <c r="E367" s="5">
        <v>30</v>
      </c>
      <c r="F367" s="63">
        <f t="shared" si="227"/>
        <v>28.333333333333332</v>
      </c>
      <c r="G367" s="108">
        <f t="shared" si="228"/>
        <v>2606.6666666666665</v>
      </c>
      <c r="H367" s="5">
        <v>26</v>
      </c>
      <c r="I367" s="5">
        <v>25</v>
      </c>
      <c r="J367" s="5">
        <v>29</v>
      </c>
      <c r="K367" s="63">
        <f t="shared" si="229"/>
        <v>26.666666666666668</v>
      </c>
      <c r="L367" s="108">
        <f t="shared" si="230"/>
        <v>2453.3333333333335</v>
      </c>
      <c r="M367" s="5">
        <v>30</v>
      </c>
      <c r="N367" s="75">
        <v>30</v>
      </c>
      <c r="O367" s="75">
        <v>32</v>
      </c>
      <c r="P367" s="63">
        <f t="shared" si="231"/>
        <v>30.666666666666668</v>
      </c>
      <c r="Q367" s="108">
        <f t="shared" si="232"/>
        <v>2760</v>
      </c>
      <c r="R367" s="5">
        <v>26</v>
      </c>
      <c r="S367" s="75">
        <v>27</v>
      </c>
      <c r="T367" s="76">
        <v>25</v>
      </c>
      <c r="U367" s="63">
        <f t="shared" si="233"/>
        <v>26</v>
      </c>
      <c r="V367" s="111">
        <f t="shared" si="234"/>
        <v>2366</v>
      </c>
      <c r="W367" s="64">
        <f t="shared" si="235"/>
        <v>27.916666666666668</v>
      </c>
      <c r="X367" s="66">
        <f t="shared" si="226"/>
        <v>10189.583333333334</v>
      </c>
    </row>
    <row r="368" spans="1:24" ht="16.5" thickBot="1" x14ac:dyDescent="0.3">
      <c r="A368" s="50" t="s">
        <v>145</v>
      </c>
      <c r="B368" s="34"/>
      <c r="C368" s="5">
        <v>113</v>
      </c>
      <c r="D368" s="5">
        <v>107</v>
      </c>
      <c r="E368" s="5">
        <v>107</v>
      </c>
      <c r="F368" s="63">
        <f t="shared" si="227"/>
        <v>109</v>
      </c>
      <c r="G368" s="108">
        <f t="shared" si="228"/>
        <v>10028</v>
      </c>
      <c r="H368" s="5">
        <v>107</v>
      </c>
      <c r="I368" s="5">
        <v>122</v>
      </c>
      <c r="J368" s="5">
        <v>118</v>
      </c>
      <c r="K368" s="63">
        <f t="shared" si="229"/>
        <v>115.66666666666667</v>
      </c>
      <c r="L368" s="108">
        <f t="shared" si="230"/>
        <v>10641.333333333334</v>
      </c>
      <c r="M368" s="5">
        <v>99</v>
      </c>
      <c r="N368" s="75">
        <v>113</v>
      </c>
      <c r="O368" s="75">
        <v>103</v>
      </c>
      <c r="P368" s="63">
        <f t="shared" si="231"/>
        <v>105</v>
      </c>
      <c r="Q368" s="108">
        <f t="shared" si="232"/>
        <v>9450</v>
      </c>
      <c r="R368" s="5">
        <v>102</v>
      </c>
      <c r="S368" s="75">
        <v>111</v>
      </c>
      <c r="T368" s="76">
        <v>151</v>
      </c>
      <c r="U368" s="63">
        <f t="shared" si="233"/>
        <v>121.33333333333333</v>
      </c>
      <c r="V368" s="111">
        <f t="shared" si="234"/>
        <v>11041.333333333332</v>
      </c>
      <c r="W368" s="64">
        <f t="shared" si="235"/>
        <v>112.75</v>
      </c>
      <c r="X368" s="66">
        <f>W368*61</f>
        <v>6877.75</v>
      </c>
    </row>
    <row r="369" spans="1:24" ht="16.5" thickBot="1" x14ac:dyDescent="0.3">
      <c r="A369" s="50" t="s">
        <v>147</v>
      </c>
      <c r="B369" s="34"/>
      <c r="C369" s="5">
        <v>754</v>
      </c>
      <c r="D369" s="5">
        <v>753</v>
      </c>
      <c r="E369" s="5">
        <v>764</v>
      </c>
      <c r="F369" s="63">
        <f t="shared" si="227"/>
        <v>757</v>
      </c>
      <c r="G369" s="108">
        <f t="shared" si="228"/>
        <v>69644</v>
      </c>
      <c r="H369" s="5">
        <v>768</v>
      </c>
      <c r="I369" s="5">
        <v>769</v>
      </c>
      <c r="J369" s="5">
        <v>766</v>
      </c>
      <c r="K369" s="63">
        <f t="shared" si="229"/>
        <v>767.66666666666663</v>
      </c>
      <c r="L369" s="108">
        <f t="shared" si="230"/>
        <v>70625.333333333328</v>
      </c>
      <c r="M369" s="5">
        <v>766</v>
      </c>
      <c r="N369" s="75">
        <v>775</v>
      </c>
      <c r="O369" s="75">
        <v>759</v>
      </c>
      <c r="P369" s="63">
        <f t="shared" si="231"/>
        <v>766.66666666666663</v>
      </c>
      <c r="Q369" s="108">
        <f t="shared" si="232"/>
        <v>69000</v>
      </c>
      <c r="R369" s="5">
        <v>780</v>
      </c>
      <c r="S369" s="75">
        <v>828</v>
      </c>
      <c r="T369" s="76">
        <v>778</v>
      </c>
      <c r="U369" s="63">
        <f t="shared" si="233"/>
        <v>795.33333333333337</v>
      </c>
      <c r="V369" s="111">
        <f t="shared" si="234"/>
        <v>72375.333333333343</v>
      </c>
      <c r="W369" s="64">
        <f t="shared" si="235"/>
        <v>771.66666666666663</v>
      </c>
      <c r="X369" s="66">
        <f t="shared" si="226"/>
        <v>281658.33333333331</v>
      </c>
    </row>
    <row r="370" spans="1:24" ht="16.5" thickBot="1" x14ac:dyDescent="0.3">
      <c r="A370" s="50" t="s">
        <v>148</v>
      </c>
      <c r="B370" s="34"/>
      <c r="C370" s="5">
        <v>17</v>
      </c>
      <c r="D370" s="5">
        <v>17</v>
      </c>
      <c r="E370" s="5">
        <v>17</v>
      </c>
      <c r="F370" s="63">
        <f t="shared" si="227"/>
        <v>17</v>
      </c>
      <c r="G370" s="108">
        <f t="shared" si="228"/>
        <v>1564</v>
      </c>
      <c r="H370" s="5">
        <v>17</v>
      </c>
      <c r="I370" s="5">
        <v>17</v>
      </c>
      <c r="J370" s="5">
        <v>17</v>
      </c>
      <c r="K370" s="63">
        <f t="shared" si="229"/>
        <v>17</v>
      </c>
      <c r="L370" s="108">
        <f t="shared" si="230"/>
        <v>1564</v>
      </c>
      <c r="M370" s="5">
        <v>17</v>
      </c>
      <c r="N370" s="75">
        <v>17</v>
      </c>
      <c r="O370" s="75">
        <v>17</v>
      </c>
      <c r="P370" s="63">
        <f t="shared" si="231"/>
        <v>17</v>
      </c>
      <c r="Q370" s="108">
        <f t="shared" si="232"/>
        <v>1530</v>
      </c>
      <c r="R370" s="5">
        <v>16</v>
      </c>
      <c r="S370" s="75">
        <v>17</v>
      </c>
      <c r="T370" s="76">
        <v>48</v>
      </c>
      <c r="U370" s="63">
        <f t="shared" si="233"/>
        <v>27</v>
      </c>
      <c r="V370" s="112">
        <f t="shared" si="234"/>
        <v>2457</v>
      </c>
      <c r="W370" s="64">
        <f t="shared" si="235"/>
        <v>19.5</v>
      </c>
      <c r="X370" s="66">
        <f t="shared" si="226"/>
        <v>7117.5</v>
      </c>
    </row>
    <row r="371" spans="1:24" ht="16.5" thickBot="1" x14ac:dyDescent="0.3">
      <c r="A371" s="53" t="s">
        <v>152</v>
      </c>
      <c r="B371" s="37"/>
      <c r="C371" s="80">
        <f>SUM(C365:C370)</f>
        <v>1535</v>
      </c>
      <c r="D371" s="80">
        <f>SUM(D365:D370)</f>
        <v>1525</v>
      </c>
      <c r="E371" s="80">
        <f>SUM(E365:E370)</f>
        <v>1548</v>
      </c>
      <c r="F371" s="68">
        <f t="shared" si="227"/>
        <v>1536</v>
      </c>
      <c r="G371" s="108">
        <f t="shared" si="228"/>
        <v>141312</v>
      </c>
      <c r="H371" s="94">
        <f>SUM(H365:H370)</f>
        <v>1596</v>
      </c>
      <c r="I371" s="80">
        <f>SUM(I365:I370)</f>
        <v>1579</v>
      </c>
      <c r="J371" s="80">
        <f>SUM(J365:J370)</f>
        <v>1516</v>
      </c>
      <c r="K371" s="68">
        <f t="shared" si="229"/>
        <v>1563.6666666666667</v>
      </c>
      <c r="L371" s="119">
        <f t="shared" si="230"/>
        <v>143857.33333333334</v>
      </c>
      <c r="M371" s="94">
        <f>SUM(M365:M370)</f>
        <v>1523</v>
      </c>
      <c r="N371" s="80">
        <f>SUM(N365:N370)</f>
        <v>1555</v>
      </c>
      <c r="O371" s="80">
        <f>SUM(O365:O370)</f>
        <v>1526</v>
      </c>
      <c r="P371" s="68">
        <f t="shared" si="231"/>
        <v>1534.6666666666667</v>
      </c>
      <c r="Q371" s="119">
        <f t="shared" si="232"/>
        <v>138120</v>
      </c>
      <c r="R371" s="94">
        <f>SUM(R365:R370)</f>
        <v>1566</v>
      </c>
      <c r="S371" s="80">
        <f>SUM(S365:S370)</f>
        <v>1622</v>
      </c>
      <c r="T371" s="81">
        <f>SUM(T365:T370)</f>
        <v>1547</v>
      </c>
      <c r="U371" s="68">
        <f t="shared" si="233"/>
        <v>1578.3333333333333</v>
      </c>
      <c r="V371" s="120">
        <f t="shared" si="234"/>
        <v>143628.33333333331</v>
      </c>
      <c r="W371" s="69">
        <f>SUM(W365:W370)</f>
        <v>1553.1666666666665</v>
      </c>
      <c r="X371" s="69">
        <f>SUM(X365:X370)</f>
        <v>531374.33333333326</v>
      </c>
    </row>
    <row r="372" spans="1:24" ht="16.5" thickBot="1" x14ac:dyDescent="0.3">
      <c r="A372" s="54" t="s">
        <v>156</v>
      </c>
      <c r="B372" s="38"/>
      <c r="C372" s="80">
        <f>C363+C371</f>
        <v>4892.2299999999996</v>
      </c>
      <c r="D372" s="80">
        <f>D363+D371</f>
        <v>4911.4030000000002</v>
      </c>
      <c r="E372" s="80">
        <f>E363+E371</f>
        <v>4977.2700000000004</v>
      </c>
      <c r="F372" s="80">
        <f>F363+F371</f>
        <v>4926.9676666666674</v>
      </c>
      <c r="G372" s="68">
        <f>SUM(G363+G371)</f>
        <v>453281.02533333335</v>
      </c>
      <c r="H372" s="80">
        <f>H363+H371</f>
        <v>5065.2790000000005</v>
      </c>
      <c r="I372" s="80">
        <f>I363+I371</f>
        <v>4957.424</v>
      </c>
      <c r="J372" s="80">
        <f>J363+J371</f>
        <v>4899.26</v>
      </c>
      <c r="K372" s="120">
        <f t="shared" si="229"/>
        <v>4973.9876666666669</v>
      </c>
      <c r="L372" s="68">
        <f>SUM(L363+L371)</f>
        <v>457606.86533333338</v>
      </c>
      <c r="M372" s="94">
        <f>M363+M371</f>
        <v>5001.7099999999991</v>
      </c>
      <c r="N372" s="80">
        <f>N363+N371</f>
        <v>5001.2629999999999</v>
      </c>
      <c r="O372" s="80">
        <f>O363+O371</f>
        <v>5024.3900000000003</v>
      </c>
      <c r="P372" s="99">
        <f t="shared" si="231"/>
        <v>5009.1209999999992</v>
      </c>
      <c r="Q372" s="68">
        <f>SUM(Q363+Q371)</f>
        <v>454295.34433333337</v>
      </c>
      <c r="R372" s="94">
        <f>R363+R371</f>
        <v>5072.5300000000007</v>
      </c>
      <c r="S372" s="80">
        <f>S363+S371</f>
        <v>5116.7389999999996</v>
      </c>
      <c r="T372" s="81">
        <f>T363+T371</f>
        <v>5073.8739999999998</v>
      </c>
      <c r="U372" s="99">
        <f t="shared" si="233"/>
        <v>5087.7143333333333</v>
      </c>
      <c r="V372" s="68">
        <f>SUM(V363+V371)</f>
        <v>462982.00433333329</v>
      </c>
      <c r="W372" s="80">
        <f>W363+W371</f>
        <v>4999.4476666666669</v>
      </c>
      <c r="X372" s="82">
        <f>X363+X371</f>
        <v>1789266.898333333</v>
      </c>
    </row>
    <row r="373" spans="1:24" ht="15.75" x14ac:dyDescent="0.25">
      <c r="A373" s="114"/>
      <c r="B373" s="19"/>
      <c r="C373" s="115"/>
      <c r="D373" s="115"/>
      <c r="E373" s="115"/>
      <c r="F373" s="113"/>
      <c r="G373" s="93"/>
      <c r="H373" s="115"/>
      <c r="I373" s="115"/>
      <c r="J373" s="115"/>
      <c r="K373" s="113"/>
      <c r="L373" s="93"/>
      <c r="M373" s="115"/>
      <c r="N373" s="115"/>
      <c r="O373" s="115"/>
      <c r="P373" s="113"/>
      <c r="Q373" s="93"/>
      <c r="R373" s="115"/>
      <c r="S373" s="115"/>
      <c r="T373" s="115"/>
      <c r="U373" s="113"/>
      <c r="V373" s="93"/>
      <c r="W373" s="115"/>
      <c r="X373" s="115"/>
    </row>
    <row r="375" spans="1:24" ht="16.5" thickBot="1" x14ac:dyDescent="0.25">
      <c r="A375" s="45" t="s">
        <v>155</v>
      </c>
      <c r="B375" s="10"/>
      <c r="C375" s="13"/>
      <c r="D375" s="13"/>
      <c r="E375" s="13"/>
      <c r="F375" s="13"/>
      <c r="G375" s="13"/>
      <c r="H375" s="13"/>
      <c r="I375" s="13"/>
      <c r="J375" s="13"/>
      <c r="K375" s="13"/>
      <c r="L375" s="13"/>
      <c r="M375" s="13"/>
      <c r="N375" s="13"/>
      <c r="O375" s="13"/>
      <c r="P375" s="13"/>
      <c r="Q375" s="13"/>
      <c r="R375" s="13"/>
      <c r="S375" s="13"/>
      <c r="T375" s="13"/>
      <c r="U375" s="13"/>
      <c r="V375" s="13"/>
      <c r="W375" s="13"/>
      <c r="X375" s="13"/>
    </row>
    <row r="376" spans="1:24" ht="16.5" thickBot="1" x14ac:dyDescent="0.3">
      <c r="A376" s="32" t="s">
        <v>280</v>
      </c>
      <c r="B376" s="1200" t="s">
        <v>153</v>
      </c>
      <c r="C376" s="1205"/>
      <c r="D376" s="1205"/>
      <c r="E376" s="1205"/>
      <c r="F376" s="1205"/>
      <c r="G376" s="1205"/>
      <c r="H376" s="1205"/>
      <c r="I376" s="1205"/>
      <c r="J376" s="1205"/>
      <c r="K376" s="1205"/>
      <c r="L376" s="1205"/>
      <c r="M376" s="1205"/>
      <c r="N376" s="1205"/>
      <c r="O376" s="1205"/>
      <c r="P376" s="1205"/>
      <c r="Q376" s="1205"/>
      <c r="R376" s="1205"/>
      <c r="S376" s="1205"/>
      <c r="T376" s="1205"/>
      <c r="U376" s="39"/>
      <c r="V376" s="39"/>
      <c r="W376" s="92"/>
      <c r="X376" s="13"/>
    </row>
    <row r="377" spans="1:24" ht="15.75" x14ac:dyDescent="0.25">
      <c r="A377" s="11"/>
      <c r="B377" s="40" t="s">
        <v>261</v>
      </c>
      <c r="C377" s="57"/>
      <c r="D377" s="58"/>
      <c r="E377" s="58"/>
      <c r="F377" s="1192" t="s">
        <v>258</v>
      </c>
      <c r="G377" s="1184" t="s">
        <v>278</v>
      </c>
      <c r="H377" s="58"/>
      <c r="I377" s="58"/>
      <c r="J377" s="58"/>
      <c r="K377" s="1192" t="s">
        <v>258</v>
      </c>
      <c r="L377" s="1184" t="s">
        <v>278</v>
      </c>
      <c r="M377" s="58"/>
      <c r="N377" s="58"/>
      <c r="O377" s="58"/>
      <c r="P377" s="1192" t="s">
        <v>258</v>
      </c>
      <c r="Q377" s="1184" t="s">
        <v>278</v>
      </c>
      <c r="R377" s="58"/>
      <c r="S377" s="58"/>
      <c r="T377" s="59"/>
      <c r="U377" s="1192" t="s">
        <v>258</v>
      </c>
      <c r="V377" s="1184" t="s">
        <v>278</v>
      </c>
      <c r="W377" s="1186" t="s">
        <v>154</v>
      </c>
      <c r="X377" s="1188" t="s">
        <v>155</v>
      </c>
    </row>
    <row r="378" spans="1:24" ht="21" customHeight="1" thickBot="1" x14ac:dyDescent="0.3">
      <c r="A378" s="47" t="s">
        <v>56</v>
      </c>
      <c r="B378" s="41" t="s">
        <v>262</v>
      </c>
      <c r="C378" s="60">
        <v>38169</v>
      </c>
      <c r="D378" s="61">
        <v>38200</v>
      </c>
      <c r="E378" s="61">
        <v>38231</v>
      </c>
      <c r="F378" s="1193"/>
      <c r="G378" s="1202"/>
      <c r="H378" s="61">
        <v>38261</v>
      </c>
      <c r="I378" s="61">
        <v>38292</v>
      </c>
      <c r="J378" s="61">
        <v>38322</v>
      </c>
      <c r="K378" s="1202"/>
      <c r="L378" s="1202"/>
      <c r="M378" s="61">
        <v>38353</v>
      </c>
      <c r="N378" s="61">
        <v>38388</v>
      </c>
      <c r="O378" s="61">
        <v>38416</v>
      </c>
      <c r="P378" s="1202"/>
      <c r="Q378" s="1202"/>
      <c r="R378" s="61">
        <v>38447</v>
      </c>
      <c r="S378" s="61">
        <v>38477</v>
      </c>
      <c r="T378" s="62">
        <v>38508</v>
      </c>
      <c r="U378" s="1202"/>
      <c r="V378" s="1202"/>
      <c r="W378" s="1202"/>
      <c r="X378" s="1202"/>
    </row>
    <row r="379" spans="1:24" ht="16.5" hidden="1" customHeight="1" thickBot="1" x14ac:dyDescent="0.3">
      <c r="A379" s="48" t="s">
        <v>242</v>
      </c>
      <c r="B379" s="42" t="s">
        <v>263</v>
      </c>
      <c r="C379" s="125">
        <v>403.1</v>
      </c>
      <c r="D379" s="125">
        <v>421.16</v>
      </c>
      <c r="E379" s="117">
        <v>461</v>
      </c>
      <c r="F379" s="63">
        <f t="shared" ref="F379:F387" si="236">SUM(C379:E379)/3</f>
        <v>428.42</v>
      </c>
      <c r="G379" s="108">
        <f t="shared" ref="G379:G393" si="237">F379*92</f>
        <v>39414.639999999999</v>
      </c>
      <c r="H379" s="117">
        <v>429</v>
      </c>
      <c r="I379" s="117">
        <v>410.8</v>
      </c>
      <c r="J379" s="117">
        <v>412.13</v>
      </c>
      <c r="K379" s="63">
        <f t="shared" ref="K379:K387" si="238">SUM(H379:J379)/3</f>
        <v>417.30999999999995</v>
      </c>
      <c r="L379" s="108">
        <f t="shared" ref="L379:L393" si="239">K379*92</f>
        <v>38392.519999999997</v>
      </c>
      <c r="M379" s="117">
        <v>414.77</v>
      </c>
      <c r="N379" s="85">
        <v>430.57</v>
      </c>
      <c r="O379" s="85">
        <v>437.48</v>
      </c>
      <c r="P379" s="63">
        <f t="shared" ref="P379:P387" si="240">SUM(M379:O379)/3</f>
        <v>427.60666666666663</v>
      </c>
      <c r="Q379" s="108">
        <f t="shared" ref="Q379:Q391" si="241">P379*90</f>
        <v>38484.6</v>
      </c>
      <c r="R379" s="117">
        <v>432.97</v>
      </c>
      <c r="S379" s="85">
        <v>433.84</v>
      </c>
      <c r="T379" s="135">
        <v>424.43</v>
      </c>
      <c r="U379" s="63">
        <f t="shared" ref="U379:U387" si="242">SUM(R379:T379)/3</f>
        <v>430.41333333333336</v>
      </c>
      <c r="V379" s="111">
        <f>U379*92</f>
        <v>39598.026666666672</v>
      </c>
      <c r="W379" s="64">
        <f t="shared" ref="W379:W393" si="243">SUM(C379+D379+E379+H379+I379+J379+M379+N379+O379+R379+S379+T379)/12</f>
        <v>425.93750000000006</v>
      </c>
      <c r="X379" s="65">
        <f>W379*365</f>
        <v>155467.18750000003</v>
      </c>
    </row>
    <row r="380" spans="1:24" ht="16.5" hidden="1" thickBot="1" x14ac:dyDescent="0.3">
      <c r="A380" s="49" t="s">
        <v>138</v>
      </c>
      <c r="B380" s="43" t="s">
        <v>264</v>
      </c>
      <c r="C380" s="126">
        <v>119.26</v>
      </c>
      <c r="D380" s="126">
        <v>107.35</v>
      </c>
      <c r="E380" s="118">
        <v>113</v>
      </c>
      <c r="F380" s="63">
        <f t="shared" si="236"/>
        <v>113.20333333333333</v>
      </c>
      <c r="G380" s="108">
        <f t="shared" si="237"/>
        <v>10414.706666666667</v>
      </c>
      <c r="H380" s="118">
        <v>108</v>
      </c>
      <c r="I380" s="118">
        <v>103.67</v>
      </c>
      <c r="J380" s="118">
        <v>105.61</v>
      </c>
      <c r="K380" s="63">
        <f t="shared" si="238"/>
        <v>105.76</v>
      </c>
      <c r="L380" s="108">
        <f t="shared" si="239"/>
        <v>9729.92</v>
      </c>
      <c r="M380" s="118">
        <v>107.9</v>
      </c>
      <c r="N380" s="86">
        <v>110.64</v>
      </c>
      <c r="O380" s="86">
        <v>111.32</v>
      </c>
      <c r="P380" s="63">
        <f t="shared" si="240"/>
        <v>109.95333333333333</v>
      </c>
      <c r="Q380" s="108">
        <f t="shared" si="241"/>
        <v>9895.7999999999993</v>
      </c>
      <c r="R380" s="118">
        <v>122.27</v>
      </c>
      <c r="S380" s="86">
        <v>112.23</v>
      </c>
      <c r="T380" s="89">
        <v>105.27</v>
      </c>
      <c r="U380" s="63">
        <f t="shared" si="242"/>
        <v>113.25666666666666</v>
      </c>
      <c r="V380" s="111">
        <f t="shared" ref="V380:V393" si="244">U380*91</f>
        <v>10306.356666666667</v>
      </c>
      <c r="W380" s="64">
        <f t="shared" si="243"/>
        <v>110.54333333333334</v>
      </c>
      <c r="X380" s="65">
        <f>W380*365</f>
        <v>40348.316666666666</v>
      </c>
    </row>
    <row r="381" spans="1:24" ht="16.5" hidden="1" thickBot="1" x14ac:dyDescent="0.3">
      <c r="A381" s="50" t="s">
        <v>139</v>
      </c>
      <c r="B381" s="44" t="s">
        <v>265</v>
      </c>
      <c r="C381" s="4">
        <v>399.1</v>
      </c>
      <c r="D381" s="4">
        <v>405.87</v>
      </c>
      <c r="E381" s="3">
        <v>436</v>
      </c>
      <c r="F381" s="63">
        <f t="shared" si="236"/>
        <v>413.65666666666669</v>
      </c>
      <c r="G381" s="108">
        <f t="shared" si="237"/>
        <v>38056.413333333338</v>
      </c>
      <c r="H381" s="3">
        <v>415</v>
      </c>
      <c r="I381" s="3">
        <v>406.77</v>
      </c>
      <c r="J381" s="3">
        <v>405.81</v>
      </c>
      <c r="K381" s="63">
        <f t="shared" si="238"/>
        <v>409.19333333333333</v>
      </c>
      <c r="L381" s="108">
        <f t="shared" si="239"/>
        <v>37645.786666666667</v>
      </c>
      <c r="M381" s="3">
        <v>412.16</v>
      </c>
      <c r="N381" s="87">
        <v>416.32</v>
      </c>
      <c r="O381" s="87">
        <v>418.9</v>
      </c>
      <c r="P381" s="63">
        <f t="shared" si="240"/>
        <v>415.79333333333335</v>
      </c>
      <c r="Q381" s="108">
        <f t="shared" si="241"/>
        <v>37421.4</v>
      </c>
      <c r="R381" s="3">
        <v>412.6</v>
      </c>
      <c r="S381" s="87">
        <v>410.19</v>
      </c>
      <c r="T381" s="90">
        <v>377.67</v>
      </c>
      <c r="U381" s="63">
        <f t="shared" si="242"/>
        <v>400.15333333333336</v>
      </c>
      <c r="V381" s="111">
        <f t="shared" si="244"/>
        <v>36413.953333333338</v>
      </c>
      <c r="W381" s="64">
        <f t="shared" si="243"/>
        <v>409.6991666666666</v>
      </c>
      <c r="X381" s="66">
        <f t="shared" ref="X381:X400" si="245">W381*365</f>
        <v>149540.1958333333</v>
      </c>
    </row>
    <row r="382" spans="1:24" ht="15" customHeight="1" thickBot="1" x14ac:dyDescent="0.3">
      <c r="A382" s="50" t="s">
        <v>25</v>
      </c>
      <c r="B382" s="44" t="s">
        <v>266</v>
      </c>
      <c r="C382" s="4">
        <v>214.29</v>
      </c>
      <c r="D382" s="4">
        <v>220.71</v>
      </c>
      <c r="E382" s="3">
        <v>223</v>
      </c>
      <c r="F382" s="63">
        <f t="shared" si="236"/>
        <v>219.33333333333334</v>
      </c>
      <c r="G382" s="108">
        <f t="shared" si="237"/>
        <v>20178.666666666668</v>
      </c>
      <c r="H382" s="3">
        <v>225</v>
      </c>
      <c r="I382" s="3">
        <v>219.67</v>
      </c>
      <c r="J382" s="3">
        <v>205.97</v>
      </c>
      <c r="K382" s="63">
        <f t="shared" si="238"/>
        <v>216.88</v>
      </c>
      <c r="L382" s="108">
        <f t="shared" si="239"/>
        <v>19952.96</v>
      </c>
      <c r="M382" s="3">
        <v>227.74</v>
      </c>
      <c r="N382" s="87">
        <v>224</v>
      </c>
      <c r="O382" s="87">
        <v>235.77</v>
      </c>
      <c r="P382" s="63">
        <f t="shared" si="240"/>
        <v>229.17</v>
      </c>
      <c r="Q382" s="108">
        <f t="shared" si="241"/>
        <v>20625.3</v>
      </c>
      <c r="R382" s="3">
        <v>232.5</v>
      </c>
      <c r="S382" s="87">
        <v>227.23</v>
      </c>
      <c r="T382" s="90">
        <v>234.4</v>
      </c>
      <c r="U382" s="63">
        <f t="shared" si="242"/>
        <v>231.37666666666667</v>
      </c>
      <c r="V382" s="111">
        <f t="shared" si="244"/>
        <v>21055.276666666665</v>
      </c>
      <c r="W382" s="64">
        <f t="shared" si="243"/>
        <v>224.19000000000003</v>
      </c>
      <c r="X382" s="66">
        <f t="shared" si="245"/>
        <v>81829.350000000006</v>
      </c>
    </row>
    <row r="383" spans="1:24" ht="32.25" customHeight="1" thickBot="1" x14ac:dyDescent="0.3">
      <c r="A383" s="51" t="s">
        <v>275</v>
      </c>
      <c r="B383" s="44" t="s">
        <v>267</v>
      </c>
      <c r="C383" s="4">
        <v>311.67</v>
      </c>
      <c r="D383" s="4">
        <v>315.77</v>
      </c>
      <c r="E383" s="3">
        <v>321</v>
      </c>
      <c r="F383" s="63">
        <f t="shared" si="236"/>
        <v>316.1466666666667</v>
      </c>
      <c r="G383" s="108">
        <f t="shared" si="237"/>
        <v>29085.493333333336</v>
      </c>
      <c r="H383" s="3">
        <v>310</v>
      </c>
      <c r="I383" s="3">
        <v>315.95999999999998</v>
      </c>
      <c r="J383" s="3">
        <v>289.77</v>
      </c>
      <c r="K383" s="63">
        <f t="shared" si="238"/>
        <v>305.24333333333334</v>
      </c>
      <c r="L383" s="108">
        <f t="shared" si="239"/>
        <v>28082.386666666665</v>
      </c>
      <c r="M383" s="3">
        <v>296</v>
      </c>
      <c r="N383" s="87">
        <v>313.18</v>
      </c>
      <c r="O383" s="87">
        <v>311.02999999999997</v>
      </c>
      <c r="P383" s="63">
        <f t="shared" si="240"/>
        <v>306.73666666666668</v>
      </c>
      <c r="Q383" s="108">
        <f t="shared" si="241"/>
        <v>27606.300000000003</v>
      </c>
      <c r="R383" s="3">
        <v>318.07</v>
      </c>
      <c r="S383" s="87">
        <v>312.17</v>
      </c>
      <c r="T383" s="90">
        <v>323.06700000000001</v>
      </c>
      <c r="U383" s="63">
        <f t="shared" si="242"/>
        <v>317.76900000000001</v>
      </c>
      <c r="V383" s="111">
        <f t="shared" si="244"/>
        <v>28916.978999999999</v>
      </c>
      <c r="W383" s="64">
        <f t="shared" si="243"/>
        <v>311.4739166666667</v>
      </c>
      <c r="X383" s="66">
        <f t="shared" si="245"/>
        <v>113687.97958333335</v>
      </c>
    </row>
    <row r="384" spans="1:24" ht="16.5" thickBot="1" x14ac:dyDescent="0.3">
      <c r="A384" s="50" t="s">
        <v>16</v>
      </c>
      <c r="B384" s="44" t="s">
        <v>268</v>
      </c>
      <c r="C384" s="4">
        <v>61.097000000000001</v>
      </c>
      <c r="D384" s="4">
        <v>64.677000000000007</v>
      </c>
      <c r="E384" s="3">
        <v>69</v>
      </c>
      <c r="F384" s="63">
        <f t="shared" si="236"/>
        <v>64.924666666666667</v>
      </c>
      <c r="G384" s="108">
        <f t="shared" si="237"/>
        <v>5973.0693333333329</v>
      </c>
      <c r="H384" s="3">
        <v>69</v>
      </c>
      <c r="I384" s="3">
        <v>64</v>
      </c>
      <c r="J384" s="3">
        <v>67</v>
      </c>
      <c r="K384" s="63">
        <f t="shared" si="238"/>
        <v>66.666666666666671</v>
      </c>
      <c r="L384" s="108">
        <f t="shared" si="239"/>
        <v>6133.3333333333339</v>
      </c>
      <c r="M384" s="3">
        <v>66.87</v>
      </c>
      <c r="N384" s="87">
        <v>58.28</v>
      </c>
      <c r="O384" s="87">
        <v>57.935000000000002</v>
      </c>
      <c r="P384" s="63">
        <f t="shared" si="240"/>
        <v>61.028333333333336</v>
      </c>
      <c r="Q384" s="108">
        <f t="shared" si="241"/>
        <v>5492.55</v>
      </c>
      <c r="R384" s="3">
        <v>58.2</v>
      </c>
      <c r="S384" s="87">
        <v>57.968000000000004</v>
      </c>
      <c r="T384" s="90">
        <v>65</v>
      </c>
      <c r="U384" s="63">
        <f t="shared" si="242"/>
        <v>60.389333333333333</v>
      </c>
      <c r="V384" s="111">
        <f t="shared" si="244"/>
        <v>5495.4293333333335</v>
      </c>
      <c r="W384" s="64">
        <f t="shared" si="243"/>
        <v>63.252249999999997</v>
      </c>
      <c r="X384" s="66">
        <f t="shared" si="245"/>
        <v>23087.071249999997</v>
      </c>
    </row>
    <row r="385" spans="1:24" ht="16.5" thickBot="1" x14ac:dyDescent="0.3">
      <c r="A385" s="50" t="s">
        <v>17</v>
      </c>
      <c r="B385" s="44" t="s">
        <v>269</v>
      </c>
      <c r="C385" s="4">
        <v>180.32</v>
      </c>
      <c r="D385" s="4">
        <v>175.48</v>
      </c>
      <c r="E385" s="3">
        <v>194</v>
      </c>
      <c r="F385" s="63">
        <f t="shared" si="236"/>
        <v>183.26666666666665</v>
      </c>
      <c r="G385" s="108">
        <f t="shared" si="237"/>
        <v>16860.533333333333</v>
      </c>
      <c r="H385" s="3">
        <v>203</v>
      </c>
      <c r="I385" s="3">
        <v>190.37</v>
      </c>
      <c r="J385" s="3">
        <v>178.03</v>
      </c>
      <c r="K385" s="63">
        <f t="shared" si="238"/>
        <v>190.46666666666667</v>
      </c>
      <c r="L385" s="108">
        <f t="shared" si="239"/>
        <v>17522.933333333334</v>
      </c>
      <c r="M385" s="3">
        <v>183.94</v>
      </c>
      <c r="N385" s="87">
        <v>168.86</v>
      </c>
      <c r="O385" s="87">
        <v>160</v>
      </c>
      <c r="P385" s="63">
        <f t="shared" si="240"/>
        <v>170.93333333333331</v>
      </c>
      <c r="Q385" s="108">
        <f t="shared" si="241"/>
        <v>15383.999999999998</v>
      </c>
      <c r="R385" s="3">
        <v>170.07</v>
      </c>
      <c r="S385" s="87">
        <v>164.32</v>
      </c>
      <c r="T385" s="90">
        <v>170.6</v>
      </c>
      <c r="U385" s="63">
        <f t="shared" si="242"/>
        <v>168.33</v>
      </c>
      <c r="V385" s="111">
        <f t="shared" si="244"/>
        <v>15318.03</v>
      </c>
      <c r="W385" s="64">
        <f t="shared" si="243"/>
        <v>178.24916666666664</v>
      </c>
      <c r="X385" s="66">
        <f t="shared" si="245"/>
        <v>65060.945833333324</v>
      </c>
    </row>
    <row r="386" spans="1:24" ht="16.5" thickBot="1" x14ac:dyDescent="0.3">
      <c r="A386" s="50" t="s">
        <v>140</v>
      </c>
      <c r="B386" s="44" t="s">
        <v>270</v>
      </c>
      <c r="C386" s="4">
        <v>85.129000000000005</v>
      </c>
      <c r="D386" s="4">
        <v>93</v>
      </c>
      <c r="E386" s="3">
        <v>96</v>
      </c>
      <c r="F386" s="63">
        <f t="shared" si="236"/>
        <v>91.376333333333335</v>
      </c>
      <c r="G386" s="108">
        <f t="shared" si="237"/>
        <v>8406.6226666666662</v>
      </c>
      <c r="H386" s="3">
        <v>93</v>
      </c>
      <c r="I386" s="3">
        <v>96.6</v>
      </c>
      <c r="J386" s="3">
        <v>88.48</v>
      </c>
      <c r="K386" s="63">
        <f t="shared" si="238"/>
        <v>92.693333333333328</v>
      </c>
      <c r="L386" s="108">
        <f t="shared" si="239"/>
        <v>8527.7866666666669</v>
      </c>
      <c r="M386" s="3">
        <v>94.49</v>
      </c>
      <c r="N386" s="87">
        <v>100.89</v>
      </c>
      <c r="O386" s="87">
        <v>101</v>
      </c>
      <c r="P386" s="63">
        <f t="shared" si="240"/>
        <v>98.793333333333337</v>
      </c>
      <c r="Q386" s="108">
        <f t="shared" si="241"/>
        <v>8891.4</v>
      </c>
      <c r="R386" s="3">
        <v>98.53</v>
      </c>
      <c r="S386" s="87">
        <v>97.903000000000006</v>
      </c>
      <c r="T386" s="90">
        <v>99.3</v>
      </c>
      <c r="U386" s="63">
        <f t="shared" si="242"/>
        <v>98.577666666666673</v>
      </c>
      <c r="V386" s="111">
        <f t="shared" si="244"/>
        <v>8970.5676666666677</v>
      </c>
      <c r="W386" s="64">
        <f t="shared" si="243"/>
        <v>95.360166666666657</v>
      </c>
      <c r="X386" s="66">
        <f t="shared" si="245"/>
        <v>34806.460833333331</v>
      </c>
    </row>
    <row r="387" spans="1:24" ht="16.5" thickBot="1" x14ac:dyDescent="0.3">
      <c r="A387" s="51" t="s">
        <v>276</v>
      </c>
      <c r="B387" s="44" t="s">
        <v>271</v>
      </c>
      <c r="C387" s="4">
        <v>379.58</v>
      </c>
      <c r="D387" s="4">
        <v>386.13</v>
      </c>
      <c r="E387" s="3">
        <v>401</v>
      </c>
      <c r="F387" s="63">
        <f t="shared" si="236"/>
        <v>388.90333333333336</v>
      </c>
      <c r="G387" s="108">
        <f t="shared" si="237"/>
        <v>35779.106666666667</v>
      </c>
      <c r="H387" s="3">
        <v>387</v>
      </c>
      <c r="I387" s="3">
        <v>388.8</v>
      </c>
      <c r="J387" s="3">
        <v>378.39</v>
      </c>
      <c r="K387" s="63">
        <f t="shared" si="238"/>
        <v>384.73</v>
      </c>
      <c r="L387" s="108">
        <f t="shared" si="239"/>
        <v>35395.160000000003</v>
      </c>
      <c r="M387" s="3">
        <v>383.52</v>
      </c>
      <c r="N387" s="87">
        <v>405.36</v>
      </c>
      <c r="O387" s="87">
        <v>411.19</v>
      </c>
      <c r="P387" s="63">
        <f t="shared" si="240"/>
        <v>400.02333333333331</v>
      </c>
      <c r="Q387" s="108">
        <f t="shared" si="241"/>
        <v>36002.1</v>
      </c>
      <c r="R387" s="3">
        <v>397.26</v>
      </c>
      <c r="S387" s="87">
        <v>398.19</v>
      </c>
      <c r="T387" s="90">
        <v>406.9</v>
      </c>
      <c r="U387" s="63">
        <f t="shared" si="242"/>
        <v>400.7833333333333</v>
      </c>
      <c r="V387" s="111">
        <f t="shared" si="244"/>
        <v>36471.283333333333</v>
      </c>
      <c r="W387" s="64">
        <f t="shared" si="243"/>
        <v>393.60999999999996</v>
      </c>
      <c r="X387" s="66">
        <f t="shared" si="245"/>
        <v>143667.65</v>
      </c>
    </row>
    <row r="388" spans="1:24" ht="16.5" thickBot="1" x14ac:dyDescent="0.3">
      <c r="A388" s="50" t="s">
        <v>149</v>
      </c>
      <c r="B388" s="121" t="s">
        <v>279</v>
      </c>
      <c r="C388" s="4">
        <v>89.322999999999993</v>
      </c>
      <c r="D388" s="4">
        <v>89.031999999999996</v>
      </c>
      <c r="E388" s="3">
        <v>94</v>
      </c>
      <c r="F388" s="63">
        <f t="shared" ref="F388:F393" si="246">SUM(C388:E388)/3</f>
        <v>90.785000000000011</v>
      </c>
      <c r="G388" s="108">
        <f t="shared" si="237"/>
        <v>8352.2200000000012</v>
      </c>
      <c r="H388" s="3">
        <v>97</v>
      </c>
      <c r="I388" s="3">
        <v>108.13</v>
      </c>
      <c r="J388" s="3">
        <v>98.77</v>
      </c>
      <c r="K388" s="63">
        <f t="shared" ref="K388:K393" si="247">SUM(H388:J388)/3</f>
        <v>101.3</v>
      </c>
      <c r="L388" s="108">
        <f t="shared" si="239"/>
        <v>9319.6</v>
      </c>
      <c r="M388" s="3">
        <v>94.42</v>
      </c>
      <c r="N388" s="87">
        <v>95.17</v>
      </c>
      <c r="O388" s="87">
        <v>94.51</v>
      </c>
      <c r="P388" s="63">
        <f t="shared" ref="P388:P393" si="248">SUM(M388:O388)/3</f>
        <v>94.7</v>
      </c>
      <c r="Q388" s="108">
        <f t="shared" si="241"/>
        <v>8523</v>
      </c>
      <c r="R388" s="3">
        <v>107.2</v>
      </c>
      <c r="S388" s="87">
        <v>110.32</v>
      </c>
      <c r="T388" s="90">
        <v>102.3</v>
      </c>
      <c r="U388" s="63">
        <f t="shared" ref="U388:U393" si="249">SUM(R388:T388)/3</f>
        <v>106.60666666666667</v>
      </c>
      <c r="V388" s="111">
        <f t="shared" si="244"/>
        <v>9701.2066666666669</v>
      </c>
      <c r="W388" s="64">
        <f t="shared" si="243"/>
        <v>98.347916666666663</v>
      </c>
      <c r="X388" s="66">
        <f>W388*365</f>
        <v>35896.989583333328</v>
      </c>
    </row>
    <row r="389" spans="1:24" ht="16.5" thickBot="1" x14ac:dyDescent="0.3">
      <c r="A389" s="49" t="s">
        <v>20</v>
      </c>
      <c r="B389" s="43" t="s">
        <v>272</v>
      </c>
      <c r="C389" s="126">
        <v>485</v>
      </c>
      <c r="D389" s="126">
        <v>465.65</v>
      </c>
      <c r="E389" s="118">
        <v>441</v>
      </c>
      <c r="F389" s="63">
        <f t="shared" si="246"/>
        <v>463.88333333333338</v>
      </c>
      <c r="G389" s="108">
        <f t="shared" si="237"/>
        <v>42677.26666666667</v>
      </c>
      <c r="H389" s="118">
        <v>466</v>
      </c>
      <c r="I389" s="3">
        <v>483.03</v>
      </c>
      <c r="J389" s="118">
        <v>481</v>
      </c>
      <c r="K389" s="63">
        <f t="shared" si="247"/>
        <v>476.67666666666668</v>
      </c>
      <c r="L389" s="111">
        <f t="shared" si="239"/>
        <v>43854.253333333334</v>
      </c>
      <c r="M389" s="3">
        <v>485.84</v>
      </c>
      <c r="N389" s="86">
        <v>489.79</v>
      </c>
      <c r="O389" s="86">
        <v>476.68</v>
      </c>
      <c r="P389" s="63">
        <f t="shared" si="248"/>
        <v>484.1033333333333</v>
      </c>
      <c r="Q389" s="108">
        <f t="shared" si="241"/>
        <v>43569.299999999996</v>
      </c>
      <c r="R389" s="3">
        <v>480.03</v>
      </c>
      <c r="S389" s="86">
        <v>477.45</v>
      </c>
      <c r="T389" s="89">
        <v>480.4</v>
      </c>
      <c r="U389" s="63">
        <f t="shared" si="249"/>
        <v>479.29333333333335</v>
      </c>
      <c r="V389" s="111">
        <f t="shared" si="244"/>
        <v>43615.693333333336</v>
      </c>
      <c r="W389" s="64">
        <f t="shared" si="243"/>
        <v>475.98916666666668</v>
      </c>
      <c r="X389" s="65">
        <f t="shared" si="245"/>
        <v>173736.04583333334</v>
      </c>
    </row>
    <row r="390" spans="1:24" ht="16.5" thickBot="1" x14ac:dyDescent="0.3">
      <c r="A390" s="51" t="s">
        <v>277</v>
      </c>
      <c r="B390" s="44" t="s">
        <v>273</v>
      </c>
      <c r="C390" s="4">
        <v>325.89999999999998</v>
      </c>
      <c r="D390" s="4">
        <v>339.58</v>
      </c>
      <c r="E390" s="3">
        <v>352</v>
      </c>
      <c r="F390" s="63">
        <f t="shared" si="246"/>
        <v>339.16</v>
      </c>
      <c r="G390" s="108">
        <f t="shared" si="237"/>
        <v>31202.720000000001</v>
      </c>
      <c r="H390" s="3">
        <v>368</v>
      </c>
      <c r="I390" s="3">
        <v>367.04</v>
      </c>
      <c r="J390" s="3">
        <v>346.33</v>
      </c>
      <c r="K390" s="63">
        <f t="shared" si="247"/>
        <v>360.45666666666665</v>
      </c>
      <c r="L390" s="108">
        <f t="shared" si="239"/>
        <v>33162.013333333329</v>
      </c>
      <c r="M390" s="3">
        <v>348.81</v>
      </c>
      <c r="N390" s="87">
        <v>360.07</v>
      </c>
      <c r="O390" s="87">
        <v>364.74</v>
      </c>
      <c r="P390" s="63">
        <f t="shared" si="248"/>
        <v>357.87333333333328</v>
      </c>
      <c r="Q390" s="108">
        <f t="shared" si="241"/>
        <v>32208.599999999995</v>
      </c>
      <c r="R390" s="3">
        <v>353.1</v>
      </c>
      <c r="S390" s="87">
        <v>367.36</v>
      </c>
      <c r="T390" s="90">
        <v>356.83</v>
      </c>
      <c r="U390" s="63">
        <f t="shared" si="249"/>
        <v>359.09666666666664</v>
      </c>
      <c r="V390" s="111">
        <f t="shared" si="244"/>
        <v>32677.796666666665</v>
      </c>
      <c r="W390" s="64">
        <f t="shared" si="243"/>
        <v>354.1466666666667</v>
      </c>
      <c r="X390" s="66">
        <f t="shared" si="245"/>
        <v>129263.53333333334</v>
      </c>
    </row>
    <row r="391" spans="1:24" ht="16.5" thickBot="1" x14ac:dyDescent="0.3">
      <c r="A391" s="50" t="s">
        <v>141</v>
      </c>
      <c r="B391" s="44" t="s">
        <v>274</v>
      </c>
      <c r="C391" s="4">
        <v>115.581</v>
      </c>
      <c r="D391" s="4">
        <v>120.74</v>
      </c>
      <c r="E391" s="3">
        <v>109</v>
      </c>
      <c r="F391" s="63">
        <f t="shared" si="246"/>
        <v>115.10700000000001</v>
      </c>
      <c r="G391" s="108">
        <f t="shared" si="237"/>
        <v>10589.844000000001</v>
      </c>
      <c r="H391" s="3">
        <v>107</v>
      </c>
      <c r="I391" s="3">
        <v>113.4</v>
      </c>
      <c r="J391" s="3">
        <v>119.16</v>
      </c>
      <c r="K391" s="63">
        <f t="shared" si="247"/>
        <v>113.18666666666667</v>
      </c>
      <c r="L391" s="108">
        <f t="shared" si="239"/>
        <v>10413.173333333334</v>
      </c>
      <c r="M391" s="3">
        <v>113.42</v>
      </c>
      <c r="N391" s="87">
        <v>104.43</v>
      </c>
      <c r="O391" s="87">
        <v>116.55</v>
      </c>
      <c r="P391" s="63">
        <f t="shared" si="248"/>
        <v>111.46666666666668</v>
      </c>
      <c r="Q391" s="108">
        <f t="shared" si="241"/>
        <v>10032.000000000002</v>
      </c>
      <c r="R391" s="3">
        <v>110.2</v>
      </c>
      <c r="S391" s="87">
        <v>107.32</v>
      </c>
      <c r="T391" s="90">
        <v>116.43</v>
      </c>
      <c r="U391" s="63">
        <f t="shared" si="249"/>
        <v>111.31666666666666</v>
      </c>
      <c r="V391" s="111">
        <f t="shared" si="244"/>
        <v>10129.816666666666</v>
      </c>
      <c r="W391" s="64">
        <f t="shared" si="243"/>
        <v>112.76925</v>
      </c>
      <c r="X391" s="66">
        <f t="shared" si="245"/>
        <v>41160.776250000003</v>
      </c>
    </row>
    <row r="392" spans="1:24" ht="16.5" thickBot="1" x14ac:dyDescent="0.3">
      <c r="A392" s="50" t="s">
        <v>142</v>
      </c>
      <c r="B392" s="34"/>
      <c r="C392" s="4">
        <v>0</v>
      </c>
      <c r="D392" s="4">
        <v>0</v>
      </c>
      <c r="E392" s="4">
        <v>0</v>
      </c>
      <c r="F392" s="67">
        <f t="shared" si="246"/>
        <v>0</v>
      </c>
      <c r="G392" s="108">
        <f t="shared" si="237"/>
        <v>0</v>
      </c>
      <c r="H392" s="4">
        <v>0</v>
      </c>
      <c r="I392" s="4">
        <v>0</v>
      </c>
      <c r="J392" s="4">
        <v>0</v>
      </c>
      <c r="K392" s="67">
        <f t="shared" si="247"/>
        <v>0</v>
      </c>
      <c r="L392" s="108">
        <f t="shared" si="239"/>
        <v>0</v>
      </c>
      <c r="M392" s="18"/>
      <c r="N392" s="4">
        <v>0</v>
      </c>
      <c r="O392" s="4">
        <v>0</v>
      </c>
      <c r="P392" s="67">
        <f t="shared" si="248"/>
        <v>0</v>
      </c>
      <c r="Q392" s="108">
        <f>P392*91</f>
        <v>0</v>
      </c>
      <c r="R392" s="4">
        <v>0</v>
      </c>
      <c r="S392" s="4">
        <v>0</v>
      </c>
      <c r="T392" s="4">
        <v>0</v>
      </c>
      <c r="U392" s="67">
        <f t="shared" si="249"/>
        <v>0</v>
      </c>
      <c r="V392" s="112">
        <f t="shared" si="244"/>
        <v>0</v>
      </c>
      <c r="W392" s="137">
        <f t="shared" si="243"/>
        <v>0</v>
      </c>
      <c r="X392" s="66">
        <f>W392*365</f>
        <v>0</v>
      </c>
    </row>
    <row r="393" spans="1:24" ht="16.5" thickBot="1" x14ac:dyDescent="0.3">
      <c r="A393" s="46" t="s">
        <v>150</v>
      </c>
      <c r="B393" s="35"/>
      <c r="C393" s="80">
        <f>SUM(C379:C392)</f>
        <v>3169.35</v>
      </c>
      <c r="D393" s="80">
        <v>3206</v>
      </c>
      <c r="E393" s="80">
        <f>SUM(E379:E392)</f>
        <v>3310</v>
      </c>
      <c r="F393" s="68">
        <f t="shared" si="246"/>
        <v>3228.4500000000003</v>
      </c>
      <c r="G393" s="108">
        <f t="shared" si="237"/>
        <v>297017.40000000002</v>
      </c>
      <c r="H393" s="94">
        <f>SUM(H379:H392)</f>
        <v>3277</v>
      </c>
      <c r="I393" s="80">
        <f>SUM(I379:I392)</f>
        <v>3268.2400000000002</v>
      </c>
      <c r="J393" s="80">
        <f>SUM(J379:J392)</f>
        <v>3176.45</v>
      </c>
      <c r="K393" s="68">
        <f t="shared" si="247"/>
        <v>3240.563333333333</v>
      </c>
      <c r="L393" s="119">
        <f t="shared" si="239"/>
        <v>298131.82666666666</v>
      </c>
      <c r="M393" s="9">
        <f>SUM(M379:M392)</f>
        <v>3229.8800000000006</v>
      </c>
      <c r="N393" s="80">
        <f>SUM(N379:N392)</f>
        <v>3277.56</v>
      </c>
      <c r="O393" s="80">
        <f>SUM(O379:O392)</f>
        <v>3297.1050000000005</v>
      </c>
      <c r="P393" s="68">
        <f t="shared" si="248"/>
        <v>3268.1816666666673</v>
      </c>
      <c r="Q393" s="119">
        <f>P393*91</f>
        <v>297404.53166666673</v>
      </c>
      <c r="R393" s="94">
        <f>SUM(R379:R392)</f>
        <v>3292.9999999999995</v>
      </c>
      <c r="S393" s="80">
        <f>SUM(S379:S392)</f>
        <v>3276.4910000000004</v>
      </c>
      <c r="T393" s="81">
        <f>SUM(T379:T392)</f>
        <v>3262.5970000000002</v>
      </c>
      <c r="U393" s="68">
        <f t="shared" si="249"/>
        <v>3277.3626666666664</v>
      </c>
      <c r="V393" s="120">
        <f t="shared" si="244"/>
        <v>298240.00266666664</v>
      </c>
      <c r="W393" s="138">
        <f t="shared" si="243"/>
        <v>3253.6394166666669</v>
      </c>
      <c r="X393" s="69">
        <f>SUM(X379:X392)</f>
        <v>1187552.5025000004</v>
      </c>
    </row>
    <row r="394" spans="1:24" ht="16.5" thickBot="1" x14ac:dyDescent="0.3">
      <c r="A394" s="46" t="s">
        <v>151</v>
      </c>
      <c r="B394" s="35"/>
      <c r="C394" s="70"/>
      <c r="D394" s="70"/>
      <c r="E394" s="71"/>
      <c r="F394" s="98"/>
      <c r="G394" s="98"/>
      <c r="H394" s="72"/>
      <c r="I394" s="70" t="s">
        <v>251</v>
      </c>
      <c r="J394" s="71"/>
      <c r="K394" s="97"/>
      <c r="L394" s="97"/>
      <c r="M394" s="72"/>
      <c r="N394" s="70"/>
      <c r="O394" s="71"/>
      <c r="P394" s="97"/>
      <c r="Q394" s="97"/>
      <c r="R394" s="72"/>
      <c r="S394" s="70"/>
      <c r="T394" s="71"/>
      <c r="U394" s="71"/>
      <c r="V394" s="70"/>
      <c r="W394" s="96"/>
      <c r="X394" s="69" t="s">
        <v>0</v>
      </c>
    </row>
    <row r="395" spans="1:24" ht="16.5" thickBot="1" x14ac:dyDescent="0.3">
      <c r="A395" s="49" t="s">
        <v>143</v>
      </c>
      <c r="B395" s="33"/>
      <c r="C395" s="6">
        <v>636</v>
      </c>
      <c r="D395" s="6">
        <v>646</v>
      </c>
      <c r="E395" s="6">
        <v>644</v>
      </c>
      <c r="F395" s="63">
        <f t="shared" ref="F395:F401" si="250">SUM(C395:E395)/3</f>
        <v>642</v>
      </c>
      <c r="G395" s="108">
        <f>SUM(670*92)</f>
        <v>61640</v>
      </c>
      <c r="H395" s="6">
        <v>674</v>
      </c>
      <c r="I395" s="6">
        <v>652</v>
      </c>
      <c r="J395" s="6">
        <v>631</v>
      </c>
      <c r="K395" s="63">
        <f t="shared" ref="K395:K402" si="251">SUM(H395:J395)/3</f>
        <v>652.33333333333337</v>
      </c>
      <c r="L395" s="108">
        <f t="shared" ref="L395:L401" si="252">K395*92</f>
        <v>60014.666666666672</v>
      </c>
      <c r="M395" s="6">
        <v>641</v>
      </c>
      <c r="N395" s="73">
        <v>685</v>
      </c>
      <c r="O395" s="73">
        <v>653</v>
      </c>
      <c r="P395" s="63">
        <f t="shared" ref="P395:P402" si="253">SUM(M395:O395)/3</f>
        <v>659.66666666666663</v>
      </c>
      <c r="Q395" s="108">
        <f t="shared" ref="Q395:Q401" si="254">P395*90</f>
        <v>59370</v>
      </c>
      <c r="R395" s="6">
        <v>622</v>
      </c>
      <c r="S395" s="73">
        <v>612</v>
      </c>
      <c r="T395" s="74">
        <v>617</v>
      </c>
      <c r="U395" s="63">
        <f t="shared" ref="U395:U402" si="255">SUM(R395:T395)/3</f>
        <v>617</v>
      </c>
      <c r="V395" s="111">
        <f t="shared" ref="V395:V401" si="256">U395*91</f>
        <v>56147</v>
      </c>
      <c r="W395" s="64">
        <f t="shared" ref="W395:W400" si="257">SUM(C395+D395+E395+H395+I395+J395+M395+N395+O395+R395+S395+T395)/12</f>
        <v>642.75</v>
      </c>
      <c r="X395" s="65">
        <f t="shared" si="245"/>
        <v>234603.75</v>
      </c>
    </row>
    <row r="396" spans="1:24" ht="16.5" thickBot="1" x14ac:dyDescent="0.3">
      <c r="A396" s="50" t="s">
        <v>144</v>
      </c>
      <c r="B396" s="34"/>
      <c r="C396" s="5">
        <v>20</v>
      </c>
      <c r="D396" s="5">
        <v>19</v>
      </c>
      <c r="E396" s="5">
        <v>17</v>
      </c>
      <c r="F396" s="63">
        <f t="shared" si="250"/>
        <v>18.666666666666668</v>
      </c>
      <c r="G396" s="109">
        <f>SUM(31*92)</f>
        <v>2852</v>
      </c>
      <c r="H396" s="5">
        <v>13</v>
      </c>
      <c r="I396" s="5">
        <v>12</v>
      </c>
      <c r="J396" s="5">
        <v>15</v>
      </c>
      <c r="K396" s="63">
        <f t="shared" si="251"/>
        <v>13.333333333333334</v>
      </c>
      <c r="L396" s="108">
        <f t="shared" si="252"/>
        <v>1226.6666666666667</v>
      </c>
      <c r="M396" s="5">
        <v>16</v>
      </c>
      <c r="N396" s="75">
        <v>14</v>
      </c>
      <c r="O396" s="75">
        <v>13</v>
      </c>
      <c r="P396" s="63">
        <f t="shared" si="253"/>
        <v>14.333333333333334</v>
      </c>
      <c r="Q396" s="108">
        <f t="shared" si="254"/>
        <v>1290</v>
      </c>
      <c r="R396" s="5">
        <v>14</v>
      </c>
      <c r="S396" s="75">
        <v>11</v>
      </c>
      <c r="T396" s="76">
        <v>10</v>
      </c>
      <c r="U396" s="63">
        <f t="shared" si="255"/>
        <v>11.666666666666666</v>
      </c>
      <c r="V396" s="111">
        <f t="shared" si="256"/>
        <v>1061.6666666666665</v>
      </c>
      <c r="W396" s="64">
        <f t="shared" si="257"/>
        <v>14.5</v>
      </c>
      <c r="X396" s="66">
        <f>W396*122</f>
        <v>1769</v>
      </c>
    </row>
    <row r="397" spans="1:24" ht="16.5" thickBot="1" x14ac:dyDescent="0.3">
      <c r="A397" s="50" t="s">
        <v>146</v>
      </c>
      <c r="B397" s="34"/>
      <c r="C397" s="5">
        <v>24</v>
      </c>
      <c r="D397" s="5">
        <v>24</v>
      </c>
      <c r="E397" s="5">
        <v>23</v>
      </c>
      <c r="F397" s="63">
        <f t="shared" si="250"/>
        <v>23.666666666666668</v>
      </c>
      <c r="G397" s="109">
        <f>SUM(35*92)</f>
        <v>3220</v>
      </c>
      <c r="H397" s="5">
        <v>23</v>
      </c>
      <c r="I397" s="5">
        <v>24</v>
      </c>
      <c r="J397" s="5">
        <v>27</v>
      </c>
      <c r="K397" s="63">
        <f t="shared" si="251"/>
        <v>24.666666666666668</v>
      </c>
      <c r="L397" s="108">
        <f t="shared" si="252"/>
        <v>2269.3333333333335</v>
      </c>
      <c r="M397" s="5">
        <v>27</v>
      </c>
      <c r="N397" s="75">
        <v>29</v>
      </c>
      <c r="O397" s="75">
        <v>29</v>
      </c>
      <c r="P397" s="63">
        <f t="shared" si="253"/>
        <v>28.333333333333332</v>
      </c>
      <c r="Q397" s="108">
        <f t="shared" si="254"/>
        <v>2550</v>
      </c>
      <c r="R397" s="5">
        <v>30</v>
      </c>
      <c r="S397" s="75">
        <v>31</v>
      </c>
      <c r="T397" s="76">
        <v>27</v>
      </c>
      <c r="U397" s="63">
        <f t="shared" si="255"/>
        <v>29.333333333333332</v>
      </c>
      <c r="V397" s="111">
        <f t="shared" si="256"/>
        <v>2669.333333333333</v>
      </c>
      <c r="W397" s="64">
        <f t="shared" si="257"/>
        <v>26.5</v>
      </c>
      <c r="X397" s="66">
        <f t="shared" si="245"/>
        <v>9672.5</v>
      </c>
    </row>
    <row r="398" spans="1:24" ht="25.5" customHeight="1" thickBot="1" x14ac:dyDescent="0.3">
      <c r="A398" s="50" t="s">
        <v>145</v>
      </c>
      <c r="B398" s="34"/>
      <c r="C398" s="5">
        <v>121</v>
      </c>
      <c r="D398" s="5">
        <v>119</v>
      </c>
      <c r="E398" s="5">
        <v>116</v>
      </c>
      <c r="F398" s="63">
        <f t="shared" si="250"/>
        <v>118.66666666666667</v>
      </c>
      <c r="G398" s="109">
        <f>SUM(155*92)</f>
        <v>14260</v>
      </c>
      <c r="H398" s="5">
        <v>119</v>
      </c>
      <c r="I398" s="5">
        <v>113</v>
      </c>
      <c r="J398" s="5">
        <v>109</v>
      </c>
      <c r="K398" s="63">
        <f t="shared" si="251"/>
        <v>113.66666666666667</v>
      </c>
      <c r="L398" s="108">
        <f t="shared" si="252"/>
        <v>10457.333333333334</v>
      </c>
      <c r="M398" s="5">
        <v>108</v>
      </c>
      <c r="N398" s="75">
        <v>111</v>
      </c>
      <c r="O398" s="75">
        <v>107</v>
      </c>
      <c r="P398" s="63">
        <f t="shared" si="253"/>
        <v>108.66666666666667</v>
      </c>
      <c r="Q398" s="108">
        <f t="shared" si="254"/>
        <v>9780</v>
      </c>
      <c r="R398" s="5">
        <v>107</v>
      </c>
      <c r="S398" s="75">
        <v>117</v>
      </c>
      <c r="T398" s="76">
        <v>115</v>
      </c>
      <c r="U398" s="63">
        <f t="shared" si="255"/>
        <v>113</v>
      </c>
      <c r="V398" s="111">
        <f t="shared" si="256"/>
        <v>10283</v>
      </c>
      <c r="W398" s="64">
        <f t="shared" si="257"/>
        <v>113.5</v>
      </c>
      <c r="X398" s="66">
        <f>W398*61</f>
        <v>6923.5</v>
      </c>
    </row>
    <row r="399" spans="1:24" ht="16.5" thickBot="1" x14ac:dyDescent="0.3">
      <c r="A399" s="50" t="s">
        <v>147</v>
      </c>
      <c r="B399" s="34"/>
      <c r="C399" s="5">
        <v>683</v>
      </c>
      <c r="D399" s="5">
        <v>679</v>
      </c>
      <c r="E399" s="5">
        <v>672</v>
      </c>
      <c r="F399" s="63">
        <f t="shared" si="250"/>
        <v>678</v>
      </c>
      <c r="G399" s="109">
        <f>SUM(651*92)</f>
        <v>59892</v>
      </c>
      <c r="H399" s="5">
        <v>755</v>
      </c>
      <c r="I399" s="5">
        <v>760</v>
      </c>
      <c r="J399" s="5">
        <v>755</v>
      </c>
      <c r="K399" s="63">
        <f t="shared" si="251"/>
        <v>756.66666666666663</v>
      </c>
      <c r="L399" s="108">
        <f t="shared" si="252"/>
        <v>69613.333333333328</v>
      </c>
      <c r="M399" s="5">
        <v>750</v>
      </c>
      <c r="N399" s="75">
        <v>746</v>
      </c>
      <c r="O399" s="75">
        <v>751</v>
      </c>
      <c r="P399" s="63">
        <f t="shared" si="253"/>
        <v>749</v>
      </c>
      <c r="Q399" s="108">
        <f t="shared" si="254"/>
        <v>67410</v>
      </c>
      <c r="R399" s="5">
        <v>760</v>
      </c>
      <c r="S399" s="75">
        <v>758</v>
      </c>
      <c r="T399" s="76">
        <v>757</v>
      </c>
      <c r="U399" s="63">
        <f t="shared" si="255"/>
        <v>758.33333333333337</v>
      </c>
      <c r="V399" s="111">
        <f t="shared" si="256"/>
        <v>69008.333333333343</v>
      </c>
      <c r="W399" s="64">
        <f t="shared" si="257"/>
        <v>735.5</v>
      </c>
      <c r="X399" s="66">
        <f t="shared" si="245"/>
        <v>268457.5</v>
      </c>
    </row>
    <row r="400" spans="1:24" ht="16.5" thickBot="1" x14ac:dyDescent="0.3">
      <c r="A400" s="50" t="s">
        <v>148</v>
      </c>
      <c r="B400" s="34"/>
      <c r="C400" s="5">
        <v>21</v>
      </c>
      <c r="D400" s="5">
        <v>20</v>
      </c>
      <c r="E400" s="5">
        <v>19</v>
      </c>
      <c r="F400" s="63">
        <f t="shared" si="250"/>
        <v>20</v>
      </c>
      <c r="G400" s="109">
        <f>SUM(22*92)</f>
        <v>2024</v>
      </c>
      <c r="H400" s="5">
        <v>20</v>
      </c>
      <c r="I400" s="5">
        <v>20</v>
      </c>
      <c r="J400" s="5">
        <v>20</v>
      </c>
      <c r="K400" s="63">
        <f t="shared" si="251"/>
        <v>20</v>
      </c>
      <c r="L400" s="108">
        <f t="shared" si="252"/>
        <v>1840</v>
      </c>
      <c r="M400" s="5">
        <v>19</v>
      </c>
      <c r="N400" s="75">
        <v>18</v>
      </c>
      <c r="O400" s="75">
        <v>18</v>
      </c>
      <c r="P400" s="63">
        <f t="shared" si="253"/>
        <v>18.333333333333332</v>
      </c>
      <c r="Q400" s="108">
        <f t="shared" si="254"/>
        <v>1650</v>
      </c>
      <c r="R400" s="5">
        <v>18</v>
      </c>
      <c r="S400" s="75">
        <v>17</v>
      </c>
      <c r="T400" s="76">
        <v>17</v>
      </c>
      <c r="U400" s="63">
        <f t="shared" si="255"/>
        <v>17.333333333333332</v>
      </c>
      <c r="V400" s="112">
        <f t="shared" si="256"/>
        <v>1577.3333333333333</v>
      </c>
      <c r="W400" s="64">
        <f t="shared" si="257"/>
        <v>18.916666666666668</v>
      </c>
      <c r="X400" s="66">
        <f t="shared" si="245"/>
        <v>6904.5833333333339</v>
      </c>
    </row>
    <row r="401" spans="1:25" ht="16.5" thickBot="1" x14ac:dyDescent="0.3">
      <c r="A401" s="53" t="s">
        <v>152</v>
      </c>
      <c r="B401" s="37"/>
      <c r="C401" s="80">
        <f>SUM(C395:C400)</f>
        <v>1505</v>
      </c>
      <c r="D401" s="80">
        <f>SUM(D395:D400)</f>
        <v>1507</v>
      </c>
      <c r="E401" s="80">
        <f>SUM(E395:E400)</f>
        <v>1491</v>
      </c>
      <c r="F401" s="68">
        <f t="shared" si="250"/>
        <v>1501</v>
      </c>
      <c r="G401" s="95">
        <f>SUM(1660*92)</f>
        <v>152720</v>
      </c>
      <c r="H401" s="94">
        <f>SUM(H395:H400)</f>
        <v>1604</v>
      </c>
      <c r="I401" s="80">
        <f>SUM(I395:I400)</f>
        <v>1581</v>
      </c>
      <c r="J401" s="80">
        <f>SUM(J395:J400)</f>
        <v>1557</v>
      </c>
      <c r="K401" s="68">
        <f t="shared" si="251"/>
        <v>1580.6666666666667</v>
      </c>
      <c r="L401" s="119">
        <f t="shared" si="252"/>
        <v>145421.33333333334</v>
      </c>
      <c r="M401" s="94">
        <f>SUM(M395:M400)</f>
        <v>1561</v>
      </c>
      <c r="N401" s="80">
        <f>SUM(N395:N400)</f>
        <v>1603</v>
      </c>
      <c r="O401" s="80">
        <f>SUM(O395:O400)</f>
        <v>1571</v>
      </c>
      <c r="P401" s="68">
        <f t="shared" si="253"/>
        <v>1578.3333333333333</v>
      </c>
      <c r="Q401" s="119">
        <f t="shared" si="254"/>
        <v>142050</v>
      </c>
      <c r="R401" s="94">
        <f>SUM(R395:R400)</f>
        <v>1551</v>
      </c>
      <c r="S401" s="80">
        <f>SUM(S395:S400)</f>
        <v>1546</v>
      </c>
      <c r="T401" s="81">
        <f>SUM(T395:T400)</f>
        <v>1543</v>
      </c>
      <c r="U401" s="68">
        <f t="shared" si="255"/>
        <v>1546.6666666666667</v>
      </c>
      <c r="V401" s="120">
        <f t="shared" si="256"/>
        <v>140746.66666666669</v>
      </c>
      <c r="W401" s="69">
        <f>SUM(W395:W400)</f>
        <v>1551.6666666666667</v>
      </c>
      <c r="X401" s="69">
        <f>SUM(X395:X400)</f>
        <v>528330.83333333337</v>
      </c>
    </row>
    <row r="402" spans="1:25" ht="16.5" thickBot="1" x14ac:dyDescent="0.3">
      <c r="A402" s="54" t="s">
        <v>156</v>
      </c>
      <c r="B402" s="38"/>
      <c r="C402" s="80">
        <f>C393+C401</f>
        <v>4674.3500000000004</v>
      </c>
      <c r="D402" s="80">
        <f>D393+D401</f>
        <v>4713</v>
      </c>
      <c r="E402" s="80">
        <f>E393+E401</f>
        <v>4801</v>
      </c>
      <c r="F402" s="80">
        <f>F393+F401</f>
        <v>4729.4500000000007</v>
      </c>
      <c r="G402" s="68">
        <f>SUM(G393+G401)</f>
        <v>449737.4</v>
      </c>
      <c r="H402" s="80">
        <f>H393+H401</f>
        <v>4881</v>
      </c>
      <c r="I402" s="80">
        <f>I393+I401</f>
        <v>4849.24</v>
      </c>
      <c r="J402" s="80">
        <f>J393+J401</f>
        <v>4733.45</v>
      </c>
      <c r="K402" s="120">
        <f t="shared" si="251"/>
        <v>4821.2299999999996</v>
      </c>
      <c r="L402" s="68">
        <f>SUM(L393+L401)</f>
        <v>443553.16000000003</v>
      </c>
      <c r="M402" s="94">
        <f>M393+M401</f>
        <v>4790.880000000001</v>
      </c>
      <c r="N402" s="80">
        <f>N393+N401</f>
        <v>4880.5599999999995</v>
      </c>
      <c r="O402" s="80">
        <f>O393+O401</f>
        <v>4868.1050000000005</v>
      </c>
      <c r="P402" s="99">
        <f t="shared" si="253"/>
        <v>4846.5150000000003</v>
      </c>
      <c r="Q402" s="68">
        <f>SUM(Q393+Q401)</f>
        <v>439454.53166666673</v>
      </c>
      <c r="R402" s="94">
        <f>R393+R401</f>
        <v>4844</v>
      </c>
      <c r="S402" s="80">
        <f>S393+S401</f>
        <v>4822.491</v>
      </c>
      <c r="T402" s="81">
        <f>T393+T401</f>
        <v>4805.5969999999998</v>
      </c>
      <c r="U402" s="99">
        <f t="shared" si="255"/>
        <v>4824.0293333333329</v>
      </c>
      <c r="V402" s="68">
        <f>SUM(V393+V401)</f>
        <v>438986.66933333332</v>
      </c>
      <c r="W402" s="80">
        <f>W393+W401</f>
        <v>4805.3060833333338</v>
      </c>
      <c r="X402" s="82">
        <f>X393+X401</f>
        <v>1715883.3358333339</v>
      </c>
    </row>
    <row r="403" spans="1:25" ht="15.75" x14ac:dyDescent="0.25">
      <c r="A403" s="114"/>
      <c r="B403" s="19"/>
      <c r="C403" s="115"/>
      <c r="D403" s="115"/>
      <c r="E403" s="115"/>
      <c r="F403" s="113"/>
      <c r="G403" s="93"/>
      <c r="H403" s="115"/>
      <c r="I403" s="115"/>
      <c r="J403" s="115"/>
      <c r="K403" s="113"/>
      <c r="L403" s="93"/>
      <c r="M403" s="115"/>
      <c r="N403" s="115"/>
      <c r="O403" s="115"/>
      <c r="P403" s="113"/>
      <c r="Q403" s="93"/>
      <c r="R403" s="115"/>
      <c r="S403" s="115"/>
      <c r="T403" s="115"/>
      <c r="U403" s="113"/>
      <c r="V403" s="93"/>
      <c r="W403" s="115"/>
      <c r="X403" s="115"/>
    </row>
    <row r="404" spans="1:25" ht="15.75" x14ac:dyDescent="0.25">
      <c r="A404" s="114"/>
      <c r="B404" s="19"/>
      <c r="C404" s="115"/>
      <c r="D404" s="115"/>
      <c r="E404" s="115"/>
      <c r="F404" s="113"/>
      <c r="G404" s="93"/>
      <c r="H404" s="115"/>
      <c r="I404" s="115"/>
      <c r="J404" s="115"/>
      <c r="K404" s="113"/>
      <c r="L404" s="93"/>
      <c r="M404" s="115"/>
      <c r="N404" s="115"/>
      <c r="O404" s="115"/>
      <c r="P404" s="113"/>
      <c r="Q404" s="93"/>
      <c r="R404" s="115"/>
      <c r="S404" s="115"/>
      <c r="T404" s="115"/>
      <c r="U404" s="113"/>
      <c r="V404" s="93"/>
      <c r="W404" s="115"/>
      <c r="X404" s="115"/>
    </row>
    <row r="406" spans="1:25" ht="16.5" thickBot="1" x14ac:dyDescent="0.25">
      <c r="A406" s="45" t="s">
        <v>155</v>
      </c>
      <c r="B406" s="10"/>
      <c r="C406" s="13"/>
      <c r="D406" s="13"/>
      <c r="E406" s="13"/>
      <c r="F406" s="13"/>
      <c r="G406" s="13"/>
      <c r="H406" s="13"/>
      <c r="I406" s="13"/>
      <c r="J406" s="13"/>
      <c r="K406" s="13"/>
      <c r="L406" s="13"/>
      <c r="M406" s="13"/>
      <c r="N406" s="13"/>
      <c r="O406" s="13"/>
      <c r="P406" s="13"/>
      <c r="Q406" s="13"/>
      <c r="R406" s="13"/>
      <c r="S406" s="13"/>
      <c r="T406" s="13"/>
      <c r="U406" s="13"/>
      <c r="V406" s="13"/>
      <c r="W406" s="13"/>
      <c r="X406" s="13"/>
      <c r="Y406" s="116"/>
    </row>
    <row r="407" spans="1:25" ht="16.5" thickBot="1" x14ac:dyDescent="0.3">
      <c r="A407" s="32" t="s">
        <v>259</v>
      </c>
      <c r="B407" s="1200" t="s">
        <v>153</v>
      </c>
      <c r="C407" s="1205"/>
      <c r="D407" s="1205"/>
      <c r="E407" s="1205"/>
      <c r="F407" s="1205"/>
      <c r="G407" s="1205"/>
      <c r="H407" s="1205"/>
      <c r="I407" s="1205"/>
      <c r="J407" s="1205"/>
      <c r="K407" s="1205"/>
      <c r="L407" s="1205"/>
      <c r="M407" s="1205"/>
      <c r="N407" s="1205"/>
      <c r="O407" s="1205"/>
      <c r="P407" s="1205"/>
      <c r="Q407" s="1205"/>
      <c r="R407" s="1205"/>
      <c r="S407" s="1205"/>
      <c r="T407" s="1205"/>
      <c r="U407" s="39"/>
      <c r="V407" s="39"/>
      <c r="W407" s="92"/>
      <c r="X407" s="13"/>
    </row>
    <row r="408" spans="1:25" ht="15.75" x14ac:dyDescent="0.25">
      <c r="A408" s="11"/>
      <c r="B408" s="40" t="s">
        <v>261</v>
      </c>
      <c r="C408" s="57"/>
      <c r="D408" s="58"/>
      <c r="E408" s="58"/>
      <c r="F408" s="1192" t="s">
        <v>258</v>
      </c>
      <c r="G408" s="127" t="s">
        <v>278</v>
      </c>
      <c r="H408" s="58"/>
      <c r="I408" s="58"/>
      <c r="J408" s="58"/>
      <c r="K408" s="129" t="s">
        <v>258</v>
      </c>
      <c r="L408" s="127" t="s">
        <v>278</v>
      </c>
      <c r="M408" s="58"/>
      <c r="N408" s="58"/>
      <c r="O408" s="58"/>
      <c r="P408" s="129" t="s">
        <v>258</v>
      </c>
      <c r="Q408" s="127" t="s">
        <v>278</v>
      </c>
      <c r="R408" s="58"/>
      <c r="S408" s="58"/>
      <c r="T408" s="59"/>
      <c r="U408" s="129" t="s">
        <v>258</v>
      </c>
      <c r="V408" s="127" t="s">
        <v>278</v>
      </c>
      <c r="W408" s="131" t="s">
        <v>154</v>
      </c>
      <c r="X408" s="133" t="s">
        <v>155</v>
      </c>
    </row>
    <row r="409" spans="1:25" ht="15.75" thickBot="1" x14ac:dyDescent="0.3">
      <c r="A409" s="47" t="s">
        <v>56</v>
      </c>
      <c r="B409" s="41" t="s">
        <v>262</v>
      </c>
      <c r="C409" s="60">
        <v>38538</v>
      </c>
      <c r="D409" s="61">
        <v>38569</v>
      </c>
      <c r="E409" s="61">
        <v>38600</v>
      </c>
      <c r="F409" s="1193"/>
      <c r="G409" s="128"/>
      <c r="H409" s="61">
        <v>38630</v>
      </c>
      <c r="I409" s="61">
        <v>38661</v>
      </c>
      <c r="J409" s="61">
        <v>38691</v>
      </c>
      <c r="K409" s="130"/>
      <c r="L409" s="128"/>
      <c r="M409" s="61">
        <v>38718</v>
      </c>
      <c r="N409" s="61">
        <v>38749</v>
      </c>
      <c r="O409" s="61">
        <v>38777</v>
      </c>
      <c r="P409" s="130"/>
      <c r="Q409" s="128"/>
      <c r="R409" s="61">
        <v>38808</v>
      </c>
      <c r="S409" s="61">
        <v>38838</v>
      </c>
      <c r="T409" s="62">
        <v>38869</v>
      </c>
      <c r="U409" s="130"/>
      <c r="V409" s="128"/>
      <c r="W409" s="132"/>
      <c r="X409" s="134"/>
    </row>
    <row r="410" spans="1:25" ht="33" customHeight="1" thickBot="1" x14ac:dyDescent="0.25">
      <c r="A410" s="45"/>
    </row>
    <row r="411" spans="1:25" ht="15.75" x14ac:dyDescent="0.25">
      <c r="A411" s="11"/>
      <c r="B411" s="40" t="s">
        <v>261</v>
      </c>
      <c r="C411" s="57"/>
      <c r="D411" s="58"/>
      <c r="E411" s="58"/>
      <c r="F411" s="1192" t="s">
        <v>258</v>
      </c>
      <c r="G411" s="1184" t="s">
        <v>278</v>
      </c>
      <c r="H411" s="58"/>
      <c r="I411" s="58"/>
      <c r="J411" s="58"/>
      <c r="K411" s="1192" t="s">
        <v>258</v>
      </c>
      <c r="L411" s="1184" t="s">
        <v>278</v>
      </c>
      <c r="M411" s="58"/>
      <c r="N411" s="58"/>
      <c r="O411" s="58"/>
      <c r="P411" s="1192" t="s">
        <v>258</v>
      </c>
      <c r="Q411" s="1184" t="s">
        <v>278</v>
      </c>
      <c r="R411" s="58"/>
      <c r="S411" s="58"/>
      <c r="T411" s="59"/>
      <c r="U411" s="1192" t="s">
        <v>258</v>
      </c>
      <c r="V411" s="1184" t="s">
        <v>278</v>
      </c>
      <c r="W411" s="1186" t="s">
        <v>154</v>
      </c>
      <c r="X411" s="1188" t="s">
        <v>155</v>
      </c>
    </row>
    <row r="412" spans="1:25" ht="15.75" thickBot="1" x14ac:dyDescent="0.3">
      <c r="A412" s="47" t="s">
        <v>56</v>
      </c>
      <c r="B412" s="41" t="s">
        <v>262</v>
      </c>
      <c r="C412" s="60">
        <v>37805</v>
      </c>
      <c r="D412" s="61">
        <v>37836</v>
      </c>
      <c r="E412" s="61">
        <v>37867</v>
      </c>
      <c r="F412" s="1193"/>
      <c r="G412" s="1185"/>
      <c r="H412" s="61">
        <v>37897</v>
      </c>
      <c r="I412" s="61">
        <v>37928</v>
      </c>
      <c r="J412" s="61">
        <v>37958</v>
      </c>
      <c r="K412" s="1193"/>
      <c r="L412" s="1185"/>
      <c r="M412" s="61">
        <v>37987</v>
      </c>
      <c r="N412" s="61">
        <v>38018</v>
      </c>
      <c r="O412" s="61">
        <v>38047</v>
      </c>
      <c r="P412" s="1193"/>
      <c r="Q412" s="1185"/>
      <c r="R412" s="61">
        <v>38078</v>
      </c>
      <c r="S412" s="61">
        <v>38108</v>
      </c>
      <c r="T412" s="62">
        <v>38139</v>
      </c>
      <c r="U412" s="1193"/>
      <c r="V412" s="1185"/>
      <c r="W412" s="1187"/>
      <c r="X412" s="1189"/>
    </row>
    <row r="413" spans="1:25" ht="16.5" thickBot="1" x14ac:dyDescent="0.3">
      <c r="A413" s="48" t="s">
        <v>242</v>
      </c>
      <c r="B413" s="42" t="s">
        <v>263</v>
      </c>
      <c r="C413" s="117">
        <v>396.096</v>
      </c>
      <c r="D413" s="117">
        <v>405.09699999999998</v>
      </c>
      <c r="E413" s="117">
        <v>416</v>
      </c>
      <c r="F413" s="63">
        <f t="shared" ref="F413:F427" si="258">SUM(C413:E413)/3</f>
        <v>405.73099999999999</v>
      </c>
      <c r="G413" s="108">
        <f>SUM(406*92)</f>
        <v>37352</v>
      </c>
      <c r="H413" s="117">
        <v>419.61</v>
      </c>
      <c r="I413" s="117">
        <v>415.9</v>
      </c>
      <c r="J413" s="117">
        <v>432.52</v>
      </c>
      <c r="K413" s="63">
        <f t="shared" ref="K413:K427" si="259">SUM(H413:J413)/3</f>
        <v>422.67666666666668</v>
      </c>
      <c r="L413" s="108">
        <f t="shared" ref="L413:L427" si="260">K413*92</f>
        <v>38886.253333333334</v>
      </c>
      <c r="M413" s="117">
        <v>422.81</v>
      </c>
      <c r="N413" s="85">
        <v>419.45</v>
      </c>
      <c r="O413" s="85">
        <v>406.94</v>
      </c>
      <c r="P413" s="63">
        <f t="shared" ref="P413:P427" si="261">SUM(M413:O413)/3</f>
        <v>416.40000000000003</v>
      </c>
      <c r="Q413" s="108">
        <f t="shared" ref="Q413:Q427" si="262">P413*91</f>
        <v>37892.400000000001</v>
      </c>
      <c r="R413" s="117">
        <v>406.93</v>
      </c>
      <c r="S413" s="85">
        <v>396.9</v>
      </c>
      <c r="T413" s="122">
        <v>395.4</v>
      </c>
      <c r="U413" s="63">
        <f t="shared" ref="U413:U427" si="263">SUM(R413:T413)/3</f>
        <v>399.74333333333334</v>
      </c>
      <c r="V413" s="111">
        <f t="shared" ref="V413:V427" si="264">U413*91</f>
        <v>36376.643333333333</v>
      </c>
      <c r="W413" s="64">
        <f t="shared" ref="W413:W426" si="265">SUM(C413+D413+E413+H413+I413+J413+M413+N413+O413+R413+S413+T413)/12</f>
        <v>411.13774999999993</v>
      </c>
      <c r="X413" s="65">
        <f t="shared" ref="X413:X426" si="266">W413*366</f>
        <v>150476.41649999996</v>
      </c>
    </row>
    <row r="414" spans="1:25" ht="16.5" thickBot="1" x14ac:dyDescent="0.3">
      <c r="A414" s="49" t="s">
        <v>138</v>
      </c>
      <c r="B414" s="43" t="s">
        <v>264</v>
      </c>
      <c r="C414" s="118">
        <v>108.45</v>
      </c>
      <c r="D414" s="118">
        <v>110.16</v>
      </c>
      <c r="E414" s="118">
        <v>117.27</v>
      </c>
      <c r="F414" s="63">
        <f t="shared" si="258"/>
        <v>111.96</v>
      </c>
      <c r="G414" s="109">
        <f>SUM(112*92)</f>
        <v>10304</v>
      </c>
      <c r="H414" s="118">
        <v>107.84</v>
      </c>
      <c r="I414" s="118">
        <v>103.8</v>
      </c>
      <c r="J414" s="118">
        <v>86.129000000000005</v>
      </c>
      <c r="K414" s="63">
        <f t="shared" si="259"/>
        <v>99.25633333333333</v>
      </c>
      <c r="L414" s="108">
        <f t="shared" si="260"/>
        <v>9131.5826666666671</v>
      </c>
      <c r="M414" s="118">
        <v>96.225999999999999</v>
      </c>
      <c r="N414" s="86">
        <v>108.34</v>
      </c>
      <c r="O414" s="86">
        <v>115.23</v>
      </c>
      <c r="P414" s="63">
        <f t="shared" si="261"/>
        <v>106.59866666666666</v>
      </c>
      <c r="Q414" s="108">
        <f t="shared" si="262"/>
        <v>9700.478666666666</v>
      </c>
      <c r="R414" s="118">
        <v>112.93</v>
      </c>
      <c r="S414" s="86">
        <v>111.13</v>
      </c>
      <c r="T414" s="123">
        <v>114.2</v>
      </c>
      <c r="U414" s="63">
        <f t="shared" si="263"/>
        <v>112.75333333333333</v>
      </c>
      <c r="V414" s="111">
        <f t="shared" si="264"/>
        <v>10260.553333333333</v>
      </c>
      <c r="W414" s="64">
        <f t="shared" si="265"/>
        <v>107.64208333333335</v>
      </c>
      <c r="X414" s="65">
        <f t="shared" si="266"/>
        <v>39397.002500000002</v>
      </c>
    </row>
    <row r="415" spans="1:25" ht="16.5" thickBot="1" x14ac:dyDescent="0.3">
      <c r="A415" s="50" t="s">
        <v>139</v>
      </c>
      <c r="B415" s="44" t="s">
        <v>265</v>
      </c>
      <c r="C415" s="3">
        <v>389.709</v>
      </c>
      <c r="D415" s="3">
        <v>392.774</v>
      </c>
      <c r="E415" s="3">
        <v>412</v>
      </c>
      <c r="F415" s="63">
        <f t="shared" si="258"/>
        <v>398.161</v>
      </c>
      <c r="G415" s="109">
        <f>SUM(398*92)</f>
        <v>36616</v>
      </c>
      <c r="H415" s="3">
        <v>408.39</v>
      </c>
      <c r="I415" s="3">
        <v>410.37</v>
      </c>
      <c r="J415" s="3">
        <v>416.81</v>
      </c>
      <c r="K415" s="63">
        <f t="shared" si="259"/>
        <v>411.85666666666663</v>
      </c>
      <c r="L415" s="108">
        <f t="shared" si="260"/>
        <v>37890.813333333332</v>
      </c>
      <c r="M415" s="3">
        <v>405.61</v>
      </c>
      <c r="N415" s="87">
        <v>401.28</v>
      </c>
      <c r="O415" s="87">
        <v>400.97</v>
      </c>
      <c r="P415" s="63">
        <f t="shared" si="261"/>
        <v>402.62000000000006</v>
      </c>
      <c r="Q415" s="108">
        <f t="shared" si="262"/>
        <v>36638.420000000006</v>
      </c>
      <c r="R415" s="3">
        <v>403.67</v>
      </c>
      <c r="S415" s="87">
        <v>390.48</v>
      </c>
      <c r="T415" s="124">
        <v>387.1</v>
      </c>
      <c r="U415" s="63">
        <f t="shared" si="263"/>
        <v>393.75</v>
      </c>
      <c r="V415" s="111">
        <f t="shared" si="264"/>
        <v>35831.25</v>
      </c>
      <c r="W415" s="64">
        <f t="shared" si="265"/>
        <v>401.59691666666669</v>
      </c>
      <c r="X415" s="65">
        <f t="shared" si="266"/>
        <v>146984.47150000001</v>
      </c>
    </row>
    <row r="416" spans="1:25" ht="16.5" thickBot="1" x14ac:dyDescent="0.3">
      <c r="A416" s="50" t="s">
        <v>25</v>
      </c>
      <c r="B416" s="44" t="s">
        <v>266</v>
      </c>
      <c r="C416" s="3">
        <v>221.90299999999999</v>
      </c>
      <c r="D416" s="3">
        <v>206.29</v>
      </c>
      <c r="E416" s="3">
        <v>202.3</v>
      </c>
      <c r="F416" s="63">
        <f t="shared" si="258"/>
        <v>210.1643333333333</v>
      </c>
      <c r="G416" s="109">
        <f>SUM(210*92)</f>
        <v>19320</v>
      </c>
      <c r="H416" s="3">
        <v>216.77</v>
      </c>
      <c r="I416" s="3">
        <v>213.73</v>
      </c>
      <c r="J416" s="3">
        <v>199.03</v>
      </c>
      <c r="K416" s="63">
        <f t="shared" si="259"/>
        <v>209.84333333333333</v>
      </c>
      <c r="L416" s="108">
        <f t="shared" si="260"/>
        <v>19305.586666666666</v>
      </c>
      <c r="M416" s="3">
        <v>211.23</v>
      </c>
      <c r="N416" s="87">
        <v>214.55</v>
      </c>
      <c r="O416" s="87">
        <v>223.19</v>
      </c>
      <c r="P416" s="63">
        <f t="shared" si="261"/>
        <v>216.32333333333335</v>
      </c>
      <c r="Q416" s="108">
        <f t="shared" si="262"/>
        <v>19685.423333333336</v>
      </c>
      <c r="R416" s="3">
        <v>209.57</v>
      </c>
      <c r="S416" s="87">
        <v>217.13</v>
      </c>
      <c r="T416" s="124">
        <v>220</v>
      </c>
      <c r="U416" s="63">
        <f t="shared" si="263"/>
        <v>215.56666666666669</v>
      </c>
      <c r="V416" s="111">
        <f t="shared" si="264"/>
        <v>19616.566666666669</v>
      </c>
      <c r="W416" s="64">
        <f t="shared" si="265"/>
        <v>212.97441666666668</v>
      </c>
      <c r="X416" s="65">
        <f t="shared" si="266"/>
        <v>77948.636500000008</v>
      </c>
    </row>
    <row r="417" spans="1:24" ht="16.5" thickBot="1" x14ac:dyDescent="0.3">
      <c r="A417" s="51" t="s">
        <v>275</v>
      </c>
      <c r="B417" s="44" t="s">
        <v>267</v>
      </c>
      <c r="C417" s="3">
        <v>279.06400000000002</v>
      </c>
      <c r="D417" s="3">
        <v>275.29000000000002</v>
      </c>
      <c r="E417" s="3">
        <v>293.33</v>
      </c>
      <c r="F417" s="63">
        <f t="shared" si="258"/>
        <v>282.56133333333332</v>
      </c>
      <c r="G417" s="109">
        <f>SUM(283*92)</f>
        <v>26036</v>
      </c>
      <c r="H417" s="3">
        <v>307.42200000000003</v>
      </c>
      <c r="I417" s="3">
        <v>302</v>
      </c>
      <c r="J417" s="3">
        <v>291.51600000000002</v>
      </c>
      <c r="K417" s="63">
        <f t="shared" si="259"/>
        <v>300.3126666666667</v>
      </c>
      <c r="L417" s="108">
        <f t="shared" si="260"/>
        <v>27628.765333333336</v>
      </c>
      <c r="M417" s="3">
        <v>291.02999999999997</v>
      </c>
      <c r="N417" s="87">
        <v>313.83</v>
      </c>
      <c r="O417" s="87">
        <v>308.70999999999998</v>
      </c>
      <c r="P417" s="63">
        <f t="shared" si="261"/>
        <v>304.52333333333331</v>
      </c>
      <c r="Q417" s="108">
        <f t="shared" si="262"/>
        <v>27711.623333333333</v>
      </c>
      <c r="R417" s="3">
        <v>295.637</v>
      </c>
      <c r="S417" s="87">
        <v>287.77</v>
      </c>
      <c r="T417" s="124">
        <v>293.67</v>
      </c>
      <c r="U417" s="63">
        <f t="shared" si="263"/>
        <v>292.35899999999998</v>
      </c>
      <c r="V417" s="111">
        <f t="shared" si="264"/>
        <v>26604.668999999998</v>
      </c>
      <c r="W417" s="64">
        <f t="shared" si="265"/>
        <v>294.93908333333337</v>
      </c>
      <c r="X417" s="65">
        <f t="shared" si="266"/>
        <v>107947.70450000001</v>
      </c>
    </row>
    <row r="418" spans="1:24" ht="16.5" thickBot="1" x14ac:dyDescent="0.3">
      <c r="A418" s="50" t="s">
        <v>16</v>
      </c>
      <c r="B418" s="44" t="s">
        <v>268</v>
      </c>
      <c r="C418" s="3">
        <v>50.58</v>
      </c>
      <c r="D418" s="3">
        <v>58.515999999999998</v>
      </c>
      <c r="E418" s="3">
        <v>61.5</v>
      </c>
      <c r="F418" s="63">
        <f t="shared" si="258"/>
        <v>56.865333333333332</v>
      </c>
      <c r="G418" s="109">
        <f>SUM(57*92)</f>
        <v>5244</v>
      </c>
      <c r="H418" s="3">
        <v>61.29</v>
      </c>
      <c r="I418" s="3">
        <v>59.033000000000001</v>
      </c>
      <c r="J418" s="3">
        <v>55.387</v>
      </c>
      <c r="K418" s="63">
        <f t="shared" si="259"/>
        <v>58.57</v>
      </c>
      <c r="L418" s="108">
        <f t="shared" si="260"/>
        <v>5388.44</v>
      </c>
      <c r="M418" s="3">
        <v>56.323</v>
      </c>
      <c r="N418" s="87">
        <v>63.621000000000002</v>
      </c>
      <c r="O418" s="87">
        <v>60.871000000000002</v>
      </c>
      <c r="P418" s="63">
        <f t="shared" si="261"/>
        <v>60.271666666666668</v>
      </c>
      <c r="Q418" s="108">
        <f t="shared" si="262"/>
        <v>5484.7216666666673</v>
      </c>
      <c r="R418" s="3">
        <v>61.5</v>
      </c>
      <c r="S418" s="87">
        <v>61.29</v>
      </c>
      <c r="T418" s="124">
        <v>59</v>
      </c>
      <c r="U418" s="63">
        <f t="shared" si="263"/>
        <v>60.596666666666664</v>
      </c>
      <c r="V418" s="111">
        <f t="shared" si="264"/>
        <v>5514.2966666666662</v>
      </c>
      <c r="W418" s="64">
        <f t="shared" si="265"/>
        <v>59.075916666666664</v>
      </c>
      <c r="X418" s="65">
        <f t="shared" si="266"/>
        <v>21621.785499999998</v>
      </c>
    </row>
    <row r="419" spans="1:24" ht="16.5" thickBot="1" x14ac:dyDescent="0.3">
      <c r="A419" s="50" t="s">
        <v>17</v>
      </c>
      <c r="B419" s="44" t="s">
        <v>269</v>
      </c>
      <c r="C419" s="3">
        <v>166.96700000000001</v>
      </c>
      <c r="D419" s="3">
        <v>159.322</v>
      </c>
      <c r="E419" s="3">
        <v>164</v>
      </c>
      <c r="F419" s="63">
        <f t="shared" si="258"/>
        <v>163.42966666666666</v>
      </c>
      <c r="G419" s="109">
        <f>SUM(163*92)</f>
        <v>14996</v>
      </c>
      <c r="H419" s="3">
        <v>173</v>
      </c>
      <c r="I419" s="3">
        <v>172.03</v>
      </c>
      <c r="J419" s="3">
        <v>162.94</v>
      </c>
      <c r="K419" s="63">
        <f t="shared" si="259"/>
        <v>169.32333333333332</v>
      </c>
      <c r="L419" s="108">
        <f t="shared" si="260"/>
        <v>15577.746666666666</v>
      </c>
      <c r="M419" s="3">
        <v>170.26</v>
      </c>
      <c r="N419" s="87">
        <v>174.48</v>
      </c>
      <c r="O419" s="87">
        <v>168.1</v>
      </c>
      <c r="P419" s="63">
        <f t="shared" si="261"/>
        <v>170.94666666666669</v>
      </c>
      <c r="Q419" s="108">
        <f t="shared" si="262"/>
        <v>15556.146666666669</v>
      </c>
      <c r="R419" s="3">
        <v>165.43</v>
      </c>
      <c r="S419" s="87">
        <v>168.26</v>
      </c>
      <c r="T419" s="124">
        <v>177.83</v>
      </c>
      <c r="U419" s="63">
        <f t="shared" si="263"/>
        <v>170.50666666666666</v>
      </c>
      <c r="V419" s="111">
        <f t="shared" si="264"/>
        <v>15516.106666666667</v>
      </c>
      <c r="W419" s="64">
        <f t="shared" si="265"/>
        <v>168.55158333333333</v>
      </c>
      <c r="X419" s="65">
        <f t="shared" si="266"/>
        <v>61689.879499999995</v>
      </c>
    </row>
    <row r="420" spans="1:24" ht="16.5" thickBot="1" x14ac:dyDescent="0.3">
      <c r="A420" s="50" t="s">
        <v>140</v>
      </c>
      <c r="B420" s="44" t="s">
        <v>270</v>
      </c>
      <c r="C420" s="3">
        <v>71</v>
      </c>
      <c r="D420" s="3">
        <v>75.548000000000002</v>
      </c>
      <c r="E420" s="3">
        <v>88.1</v>
      </c>
      <c r="F420" s="63">
        <f t="shared" si="258"/>
        <v>78.215999999999994</v>
      </c>
      <c r="G420" s="109">
        <f>SUM(78*92)</f>
        <v>7176</v>
      </c>
      <c r="H420" s="3">
        <v>89.903000000000006</v>
      </c>
      <c r="I420" s="3">
        <v>86.867000000000004</v>
      </c>
      <c r="J420" s="3">
        <v>86.322999999999993</v>
      </c>
      <c r="K420" s="63">
        <f t="shared" si="259"/>
        <v>87.697666666666677</v>
      </c>
      <c r="L420" s="108">
        <f t="shared" si="260"/>
        <v>8068.1853333333347</v>
      </c>
      <c r="M420" s="3">
        <v>89.644999999999996</v>
      </c>
      <c r="N420" s="87">
        <v>92.171999999999997</v>
      </c>
      <c r="O420" s="87">
        <v>90.613</v>
      </c>
      <c r="P420" s="63">
        <f t="shared" si="261"/>
        <v>90.81</v>
      </c>
      <c r="Q420" s="108">
        <f t="shared" si="262"/>
        <v>8263.7100000000009</v>
      </c>
      <c r="R420" s="3">
        <v>92.733000000000004</v>
      </c>
      <c r="S420" s="87">
        <v>91.418999999999997</v>
      </c>
      <c r="T420" s="124">
        <v>88.566999999999993</v>
      </c>
      <c r="U420" s="63">
        <f t="shared" si="263"/>
        <v>90.906333333333336</v>
      </c>
      <c r="V420" s="111">
        <f t="shared" si="264"/>
        <v>8272.476333333334</v>
      </c>
      <c r="W420" s="64">
        <f t="shared" si="265"/>
        <v>86.907499999999985</v>
      </c>
      <c r="X420" s="65">
        <f t="shared" si="266"/>
        <v>31808.144999999993</v>
      </c>
    </row>
    <row r="421" spans="1:24" ht="16.5" thickBot="1" x14ac:dyDescent="0.3">
      <c r="A421" s="51" t="s">
        <v>276</v>
      </c>
      <c r="B421" s="44" t="s">
        <v>271</v>
      </c>
      <c r="C421" s="3">
        <v>372.45100000000002</v>
      </c>
      <c r="D421" s="3">
        <v>375.45100000000002</v>
      </c>
      <c r="E421" s="3">
        <v>395.3</v>
      </c>
      <c r="F421" s="63">
        <f t="shared" si="258"/>
        <v>381.06733333333335</v>
      </c>
      <c r="G421" s="109">
        <f>SUM(381*92)</f>
        <v>35052</v>
      </c>
      <c r="H421" s="3">
        <v>396.16</v>
      </c>
      <c r="I421" s="3">
        <v>387.14</v>
      </c>
      <c r="J421" s="3">
        <v>382.19</v>
      </c>
      <c r="K421" s="63">
        <f t="shared" si="259"/>
        <v>388.49666666666667</v>
      </c>
      <c r="L421" s="108">
        <f t="shared" si="260"/>
        <v>35741.693333333336</v>
      </c>
      <c r="M421" s="3">
        <v>383.2</v>
      </c>
      <c r="N421" s="87">
        <v>386.59</v>
      </c>
      <c r="O421" s="87">
        <v>389.62</v>
      </c>
      <c r="P421" s="63">
        <f t="shared" si="261"/>
        <v>386.46999999999997</v>
      </c>
      <c r="Q421" s="108">
        <f t="shared" si="262"/>
        <v>35168.769999999997</v>
      </c>
      <c r="R421" s="3">
        <v>390.5</v>
      </c>
      <c r="S421" s="87">
        <v>372.84</v>
      </c>
      <c r="T421" s="124">
        <v>376.1</v>
      </c>
      <c r="U421" s="63">
        <f t="shared" si="263"/>
        <v>379.81333333333333</v>
      </c>
      <c r="V421" s="111">
        <f t="shared" si="264"/>
        <v>34563.013333333336</v>
      </c>
      <c r="W421" s="64">
        <f t="shared" si="265"/>
        <v>383.96183333333335</v>
      </c>
      <c r="X421" s="65">
        <f t="shared" si="266"/>
        <v>140530.03100000002</v>
      </c>
    </row>
    <row r="422" spans="1:24" ht="15.75" x14ac:dyDescent="0.25">
      <c r="A422" s="50" t="s">
        <v>149</v>
      </c>
      <c r="B422" s="121" t="s">
        <v>279</v>
      </c>
      <c r="C422" s="3">
        <v>92</v>
      </c>
      <c r="D422" s="3">
        <v>91</v>
      </c>
      <c r="E422" s="3">
        <v>106</v>
      </c>
      <c r="F422" s="63">
        <f>SUM(C422:E422)/3</f>
        <v>96.333333333333329</v>
      </c>
      <c r="G422" s="109">
        <f>SUM(96*92)</f>
        <v>8832</v>
      </c>
      <c r="H422" s="3">
        <v>111</v>
      </c>
      <c r="I422" s="3">
        <v>106</v>
      </c>
      <c r="J422" s="3">
        <v>97.774000000000001</v>
      </c>
      <c r="K422" s="63">
        <f>SUM(H422:J422)/3</f>
        <v>104.92466666666667</v>
      </c>
      <c r="L422" s="108">
        <f t="shared" si="260"/>
        <v>9653.0693333333329</v>
      </c>
      <c r="M422" s="3">
        <v>92.161000000000001</v>
      </c>
      <c r="N422" s="87">
        <v>83.897000000000006</v>
      </c>
      <c r="O422" s="87">
        <v>88.29</v>
      </c>
      <c r="P422" s="63">
        <f>SUM(M422:O422)/3</f>
        <v>88.116</v>
      </c>
      <c r="Q422" s="108">
        <f t="shared" si="262"/>
        <v>8018.5559999999996</v>
      </c>
      <c r="R422" s="3">
        <v>101.1</v>
      </c>
      <c r="S422" s="87">
        <v>98.257999999999996</v>
      </c>
      <c r="T422" s="124">
        <v>93.3</v>
      </c>
      <c r="U422" s="63">
        <f>SUM(R422:T422)/3</f>
        <v>97.552666666666667</v>
      </c>
      <c r="V422" s="111">
        <f t="shared" si="264"/>
        <v>8877.2926666666663</v>
      </c>
      <c r="W422" s="64">
        <f t="shared" si="265"/>
        <v>96.731666666666669</v>
      </c>
      <c r="X422" s="65">
        <f t="shared" si="266"/>
        <v>35403.79</v>
      </c>
    </row>
    <row r="423" spans="1:24" ht="16.5" thickBot="1" x14ac:dyDescent="0.3">
      <c r="A423" s="49" t="s">
        <v>20</v>
      </c>
      <c r="B423" s="43" t="s">
        <v>272</v>
      </c>
      <c r="C423" s="118">
        <v>484.64499999999998</v>
      </c>
      <c r="D423" s="118">
        <v>481.90300000000002</v>
      </c>
      <c r="E423" s="118">
        <v>492</v>
      </c>
      <c r="F423" s="63">
        <f t="shared" si="258"/>
        <v>486.18266666666665</v>
      </c>
      <c r="G423" s="111">
        <f>SUM(486*92)</f>
        <v>44712</v>
      </c>
      <c r="H423" s="118">
        <v>496.65</v>
      </c>
      <c r="I423" s="3">
        <v>490.83</v>
      </c>
      <c r="J423" s="3">
        <v>451.52</v>
      </c>
      <c r="K423" s="63">
        <f t="shared" si="259"/>
        <v>479.66666666666669</v>
      </c>
      <c r="L423" s="111">
        <f t="shared" si="260"/>
        <v>44129.333333333336</v>
      </c>
      <c r="M423" s="118">
        <v>474.68</v>
      </c>
      <c r="N423" s="86">
        <v>484.24</v>
      </c>
      <c r="O423" s="86">
        <v>491.52</v>
      </c>
      <c r="P423" s="63">
        <f t="shared" si="261"/>
        <v>483.48</v>
      </c>
      <c r="Q423" s="111">
        <f t="shared" si="262"/>
        <v>43996.68</v>
      </c>
      <c r="R423" s="3">
        <v>488</v>
      </c>
      <c r="S423" s="86">
        <v>484.74</v>
      </c>
      <c r="T423" s="124">
        <v>487.2</v>
      </c>
      <c r="U423" s="63">
        <f t="shared" si="263"/>
        <v>486.6466666666667</v>
      </c>
      <c r="V423" s="111">
        <f t="shared" si="264"/>
        <v>44284.846666666672</v>
      </c>
      <c r="W423" s="64">
        <f t="shared" si="265"/>
        <v>483.99399999999991</v>
      </c>
      <c r="X423" s="65">
        <f t="shared" si="266"/>
        <v>177141.80399999997</v>
      </c>
    </row>
    <row r="424" spans="1:24" ht="16.5" thickBot="1" x14ac:dyDescent="0.3">
      <c r="A424" s="51" t="s">
        <v>277</v>
      </c>
      <c r="B424" s="44" t="s">
        <v>273</v>
      </c>
      <c r="C424" s="3">
        <v>348.7</v>
      </c>
      <c r="D424" s="3">
        <v>358.90199999999999</v>
      </c>
      <c r="E424" s="3">
        <v>365.1</v>
      </c>
      <c r="F424" s="63">
        <f t="shared" si="258"/>
        <v>357.56733333333335</v>
      </c>
      <c r="G424" s="109">
        <f>SUM(358*92)</f>
        <v>32936</v>
      </c>
      <c r="H424" s="3">
        <v>367.33</v>
      </c>
      <c r="I424" s="3">
        <v>370.16</v>
      </c>
      <c r="J424" s="3">
        <v>363.26</v>
      </c>
      <c r="K424" s="63">
        <f t="shared" si="259"/>
        <v>366.91666666666669</v>
      </c>
      <c r="L424" s="108">
        <f t="shared" si="260"/>
        <v>33756.333333333336</v>
      </c>
      <c r="M424" s="3">
        <v>364.8</v>
      </c>
      <c r="N424" s="87">
        <v>354.28</v>
      </c>
      <c r="O424" s="87">
        <v>363.49</v>
      </c>
      <c r="P424" s="63">
        <f t="shared" si="261"/>
        <v>360.85666666666663</v>
      </c>
      <c r="Q424" s="108">
        <f t="shared" si="262"/>
        <v>32837.956666666665</v>
      </c>
      <c r="R424" s="3">
        <v>349.27</v>
      </c>
      <c r="S424" s="87">
        <v>331.78</v>
      </c>
      <c r="T424" s="124">
        <v>319.37</v>
      </c>
      <c r="U424" s="63">
        <f t="shared" si="263"/>
        <v>333.4733333333333</v>
      </c>
      <c r="V424" s="111">
        <f t="shared" si="264"/>
        <v>30346.07333333333</v>
      </c>
      <c r="W424" s="64">
        <f t="shared" si="265"/>
        <v>354.70350000000002</v>
      </c>
      <c r="X424" s="65">
        <f t="shared" si="266"/>
        <v>129821.48100000001</v>
      </c>
    </row>
    <row r="425" spans="1:24" ht="16.5" thickBot="1" x14ac:dyDescent="0.3">
      <c r="A425" s="50" t="s">
        <v>141</v>
      </c>
      <c r="B425" s="44" t="s">
        <v>274</v>
      </c>
      <c r="C425" s="3">
        <v>114.709</v>
      </c>
      <c r="D425" s="3">
        <v>124.193</v>
      </c>
      <c r="E425" s="3">
        <v>132.9</v>
      </c>
      <c r="F425" s="63">
        <f t="shared" si="258"/>
        <v>123.93400000000001</v>
      </c>
      <c r="G425" s="109">
        <f>SUM(124*92)</f>
        <v>11408</v>
      </c>
      <c r="H425" s="3">
        <v>122.55</v>
      </c>
      <c r="I425" s="3">
        <v>125.7</v>
      </c>
      <c r="J425" s="3">
        <v>124.13</v>
      </c>
      <c r="K425" s="63">
        <f t="shared" si="259"/>
        <v>124.12666666666667</v>
      </c>
      <c r="L425" s="108">
        <f t="shared" si="260"/>
        <v>11419.653333333334</v>
      </c>
      <c r="M425" s="3">
        <v>117.77</v>
      </c>
      <c r="N425" s="87">
        <v>115.55</v>
      </c>
      <c r="O425" s="87">
        <v>123.13</v>
      </c>
      <c r="P425" s="63">
        <f t="shared" si="261"/>
        <v>118.81666666666666</v>
      </c>
      <c r="Q425" s="108">
        <f t="shared" si="262"/>
        <v>10812.316666666666</v>
      </c>
      <c r="R425" s="3">
        <v>112.07</v>
      </c>
      <c r="S425" s="87">
        <v>107.61</v>
      </c>
      <c r="T425" s="124">
        <v>119.03</v>
      </c>
      <c r="U425" s="63">
        <f t="shared" si="263"/>
        <v>112.90333333333335</v>
      </c>
      <c r="V425" s="111">
        <f t="shared" si="264"/>
        <v>10274.203333333335</v>
      </c>
      <c r="W425" s="64">
        <f t="shared" si="265"/>
        <v>119.94516666666665</v>
      </c>
      <c r="X425" s="65">
        <f t="shared" si="266"/>
        <v>43899.930999999997</v>
      </c>
    </row>
    <row r="426" spans="1:24" ht="16.5" thickBot="1" x14ac:dyDescent="0.3">
      <c r="A426" s="50" t="s">
        <v>142</v>
      </c>
      <c r="B426" s="34"/>
      <c r="C426" s="3">
        <v>0</v>
      </c>
      <c r="D426" s="3">
        <v>0</v>
      </c>
      <c r="E426" s="3">
        <v>0</v>
      </c>
      <c r="F426" s="67">
        <f t="shared" si="258"/>
        <v>0</v>
      </c>
      <c r="G426" s="110">
        <f>SUM(F426*92)</f>
        <v>0</v>
      </c>
      <c r="H426" s="3">
        <v>0</v>
      </c>
      <c r="I426" s="3">
        <v>0</v>
      </c>
      <c r="J426" s="3">
        <v>0</v>
      </c>
      <c r="K426" s="67">
        <f t="shared" si="259"/>
        <v>0</v>
      </c>
      <c r="L426" s="108">
        <f t="shared" si="260"/>
        <v>0</v>
      </c>
      <c r="M426" s="3">
        <v>0</v>
      </c>
      <c r="N426" s="87">
        <v>0</v>
      </c>
      <c r="O426" s="87">
        <v>0</v>
      </c>
      <c r="P426" s="67">
        <f t="shared" si="261"/>
        <v>0</v>
      </c>
      <c r="Q426" s="108">
        <f t="shared" si="262"/>
        <v>0</v>
      </c>
      <c r="R426" s="3">
        <v>0</v>
      </c>
      <c r="S426" s="87"/>
      <c r="T426" s="124"/>
      <c r="U426" s="67">
        <f t="shared" si="263"/>
        <v>0</v>
      </c>
      <c r="V426" s="111">
        <f t="shared" si="264"/>
        <v>0</v>
      </c>
      <c r="W426" s="64">
        <f t="shared" si="265"/>
        <v>0</v>
      </c>
      <c r="X426" s="65">
        <f t="shared" si="266"/>
        <v>0</v>
      </c>
    </row>
    <row r="427" spans="1:24" ht="16.5" thickBot="1" x14ac:dyDescent="0.3">
      <c r="A427" s="46" t="s">
        <v>150</v>
      </c>
      <c r="B427" s="35"/>
      <c r="C427" s="80">
        <v>3005</v>
      </c>
      <c r="D427" s="80">
        <v>3023</v>
      </c>
      <c r="E427" s="80">
        <v>3139</v>
      </c>
      <c r="F427" s="68">
        <f t="shared" si="258"/>
        <v>3055.6666666666665</v>
      </c>
      <c r="G427" s="95">
        <f>SUM(3056*92)</f>
        <v>281152</v>
      </c>
      <c r="H427" s="94">
        <f>SUM(H413:H426)</f>
        <v>3277.9150000000004</v>
      </c>
      <c r="I427" s="80">
        <f>SUM(I413:I426)</f>
        <v>3243.5599999999995</v>
      </c>
      <c r="J427" s="80">
        <f>SUM(J413:J426)</f>
        <v>3149.5290000000005</v>
      </c>
      <c r="K427" s="68">
        <f t="shared" si="259"/>
        <v>3223.6680000000001</v>
      </c>
      <c r="L427" s="119">
        <f t="shared" si="260"/>
        <v>296577.45600000001</v>
      </c>
      <c r="M427" s="9">
        <v>3176</v>
      </c>
      <c r="N427" s="80">
        <f>SUM(N413:N426)</f>
        <v>3212.2799999999997</v>
      </c>
      <c r="O427" s="80">
        <f>SUM(O413:O426)</f>
        <v>3230.674</v>
      </c>
      <c r="P427" s="68">
        <f t="shared" si="261"/>
        <v>3206.3179999999998</v>
      </c>
      <c r="Q427" s="119">
        <f t="shared" si="262"/>
        <v>291774.93799999997</v>
      </c>
      <c r="R427" s="94">
        <f>SUM(R413:R426)</f>
        <v>3189.3399999999997</v>
      </c>
      <c r="S427" s="80">
        <f>SUM(S413:S426)</f>
        <v>3119.6069999999995</v>
      </c>
      <c r="T427" s="81">
        <f>SUM(T413:T426)</f>
        <v>3130.7670000000003</v>
      </c>
      <c r="U427" s="68">
        <f t="shared" si="263"/>
        <v>3146.5713333333333</v>
      </c>
      <c r="V427" s="136">
        <f t="shared" si="264"/>
        <v>286337.99133333331</v>
      </c>
      <c r="W427" s="69">
        <v>0</v>
      </c>
      <c r="X427" s="69">
        <f>SUM(X413:X426)</f>
        <v>1164671.0785000001</v>
      </c>
    </row>
    <row r="428" spans="1:24" ht="16.5" thickBot="1" x14ac:dyDescent="0.3">
      <c r="A428" s="46" t="s">
        <v>151</v>
      </c>
      <c r="B428" s="35"/>
      <c r="C428" s="70"/>
      <c r="D428" s="70"/>
      <c r="E428" s="71"/>
      <c r="F428" s="98"/>
      <c r="G428" s="98"/>
      <c r="H428" s="72"/>
      <c r="I428" s="70" t="s">
        <v>251</v>
      </c>
      <c r="J428" s="71"/>
      <c r="K428" s="97"/>
      <c r="L428" s="97"/>
      <c r="M428" s="72"/>
      <c r="N428" s="70"/>
      <c r="O428" s="71"/>
      <c r="P428" s="97"/>
      <c r="Q428" s="97"/>
      <c r="R428" s="72"/>
      <c r="S428" s="70"/>
      <c r="T428" s="71"/>
      <c r="U428" s="71"/>
      <c r="V428" s="70"/>
      <c r="W428" s="96"/>
      <c r="X428" s="69" t="s">
        <v>0</v>
      </c>
    </row>
    <row r="429" spans="1:24" ht="16.5" thickBot="1" x14ac:dyDescent="0.3">
      <c r="A429" s="49" t="s">
        <v>143</v>
      </c>
      <c r="B429" s="33"/>
      <c r="C429" s="73">
        <v>668</v>
      </c>
      <c r="D429" s="73">
        <v>661</v>
      </c>
      <c r="E429" s="73">
        <v>682</v>
      </c>
      <c r="F429" s="63">
        <f t="shared" ref="F429:F435" si="267">SUM(C429:E429)/3</f>
        <v>670.33333333333337</v>
      </c>
      <c r="G429" s="108">
        <f>SUM(670*92)</f>
        <v>61640</v>
      </c>
      <c r="H429" s="6">
        <v>685</v>
      </c>
      <c r="I429" s="6">
        <v>686</v>
      </c>
      <c r="J429" s="6">
        <v>683</v>
      </c>
      <c r="K429" s="63">
        <f t="shared" ref="K429:K436" si="268">SUM(H429:J429)/3</f>
        <v>684.66666666666663</v>
      </c>
      <c r="L429" s="108">
        <f t="shared" ref="L429:L435" si="269">K429*92</f>
        <v>62989.333333333328</v>
      </c>
      <c r="M429" s="6">
        <v>696</v>
      </c>
      <c r="N429" s="73">
        <v>707</v>
      </c>
      <c r="O429" s="73">
        <v>705</v>
      </c>
      <c r="P429" s="63">
        <f t="shared" ref="P429:P436" si="270">SUM(M429:O429)/3</f>
        <v>702.66666666666663</v>
      </c>
      <c r="Q429" s="108">
        <f t="shared" ref="Q429:Q435" si="271">P429*91</f>
        <v>63942.666666666664</v>
      </c>
      <c r="R429" s="6">
        <v>688</v>
      </c>
      <c r="S429" s="73">
        <v>684</v>
      </c>
      <c r="T429" s="7">
        <v>619</v>
      </c>
      <c r="U429" s="63">
        <f t="shared" ref="U429:U436" si="272">SUM(R429:T429)/3</f>
        <v>663.66666666666663</v>
      </c>
      <c r="V429" s="111">
        <f t="shared" ref="V429:V435" si="273">U429*91</f>
        <v>60393.666666666664</v>
      </c>
      <c r="W429" s="64">
        <f t="shared" ref="W429:W434" si="274">SUM(C429+D429+E429+H429+I429+J429+M429+N429+O429+R429+S429+T429)/12</f>
        <v>680.33333333333337</v>
      </c>
      <c r="X429" s="65">
        <f>W429*365</f>
        <v>248321.66666666669</v>
      </c>
    </row>
    <row r="430" spans="1:24" ht="16.5" thickBot="1" x14ac:dyDescent="0.3">
      <c r="A430" s="50" t="s">
        <v>144</v>
      </c>
      <c r="B430" s="34"/>
      <c r="C430" s="75">
        <v>31</v>
      </c>
      <c r="D430" s="75">
        <v>33</v>
      </c>
      <c r="E430" s="75">
        <v>28</v>
      </c>
      <c r="F430" s="63">
        <f t="shared" si="267"/>
        <v>30.666666666666668</v>
      </c>
      <c r="G430" s="109">
        <f>SUM(31*92)</f>
        <v>2852</v>
      </c>
      <c r="H430" s="5">
        <v>30</v>
      </c>
      <c r="I430" s="5">
        <v>32</v>
      </c>
      <c r="J430" s="5">
        <v>27</v>
      </c>
      <c r="K430" s="63">
        <f t="shared" si="268"/>
        <v>29.666666666666668</v>
      </c>
      <c r="L430" s="108">
        <f t="shared" si="269"/>
        <v>2729.3333333333335</v>
      </c>
      <c r="M430" s="5">
        <v>26</v>
      </c>
      <c r="N430" s="75">
        <v>25</v>
      </c>
      <c r="O430" s="75">
        <v>21</v>
      </c>
      <c r="P430" s="63">
        <f t="shared" si="270"/>
        <v>24</v>
      </c>
      <c r="Q430" s="108">
        <f t="shared" si="271"/>
        <v>2184</v>
      </c>
      <c r="R430" s="5">
        <v>20</v>
      </c>
      <c r="S430" s="75">
        <v>23</v>
      </c>
      <c r="T430" s="8">
        <v>20</v>
      </c>
      <c r="U430" s="63">
        <f t="shared" si="272"/>
        <v>21</v>
      </c>
      <c r="V430" s="111">
        <f t="shared" si="273"/>
        <v>1911</v>
      </c>
      <c r="W430" s="64">
        <f t="shared" si="274"/>
        <v>26.333333333333332</v>
      </c>
      <c r="X430" s="66">
        <f>W430*122</f>
        <v>3212.6666666666665</v>
      </c>
    </row>
    <row r="431" spans="1:24" ht="16.5" thickBot="1" x14ac:dyDescent="0.3">
      <c r="A431" s="50" t="s">
        <v>146</v>
      </c>
      <c r="B431" s="34"/>
      <c r="C431" s="75">
        <v>34</v>
      </c>
      <c r="D431" s="75">
        <v>33</v>
      </c>
      <c r="E431" s="75">
        <v>38</v>
      </c>
      <c r="F431" s="63">
        <f t="shared" si="267"/>
        <v>35</v>
      </c>
      <c r="G431" s="109">
        <f>SUM(35*92)</f>
        <v>3220</v>
      </c>
      <c r="H431" s="5">
        <v>34</v>
      </c>
      <c r="I431" s="5">
        <v>32</v>
      </c>
      <c r="J431" s="5">
        <v>31</v>
      </c>
      <c r="K431" s="63">
        <f t="shared" si="268"/>
        <v>32.333333333333336</v>
      </c>
      <c r="L431" s="108">
        <f t="shared" si="269"/>
        <v>2974.666666666667</v>
      </c>
      <c r="M431" s="5">
        <v>28</v>
      </c>
      <c r="N431" s="75">
        <v>28</v>
      </c>
      <c r="O431" s="75">
        <v>33</v>
      </c>
      <c r="P431" s="63">
        <f t="shared" si="270"/>
        <v>29.666666666666668</v>
      </c>
      <c r="Q431" s="108">
        <f t="shared" si="271"/>
        <v>2699.666666666667</v>
      </c>
      <c r="R431" s="5">
        <v>35</v>
      </c>
      <c r="S431" s="75">
        <v>28</v>
      </c>
      <c r="T431" s="8">
        <v>28</v>
      </c>
      <c r="U431" s="63">
        <f t="shared" si="272"/>
        <v>30.333333333333332</v>
      </c>
      <c r="V431" s="111">
        <f t="shared" si="273"/>
        <v>2760.333333333333</v>
      </c>
      <c r="W431" s="64">
        <f t="shared" si="274"/>
        <v>31.833333333333332</v>
      </c>
      <c r="X431" s="66">
        <f>W431*365</f>
        <v>11619.166666666666</v>
      </c>
    </row>
    <row r="432" spans="1:24" ht="16.5" thickBot="1" x14ac:dyDescent="0.3">
      <c r="A432" s="50" t="s">
        <v>145</v>
      </c>
      <c r="B432" s="34"/>
      <c r="C432" s="75">
        <v>160</v>
      </c>
      <c r="D432" s="75">
        <v>154</v>
      </c>
      <c r="E432" s="75">
        <v>152</v>
      </c>
      <c r="F432" s="63">
        <f t="shared" si="267"/>
        <v>155.33333333333334</v>
      </c>
      <c r="G432" s="109">
        <f>SUM(155*92)</f>
        <v>14260</v>
      </c>
      <c r="H432" s="5">
        <v>163</v>
      </c>
      <c r="I432" s="5">
        <v>164</v>
      </c>
      <c r="J432" s="5">
        <v>144</v>
      </c>
      <c r="K432" s="63">
        <f t="shared" si="268"/>
        <v>157</v>
      </c>
      <c r="L432" s="108">
        <f t="shared" si="269"/>
        <v>14444</v>
      </c>
      <c r="M432" s="5">
        <v>137</v>
      </c>
      <c r="N432" s="75">
        <v>135</v>
      </c>
      <c r="O432" s="75">
        <v>139</v>
      </c>
      <c r="P432" s="63">
        <f t="shared" si="270"/>
        <v>137</v>
      </c>
      <c r="Q432" s="108">
        <f t="shared" si="271"/>
        <v>12467</v>
      </c>
      <c r="R432" s="5">
        <v>156</v>
      </c>
      <c r="S432" s="75">
        <v>157</v>
      </c>
      <c r="T432" s="8">
        <v>131</v>
      </c>
      <c r="U432" s="63">
        <f t="shared" si="272"/>
        <v>148</v>
      </c>
      <c r="V432" s="111">
        <f t="shared" si="273"/>
        <v>13468</v>
      </c>
      <c r="W432" s="64">
        <f t="shared" si="274"/>
        <v>149.33333333333334</v>
      </c>
      <c r="X432" s="66">
        <f>W432*61</f>
        <v>9109.3333333333339</v>
      </c>
    </row>
    <row r="433" spans="1:24" ht="16.5" thickBot="1" x14ac:dyDescent="0.3">
      <c r="A433" s="50" t="s">
        <v>147</v>
      </c>
      <c r="B433" s="34"/>
      <c r="C433" s="75">
        <v>653</v>
      </c>
      <c r="D433" s="75">
        <v>650</v>
      </c>
      <c r="E433" s="75">
        <v>649</v>
      </c>
      <c r="F433" s="63">
        <f t="shared" si="267"/>
        <v>650.66666666666663</v>
      </c>
      <c r="G433" s="109">
        <f>SUM(651*92)</f>
        <v>59892</v>
      </c>
      <c r="H433" s="5">
        <v>647</v>
      </c>
      <c r="I433" s="5">
        <v>666</v>
      </c>
      <c r="J433" s="5">
        <v>685</v>
      </c>
      <c r="K433" s="63">
        <f t="shared" si="268"/>
        <v>666</v>
      </c>
      <c r="L433" s="108">
        <f t="shared" si="269"/>
        <v>61272</v>
      </c>
      <c r="M433" s="5">
        <v>705</v>
      </c>
      <c r="N433" s="75">
        <v>703</v>
      </c>
      <c r="O433" s="75">
        <v>701</v>
      </c>
      <c r="P433" s="63">
        <f t="shared" si="270"/>
        <v>703</v>
      </c>
      <c r="Q433" s="108">
        <f t="shared" si="271"/>
        <v>63973</v>
      </c>
      <c r="R433" s="5">
        <v>698</v>
      </c>
      <c r="S433" s="75">
        <v>698</v>
      </c>
      <c r="T433" s="8">
        <v>685</v>
      </c>
      <c r="U433" s="63">
        <f t="shared" si="272"/>
        <v>693.66666666666663</v>
      </c>
      <c r="V433" s="111">
        <f t="shared" si="273"/>
        <v>63123.666666666664</v>
      </c>
      <c r="W433" s="64">
        <f t="shared" si="274"/>
        <v>678.33333333333337</v>
      </c>
      <c r="X433" s="66">
        <f>W433*365</f>
        <v>247591.66666666669</v>
      </c>
    </row>
    <row r="434" spans="1:24" ht="16.5" thickBot="1" x14ac:dyDescent="0.3">
      <c r="A434" s="50" t="s">
        <v>148</v>
      </c>
      <c r="B434" s="34"/>
      <c r="C434" s="75">
        <v>22</v>
      </c>
      <c r="D434" s="75">
        <v>22</v>
      </c>
      <c r="E434" s="75">
        <v>22</v>
      </c>
      <c r="F434" s="63">
        <f t="shared" si="267"/>
        <v>22</v>
      </c>
      <c r="G434" s="109">
        <f>SUM(22*92)</f>
        <v>2024</v>
      </c>
      <c r="H434" s="5">
        <v>22</v>
      </c>
      <c r="I434" s="5">
        <v>21</v>
      </c>
      <c r="J434" s="5">
        <v>21</v>
      </c>
      <c r="K434" s="63">
        <f t="shared" si="268"/>
        <v>21.333333333333332</v>
      </c>
      <c r="L434" s="108">
        <f t="shared" si="269"/>
        <v>1962.6666666666665</v>
      </c>
      <c r="M434" s="5">
        <v>20</v>
      </c>
      <c r="N434" s="75">
        <v>20</v>
      </c>
      <c r="O434" s="75">
        <v>21</v>
      </c>
      <c r="P434" s="63">
        <f t="shared" si="270"/>
        <v>20.333333333333332</v>
      </c>
      <c r="Q434" s="108">
        <f t="shared" si="271"/>
        <v>1850.3333333333333</v>
      </c>
      <c r="R434" s="5">
        <v>21</v>
      </c>
      <c r="S434" s="75">
        <v>21</v>
      </c>
      <c r="T434" s="8">
        <v>21</v>
      </c>
      <c r="U434" s="63">
        <f t="shared" si="272"/>
        <v>21</v>
      </c>
      <c r="V434" s="111">
        <f t="shared" si="273"/>
        <v>1911</v>
      </c>
      <c r="W434" s="64">
        <f t="shared" si="274"/>
        <v>21.166666666666668</v>
      </c>
      <c r="X434" s="66">
        <f>W434*365</f>
        <v>7725.8333333333339</v>
      </c>
    </row>
    <row r="435" spans="1:24" ht="16.5" thickBot="1" x14ac:dyDescent="0.3">
      <c r="A435" s="53" t="s">
        <v>152</v>
      </c>
      <c r="B435" s="37"/>
      <c r="C435" s="80">
        <f>SUM(C429:C434)</f>
        <v>1568</v>
      </c>
      <c r="D435" s="80">
        <f>SUM(D429:D434)</f>
        <v>1553</v>
      </c>
      <c r="E435" s="80">
        <f>SUM(E429:E434)</f>
        <v>1571</v>
      </c>
      <c r="F435" s="68">
        <f t="shared" si="267"/>
        <v>1564</v>
      </c>
      <c r="G435" s="95">
        <f>SUM(1660*92)</f>
        <v>152720</v>
      </c>
      <c r="H435" s="94">
        <f>SUM(H429:H434)</f>
        <v>1581</v>
      </c>
      <c r="I435" s="80">
        <f>SUM(I429:I434)</f>
        <v>1601</v>
      </c>
      <c r="J435" s="80">
        <f>SUM(J429:J434)</f>
        <v>1591</v>
      </c>
      <c r="K435" s="68">
        <f t="shared" si="268"/>
        <v>1591</v>
      </c>
      <c r="L435" s="119">
        <f t="shared" si="269"/>
        <v>146372</v>
      </c>
      <c r="M435" s="94">
        <f>SUM(M429:M434)</f>
        <v>1612</v>
      </c>
      <c r="N435" s="80">
        <f>SUM(N429:N434)</f>
        <v>1618</v>
      </c>
      <c r="O435" s="80">
        <f>SUM(O429:O434)</f>
        <v>1620</v>
      </c>
      <c r="P435" s="68">
        <f t="shared" si="270"/>
        <v>1616.6666666666667</v>
      </c>
      <c r="Q435" s="119">
        <f t="shared" si="271"/>
        <v>147116.66666666669</v>
      </c>
      <c r="R435" s="94">
        <f>SUM(R429:R434)</f>
        <v>1618</v>
      </c>
      <c r="S435" s="80">
        <f>SUM(S429:S434)</f>
        <v>1611</v>
      </c>
      <c r="T435" s="81">
        <f>SUM(T429:T434)</f>
        <v>1504</v>
      </c>
      <c r="U435" s="68">
        <f t="shared" si="272"/>
        <v>1577.6666666666667</v>
      </c>
      <c r="V435" s="136">
        <f t="shared" si="273"/>
        <v>143567.66666666669</v>
      </c>
      <c r="W435" s="69">
        <f>SUM(W429:W434)</f>
        <v>1587.3333333333337</v>
      </c>
      <c r="X435" s="69">
        <f>SUM(X429:X434)</f>
        <v>527580.33333333337</v>
      </c>
    </row>
    <row r="436" spans="1:24" ht="16.5" thickBot="1" x14ac:dyDescent="0.3">
      <c r="A436" s="54" t="s">
        <v>156</v>
      </c>
      <c r="B436" s="38"/>
      <c r="C436" s="80">
        <f>C427+C435</f>
        <v>4573</v>
      </c>
      <c r="D436" s="80">
        <f>D427+D435</f>
        <v>4576</v>
      </c>
      <c r="E436" s="80">
        <f>E427+E435</f>
        <v>4710</v>
      </c>
      <c r="F436" s="80">
        <f>F427+F435</f>
        <v>4619.6666666666661</v>
      </c>
      <c r="G436" s="68">
        <f>SUM(G427+G435)</f>
        <v>433872</v>
      </c>
      <c r="H436" s="80">
        <f>H427+H435</f>
        <v>4858.9150000000009</v>
      </c>
      <c r="I436" s="80">
        <f>I427+I435</f>
        <v>4844.5599999999995</v>
      </c>
      <c r="J436" s="80">
        <f>J427+J435</f>
        <v>4740.5290000000005</v>
      </c>
      <c r="K436" s="120">
        <f t="shared" si="268"/>
        <v>4814.6680000000006</v>
      </c>
      <c r="L436" s="68">
        <f>SUM(L427+L435)</f>
        <v>442949.45600000001</v>
      </c>
      <c r="M436" s="94">
        <f>M427+M435</f>
        <v>4788</v>
      </c>
      <c r="N436" s="80">
        <f>N427+N435</f>
        <v>4830.28</v>
      </c>
      <c r="O436" s="80">
        <f>O427+O435</f>
        <v>4850.674</v>
      </c>
      <c r="P436" s="99">
        <f t="shared" si="270"/>
        <v>4822.9846666666663</v>
      </c>
      <c r="Q436" s="68">
        <f>SUM(Q427+Q435)</f>
        <v>438891.60466666665</v>
      </c>
      <c r="R436" s="94">
        <f>R427+R435</f>
        <v>4807.34</v>
      </c>
      <c r="S436" s="80">
        <f>S427+S435</f>
        <v>4730.607</v>
      </c>
      <c r="T436" s="81">
        <f>T427+T435</f>
        <v>4634.7669999999998</v>
      </c>
      <c r="U436" s="99">
        <f t="shared" si="272"/>
        <v>4724.2380000000003</v>
      </c>
      <c r="V436" s="68">
        <f>SUM(V427+V435)</f>
        <v>429905.658</v>
      </c>
      <c r="W436" s="80">
        <f>W427+W435</f>
        <v>1587.3333333333337</v>
      </c>
      <c r="X436" s="82">
        <f>X427+X435</f>
        <v>1692251.4118333333</v>
      </c>
    </row>
    <row r="437" spans="1:24" ht="15.75" x14ac:dyDescent="0.25">
      <c r="A437" s="114"/>
      <c r="B437" s="19"/>
      <c r="C437" s="115"/>
      <c r="D437" s="115"/>
      <c r="E437" s="115"/>
      <c r="F437" s="113"/>
      <c r="G437" s="93"/>
      <c r="H437" s="115"/>
      <c r="I437" s="115"/>
      <c r="J437" s="115"/>
      <c r="K437" s="113"/>
      <c r="L437" s="93"/>
      <c r="M437" s="115"/>
      <c r="N437" s="115"/>
      <c r="O437" s="115"/>
      <c r="P437" s="113"/>
      <c r="Q437" s="93"/>
      <c r="R437" s="115"/>
      <c r="S437" s="115"/>
      <c r="T437" s="115"/>
      <c r="U437" s="113"/>
      <c r="V437" s="93"/>
      <c r="W437" s="115"/>
      <c r="X437" s="115"/>
    </row>
    <row r="438" spans="1:24" ht="14.25" x14ac:dyDescent="0.2">
      <c r="A438" s="13"/>
      <c r="C438" s="13"/>
      <c r="D438" s="13"/>
      <c r="E438" s="13"/>
      <c r="F438" s="13"/>
      <c r="G438" s="13"/>
      <c r="H438" s="13"/>
      <c r="I438" s="13"/>
      <c r="J438" s="13"/>
      <c r="K438" s="13"/>
      <c r="L438" s="13"/>
      <c r="M438" s="13"/>
      <c r="N438" s="13"/>
      <c r="O438" s="13"/>
      <c r="P438" s="13"/>
      <c r="Q438" s="13"/>
      <c r="R438" s="13"/>
      <c r="S438" s="13"/>
      <c r="T438" s="13"/>
      <c r="U438" s="13"/>
      <c r="V438" s="13"/>
      <c r="W438" s="13"/>
      <c r="X438" s="13"/>
    </row>
    <row r="439" spans="1:24" ht="14.25" x14ac:dyDescent="0.2">
      <c r="A439" s="13"/>
      <c r="C439" s="13"/>
      <c r="D439" s="13"/>
      <c r="E439" s="13"/>
      <c r="F439" s="13"/>
      <c r="G439" s="13"/>
      <c r="H439" s="13"/>
      <c r="I439" s="13"/>
      <c r="J439" s="13"/>
      <c r="K439" s="13"/>
      <c r="L439" s="13"/>
      <c r="M439" s="13"/>
      <c r="N439" s="13"/>
      <c r="O439" s="13"/>
      <c r="P439" s="13"/>
      <c r="Q439" s="13"/>
      <c r="R439" s="13"/>
      <c r="S439" s="13"/>
      <c r="T439" s="13"/>
      <c r="U439" s="13"/>
      <c r="V439" s="13"/>
      <c r="W439" s="13"/>
      <c r="X439" s="13"/>
    </row>
    <row r="440" spans="1:24" ht="16.5" thickBot="1" x14ac:dyDescent="0.25">
      <c r="A440" s="45" t="s">
        <v>155</v>
      </c>
      <c r="B440" s="10"/>
      <c r="C440" s="13"/>
      <c r="D440" s="13"/>
      <c r="E440" s="13"/>
      <c r="F440" s="13"/>
      <c r="G440" s="13"/>
      <c r="H440" s="13"/>
      <c r="I440" s="13"/>
      <c r="J440" s="13"/>
      <c r="K440" s="13"/>
      <c r="L440" s="13"/>
      <c r="M440" s="13"/>
      <c r="N440" s="13"/>
      <c r="O440" s="13"/>
      <c r="P440" s="13"/>
      <c r="Q440" s="13"/>
      <c r="R440" s="13"/>
      <c r="S440" s="13"/>
      <c r="T440" s="13"/>
      <c r="U440" s="13"/>
      <c r="V440" s="13"/>
      <c r="W440" s="13"/>
      <c r="X440" s="13"/>
    </row>
    <row r="441" spans="1:24" ht="15.75" thickBot="1" x14ac:dyDescent="0.3">
      <c r="A441" s="55" t="s">
        <v>260</v>
      </c>
      <c r="B441" s="1200" t="s">
        <v>153</v>
      </c>
      <c r="C441" s="1205"/>
      <c r="D441" s="1205"/>
      <c r="E441" s="1205"/>
      <c r="F441" s="1205"/>
      <c r="G441" s="1205"/>
      <c r="H441" s="1205"/>
      <c r="I441" s="1205"/>
      <c r="J441" s="1205"/>
      <c r="K441" s="1205"/>
      <c r="L441" s="1205"/>
      <c r="M441" s="1205"/>
      <c r="N441" s="1205"/>
      <c r="O441" s="1205"/>
      <c r="P441" s="1205"/>
      <c r="Q441" s="1205"/>
      <c r="R441" s="1205"/>
      <c r="S441" s="1205"/>
      <c r="T441" s="1205"/>
      <c r="U441" s="1205"/>
      <c r="V441" s="39"/>
      <c r="W441" s="92"/>
      <c r="X441" s="13"/>
    </row>
    <row r="442" spans="1:24" ht="15" x14ac:dyDescent="0.25">
      <c r="A442" s="56"/>
      <c r="B442" s="40" t="s">
        <v>261</v>
      </c>
      <c r="C442" s="57"/>
      <c r="D442" s="58"/>
      <c r="E442" s="58"/>
      <c r="F442" s="1192" t="s">
        <v>258</v>
      </c>
      <c r="G442" s="1184" t="s">
        <v>278</v>
      </c>
      <c r="H442" s="58"/>
      <c r="I442" s="58"/>
      <c r="J442" s="58"/>
      <c r="K442" s="1192" t="s">
        <v>258</v>
      </c>
      <c r="L442" s="1184" t="s">
        <v>278</v>
      </c>
      <c r="M442" s="58"/>
      <c r="N442" s="58"/>
      <c r="O442" s="58"/>
      <c r="P442" s="1192" t="s">
        <v>258</v>
      </c>
      <c r="Q442" s="1184" t="s">
        <v>278</v>
      </c>
      <c r="R442" s="58"/>
      <c r="S442" s="58"/>
      <c r="T442" s="59"/>
      <c r="U442" s="1192" t="s">
        <v>258</v>
      </c>
      <c r="V442" s="1184" t="s">
        <v>278</v>
      </c>
      <c r="W442" s="1186" t="s">
        <v>154</v>
      </c>
      <c r="X442" s="1188" t="s">
        <v>155</v>
      </c>
    </row>
    <row r="443" spans="1:24" ht="15.75" thickBot="1" x14ac:dyDescent="0.3">
      <c r="A443" s="47" t="s">
        <v>56</v>
      </c>
      <c r="B443" s="41" t="s">
        <v>262</v>
      </c>
      <c r="C443" s="60">
        <v>37438</v>
      </c>
      <c r="D443" s="61">
        <v>37469</v>
      </c>
      <c r="E443" s="61">
        <v>37500</v>
      </c>
      <c r="F443" s="1193"/>
      <c r="G443" s="1185"/>
      <c r="H443" s="61">
        <v>37530</v>
      </c>
      <c r="I443" s="61">
        <v>37561</v>
      </c>
      <c r="J443" s="61">
        <v>37591</v>
      </c>
      <c r="K443" s="1193"/>
      <c r="L443" s="1185"/>
      <c r="M443" s="61">
        <v>37624</v>
      </c>
      <c r="N443" s="61">
        <v>37655</v>
      </c>
      <c r="O443" s="61">
        <v>37683</v>
      </c>
      <c r="P443" s="1193"/>
      <c r="Q443" s="1185"/>
      <c r="R443" s="61">
        <v>37714</v>
      </c>
      <c r="S443" s="61">
        <v>37744</v>
      </c>
      <c r="T443" s="62">
        <v>37775</v>
      </c>
      <c r="U443" s="1193"/>
      <c r="V443" s="1185"/>
      <c r="W443" s="1187"/>
      <c r="X443" s="1189"/>
    </row>
    <row r="444" spans="1:24" ht="15" x14ac:dyDescent="0.25">
      <c r="A444" s="48" t="s">
        <v>242</v>
      </c>
      <c r="B444" s="42" t="s">
        <v>263</v>
      </c>
      <c r="C444" s="85">
        <v>380</v>
      </c>
      <c r="D444" s="85">
        <v>383.6</v>
      </c>
      <c r="E444" s="85">
        <v>375.3</v>
      </c>
      <c r="F444" s="63">
        <f t="shared" ref="F444:F457" si="275">SUM(C444:E444)/3</f>
        <v>379.63333333333338</v>
      </c>
      <c r="G444" s="108">
        <f>SUM(380*92)</f>
        <v>34960</v>
      </c>
      <c r="H444" s="85">
        <v>384.1</v>
      </c>
      <c r="I444" s="85">
        <v>405.93299999999999</v>
      </c>
      <c r="J444" s="85">
        <v>397.4</v>
      </c>
      <c r="K444" s="63">
        <f t="shared" ref="K444:K457" si="276">SUM(H444:J444)/3</f>
        <v>395.81099999999998</v>
      </c>
      <c r="L444" s="108">
        <f>SUM(396*92)</f>
        <v>36432</v>
      </c>
      <c r="M444" s="85">
        <v>392.4</v>
      </c>
      <c r="N444" s="85">
        <v>416.1</v>
      </c>
      <c r="O444" s="85">
        <v>401.65</v>
      </c>
      <c r="P444" s="63">
        <f t="shared" ref="P444:P457" si="277">SUM(M444:O444)/3</f>
        <v>403.38333333333338</v>
      </c>
      <c r="Q444" s="108">
        <f>SUM(403*90)</f>
        <v>36270</v>
      </c>
      <c r="R444" s="85">
        <v>400</v>
      </c>
      <c r="S444" s="85">
        <v>414.03</v>
      </c>
      <c r="T444" s="88">
        <v>404.8</v>
      </c>
      <c r="U444" s="63">
        <f t="shared" ref="U444:U457" si="278">SUM(R444:T444)/3</f>
        <v>406.27666666666664</v>
      </c>
      <c r="V444" s="111">
        <f>SUM(406*91)</f>
        <v>36946</v>
      </c>
      <c r="W444" s="64">
        <f t="shared" ref="W444:W457" si="279">SUM(C444+D444+E444+H444+I444+J444+M444+N444+O444+R444+S444+T444)/12</f>
        <v>396.27608333333336</v>
      </c>
      <c r="X444" s="65">
        <f>396*365</f>
        <v>144540</v>
      </c>
    </row>
    <row r="445" spans="1:24" ht="15" x14ac:dyDescent="0.25">
      <c r="A445" s="49" t="s">
        <v>138</v>
      </c>
      <c r="B445" s="43" t="s">
        <v>264</v>
      </c>
      <c r="C445" s="86">
        <v>99.129000000000005</v>
      </c>
      <c r="D445" s="86">
        <v>102.42</v>
      </c>
      <c r="E445" s="86">
        <v>97.667000000000002</v>
      </c>
      <c r="F445" s="63">
        <f t="shared" si="275"/>
        <v>99.738666666666674</v>
      </c>
      <c r="G445" s="109">
        <f>SUM(100*92)</f>
        <v>9200</v>
      </c>
      <c r="H445" s="100">
        <v>95</v>
      </c>
      <c r="I445" s="86">
        <v>100.43300000000001</v>
      </c>
      <c r="J445" s="86">
        <v>94.13</v>
      </c>
      <c r="K445" s="63">
        <f t="shared" si="276"/>
        <v>96.521000000000001</v>
      </c>
      <c r="L445" s="109">
        <f>SUM(97*92)</f>
        <v>8924</v>
      </c>
      <c r="M445" s="100">
        <v>102.65</v>
      </c>
      <c r="N445" s="86">
        <v>107.21</v>
      </c>
      <c r="O445" s="86">
        <v>114.13</v>
      </c>
      <c r="P445" s="63">
        <f t="shared" si="277"/>
        <v>107.99666666666667</v>
      </c>
      <c r="Q445" s="109">
        <f>SUM(108*90)</f>
        <v>9720</v>
      </c>
      <c r="R445" s="100">
        <v>111.9</v>
      </c>
      <c r="S445" s="86">
        <v>114.42</v>
      </c>
      <c r="T445" s="89">
        <v>115.67</v>
      </c>
      <c r="U445" s="63">
        <f t="shared" si="278"/>
        <v>113.99666666666667</v>
      </c>
      <c r="V445" s="111">
        <f>SUM(114*91)</f>
        <v>10374</v>
      </c>
      <c r="W445" s="64">
        <f t="shared" si="279"/>
        <v>104.56325000000002</v>
      </c>
      <c r="X445" s="65">
        <f>105*365</f>
        <v>38325</v>
      </c>
    </row>
    <row r="446" spans="1:24" ht="15" x14ac:dyDescent="0.25">
      <c r="A446" s="50" t="s">
        <v>139</v>
      </c>
      <c r="B446" s="44" t="s">
        <v>265</v>
      </c>
      <c r="C446" s="87">
        <v>365.7</v>
      </c>
      <c r="D446" s="87">
        <v>363.1</v>
      </c>
      <c r="E446" s="87">
        <v>373.4</v>
      </c>
      <c r="F446" s="63">
        <f t="shared" si="275"/>
        <v>367.39999999999992</v>
      </c>
      <c r="G446" s="109">
        <f>SUM(367*92)</f>
        <v>33764</v>
      </c>
      <c r="H446" s="101">
        <v>381.6</v>
      </c>
      <c r="I446" s="87">
        <v>392.4</v>
      </c>
      <c r="J446" s="87">
        <v>379.3</v>
      </c>
      <c r="K446" s="63">
        <f t="shared" si="276"/>
        <v>384.43333333333334</v>
      </c>
      <c r="L446" s="109">
        <f>SUM(384*92)</f>
        <v>35328</v>
      </c>
      <c r="M446" s="101">
        <v>383.3</v>
      </c>
      <c r="N446" s="87">
        <v>395.61</v>
      </c>
      <c r="O446" s="87">
        <v>385.32</v>
      </c>
      <c r="P446" s="63">
        <f t="shared" si="277"/>
        <v>388.07666666666665</v>
      </c>
      <c r="Q446" s="109">
        <f>SUM(388*90)</f>
        <v>34920</v>
      </c>
      <c r="R446" s="101">
        <v>396</v>
      </c>
      <c r="S446" s="87">
        <v>393.4</v>
      </c>
      <c r="T446" s="90">
        <v>389.2</v>
      </c>
      <c r="U446" s="63">
        <f t="shared" si="278"/>
        <v>392.86666666666662</v>
      </c>
      <c r="V446" s="111">
        <f>SUM(393*91)</f>
        <v>35763</v>
      </c>
      <c r="W446" s="64">
        <f t="shared" si="279"/>
        <v>383.19416666666666</v>
      </c>
      <c r="X446" s="66">
        <f>383*365</f>
        <v>139795</v>
      </c>
    </row>
    <row r="447" spans="1:24" ht="15" x14ac:dyDescent="0.25">
      <c r="A447" s="50" t="s">
        <v>25</v>
      </c>
      <c r="B447" s="44" t="s">
        <v>266</v>
      </c>
      <c r="C447" s="87">
        <v>196.2</v>
      </c>
      <c r="D447" s="87">
        <v>199</v>
      </c>
      <c r="E447" s="87">
        <v>201.2</v>
      </c>
      <c r="F447" s="63">
        <f t="shared" si="275"/>
        <v>198.79999999999998</v>
      </c>
      <c r="G447" s="109">
        <f>SUM(199*92)</f>
        <v>18308</v>
      </c>
      <c r="H447" s="101">
        <v>205.9</v>
      </c>
      <c r="I447" s="87">
        <v>203.233</v>
      </c>
      <c r="J447" s="87">
        <v>196.52</v>
      </c>
      <c r="K447" s="63">
        <f t="shared" si="276"/>
        <v>201.88433333333333</v>
      </c>
      <c r="L447" s="109">
        <f>SUM(202*92)</f>
        <v>18584</v>
      </c>
      <c r="M447" s="101">
        <v>206.5</v>
      </c>
      <c r="N447" s="87">
        <v>221</v>
      </c>
      <c r="O447" s="87">
        <v>222.16</v>
      </c>
      <c r="P447" s="63">
        <f t="shared" si="277"/>
        <v>216.55333333333331</v>
      </c>
      <c r="Q447" s="109">
        <f>SUM(217*90)</f>
        <v>19530</v>
      </c>
      <c r="R447" s="101">
        <v>222.3</v>
      </c>
      <c r="S447" s="87">
        <v>223.8</v>
      </c>
      <c r="T447" s="90">
        <v>221</v>
      </c>
      <c r="U447" s="63">
        <f t="shared" si="278"/>
        <v>222.36666666666667</v>
      </c>
      <c r="V447" s="111">
        <f>SUM(222*91)</f>
        <v>20202</v>
      </c>
      <c r="W447" s="64">
        <f t="shared" si="279"/>
        <v>209.90108333333333</v>
      </c>
      <c r="X447" s="66">
        <f>210*365</f>
        <v>76650</v>
      </c>
    </row>
    <row r="448" spans="1:24" ht="15" x14ac:dyDescent="0.25">
      <c r="A448" s="51" t="s">
        <v>275</v>
      </c>
      <c r="B448" s="44" t="s">
        <v>267</v>
      </c>
      <c r="C448" s="87">
        <v>266.91000000000003</v>
      </c>
      <c r="D448" s="87">
        <v>275.11</v>
      </c>
      <c r="E448" s="87">
        <v>278.87</v>
      </c>
      <c r="F448" s="63">
        <f t="shared" si="275"/>
        <v>273.63</v>
      </c>
      <c r="G448" s="109">
        <f>SUM(274*92)</f>
        <v>25208</v>
      </c>
      <c r="H448" s="101">
        <v>282.37</v>
      </c>
      <c r="I448" s="87">
        <v>290.96600000000001</v>
      </c>
      <c r="J448" s="87">
        <v>282.60000000000002</v>
      </c>
      <c r="K448" s="63">
        <f t="shared" si="276"/>
        <v>285.31200000000001</v>
      </c>
      <c r="L448" s="109">
        <f>SUM(285*92)</f>
        <v>26220</v>
      </c>
      <c r="M448" s="101">
        <v>280.61</v>
      </c>
      <c r="N448" s="87">
        <v>289.14</v>
      </c>
      <c r="O448" s="87">
        <v>275.02999999999997</v>
      </c>
      <c r="P448" s="63">
        <f t="shared" si="277"/>
        <v>281.59333333333331</v>
      </c>
      <c r="Q448" s="109">
        <f>SUM(282*90)</f>
        <v>25380</v>
      </c>
      <c r="R448" s="101">
        <v>282</v>
      </c>
      <c r="S448" s="87">
        <v>294.23</v>
      </c>
      <c r="T448" s="90">
        <v>301.43</v>
      </c>
      <c r="U448" s="63">
        <f t="shared" si="278"/>
        <v>292.55333333333334</v>
      </c>
      <c r="V448" s="111">
        <f>SUM(293*91)</f>
        <v>26663</v>
      </c>
      <c r="W448" s="64">
        <f t="shared" si="279"/>
        <v>283.27216666666664</v>
      </c>
      <c r="X448" s="66">
        <f>283*365</f>
        <v>103295</v>
      </c>
    </row>
    <row r="449" spans="1:24" ht="15" x14ac:dyDescent="0.25">
      <c r="A449" s="50" t="s">
        <v>16</v>
      </c>
      <c r="B449" s="44" t="s">
        <v>268</v>
      </c>
      <c r="C449" s="87">
        <v>57.77</v>
      </c>
      <c r="D449" s="87">
        <v>61.16</v>
      </c>
      <c r="E449" s="87">
        <v>57.47</v>
      </c>
      <c r="F449" s="63">
        <f t="shared" si="275"/>
        <v>58.800000000000004</v>
      </c>
      <c r="G449" s="109">
        <f>SUM(59*92)</f>
        <v>5428</v>
      </c>
      <c r="H449" s="101">
        <v>54.77</v>
      </c>
      <c r="I449" s="87">
        <v>56.866999999999997</v>
      </c>
      <c r="J449" s="87">
        <v>56.1</v>
      </c>
      <c r="K449" s="63">
        <f t="shared" si="276"/>
        <v>55.912333333333329</v>
      </c>
      <c r="L449" s="109">
        <f>SUM(56*92)</f>
        <v>5152</v>
      </c>
      <c r="M449" s="101">
        <v>60.03</v>
      </c>
      <c r="N449" s="87">
        <v>62.96</v>
      </c>
      <c r="O449" s="87">
        <v>58.9</v>
      </c>
      <c r="P449" s="63">
        <f t="shared" si="277"/>
        <v>60.63</v>
      </c>
      <c r="Q449" s="109">
        <f>SUM(61*90)</f>
        <v>5490</v>
      </c>
      <c r="R449" s="101">
        <v>48.2</v>
      </c>
      <c r="S449" s="87">
        <v>46.2</v>
      </c>
      <c r="T449" s="90">
        <v>47.87</v>
      </c>
      <c r="U449" s="63">
        <f t="shared" si="278"/>
        <v>47.423333333333339</v>
      </c>
      <c r="V449" s="111">
        <f>SUM(47*91)</f>
        <v>4277</v>
      </c>
      <c r="W449" s="64">
        <f t="shared" si="279"/>
        <v>55.691416666666676</v>
      </c>
      <c r="X449" s="66">
        <f>56*365</f>
        <v>20440</v>
      </c>
    </row>
    <row r="450" spans="1:24" ht="15" x14ac:dyDescent="0.25">
      <c r="A450" s="50" t="s">
        <v>17</v>
      </c>
      <c r="B450" s="44" t="s">
        <v>269</v>
      </c>
      <c r="C450" s="87">
        <v>157.1</v>
      </c>
      <c r="D450" s="87">
        <v>170</v>
      </c>
      <c r="E450" s="87">
        <v>181</v>
      </c>
      <c r="F450" s="63">
        <f t="shared" si="275"/>
        <v>169.36666666666667</v>
      </c>
      <c r="G450" s="109">
        <f>SUM(169*92)</f>
        <v>15548</v>
      </c>
      <c r="H450" s="101">
        <v>166.3</v>
      </c>
      <c r="I450" s="87">
        <v>165.63300000000001</v>
      </c>
      <c r="J450" s="87">
        <v>156.30000000000001</v>
      </c>
      <c r="K450" s="63">
        <f t="shared" si="276"/>
        <v>162.74433333333334</v>
      </c>
      <c r="L450" s="109">
        <f>SUM(163*92)</f>
        <v>14996</v>
      </c>
      <c r="M450" s="101">
        <v>170.8</v>
      </c>
      <c r="N450" s="87">
        <v>166.82</v>
      </c>
      <c r="O450" s="87">
        <v>161.35</v>
      </c>
      <c r="P450" s="63">
        <f t="shared" si="277"/>
        <v>166.32333333333335</v>
      </c>
      <c r="Q450" s="109">
        <f>SUM(166*90)</f>
        <v>14940</v>
      </c>
      <c r="R450" s="101">
        <v>161</v>
      </c>
      <c r="S450" s="87">
        <v>161.4</v>
      </c>
      <c r="T450" s="90">
        <v>175.1</v>
      </c>
      <c r="U450" s="63">
        <f t="shared" si="278"/>
        <v>165.83333333333334</v>
      </c>
      <c r="V450" s="111">
        <f>SUM(166*91)</f>
        <v>15106</v>
      </c>
      <c r="W450" s="64">
        <f t="shared" si="279"/>
        <v>166.06691666666666</v>
      </c>
      <c r="X450" s="66">
        <f>166*365</f>
        <v>60590</v>
      </c>
    </row>
    <row r="451" spans="1:24" ht="15" x14ac:dyDescent="0.25">
      <c r="A451" s="50" t="s">
        <v>140</v>
      </c>
      <c r="B451" s="44" t="s">
        <v>270</v>
      </c>
      <c r="C451" s="87">
        <v>77.16</v>
      </c>
      <c r="D451" s="87">
        <v>78.900000000000006</v>
      </c>
      <c r="E451" s="87">
        <v>78.47</v>
      </c>
      <c r="F451" s="63">
        <f t="shared" si="275"/>
        <v>78.176666666666662</v>
      </c>
      <c r="G451" s="109">
        <f>SUM(78*92)</f>
        <v>7176</v>
      </c>
      <c r="H451" s="101">
        <v>80.94</v>
      </c>
      <c r="I451" s="87">
        <v>84.266999999999996</v>
      </c>
      <c r="J451" s="87">
        <v>82.7</v>
      </c>
      <c r="K451" s="63">
        <v>82</v>
      </c>
      <c r="L451" s="109">
        <f>SUM(82*92)</f>
        <v>7544</v>
      </c>
      <c r="M451" s="101">
        <v>82.35</v>
      </c>
      <c r="N451" s="87">
        <v>87</v>
      </c>
      <c r="O451" s="87">
        <v>79.39</v>
      </c>
      <c r="P451" s="63">
        <f t="shared" si="277"/>
        <v>82.913333333333341</v>
      </c>
      <c r="Q451" s="109">
        <f>SUM(83*90)</f>
        <v>7470</v>
      </c>
      <c r="R451" s="101">
        <v>82.9</v>
      </c>
      <c r="S451" s="87">
        <v>80.290000000000006</v>
      </c>
      <c r="T451" s="90">
        <v>77.930000000000007</v>
      </c>
      <c r="U451" s="63">
        <f t="shared" si="278"/>
        <v>80.373333333333335</v>
      </c>
      <c r="V451" s="111">
        <f>SUM(80*91)</f>
        <v>7280</v>
      </c>
      <c r="W451" s="64">
        <f t="shared" si="279"/>
        <v>81.024749999999997</v>
      </c>
      <c r="X451" s="66">
        <f>81*365</f>
        <v>29565</v>
      </c>
    </row>
    <row r="452" spans="1:24" ht="15" x14ac:dyDescent="0.25">
      <c r="A452" s="51" t="s">
        <v>276</v>
      </c>
      <c r="B452" s="44" t="s">
        <v>271</v>
      </c>
      <c r="C452" s="87">
        <v>386</v>
      </c>
      <c r="D452" s="87">
        <v>384.2</v>
      </c>
      <c r="E452" s="87">
        <v>378.4</v>
      </c>
      <c r="F452" s="63">
        <f t="shared" si="275"/>
        <v>382.86666666666662</v>
      </c>
      <c r="G452" s="109">
        <f>SUM(383*92)</f>
        <v>35236</v>
      </c>
      <c r="H452" s="101">
        <v>376.9</v>
      </c>
      <c r="I452" s="87">
        <v>390.8</v>
      </c>
      <c r="J452" s="87">
        <v>374.1</v>
      </c>
      <c r="K452" s="63">
        <f t="shared" si="276"/>
        <v>380.60000000000008</v>
      </c>
      <c r="L452" s="109">
        <f>SUM(381*92)</f>
        <v>35052</v>
      </c>
      <c r="M452" s="101">
        <v>377.9</v>
      </c>
      <c r="N452" s="87">
        <v>391.6</v>
      </c>
      <c r="O452" s="87">
        <v>389.26</v>
      </c>
      <c r="P452" s="63">
        <f t="shared" si="277"/>
        <v>386.25333333333333</v>
      </c>
      <c r="Q452" s="109">
        <f>SUM(386*90)</f>
        <v>34740</v>
      </c>
      <c r="R452" s="101">
        <v>392.3</v>
      </c>
      <c r="S452" s="87">
        <v>383.87</v>
      </c>
      <c r="T452" s="90">
        <v>383.1</v>
      </c>
      <c r="U452" s="63">
        <f t="shared" si="278"/>
        <v>386.42333333333335</v>
      </c>
      <c r="V452" s="111">
        <f>SUM(386*91)</f>
        <v>35126</v>
      </c>
      <c r="W452" s="64">
        <f t="shared" si="279"/>
        <v>384.03583333333336</v>
      </c>
      <c r="X452" s="66">
        <f>384*365</f>
        <v>140160</v>
      </c>
    </row>
    <row r="453" spans="1:24" ht="15" x14ac:dyDescent="0.25">
      <c r="A453" s="50" t="s">
        <v>20</v>
      </c>
      <c r="B453" s="44" t="s">
        <v>272</v>
      </c>
      <c r="C453" s="87">
        <v>481.5</v>
      </c>
      <c r="D453" s="87">
        <v>479.9</v>
      </c>
      <c r="E453" s="87">
        <v>474.7</v>
      </c>
      <c r="F453" s="63">
        <f t="shared" si="275"/>
        <v>478.7</v>
      </c>
      <c r="G453" s="109">
        <f>SUM(479*92)</f>
        <v>44068</v>
      </c>
      <c r="H453" s="101">
        <v>483</v>
      </c>
      <c r="I453" s="87">
        <v>461.9</v>
      </c>
      <c r="J453" s="87">
        <v>463.74200000000002</v>
      </c>
      <c r="K453" s="63">
        <v>469</v>
      </c>
      <c r="L453" s="109">
        <f>SUM(469*92)</f>
        <v>43148</v>
      </c>
      <c r="M453" s="101">
        <v>473.4</v>
      </c>
      <c r="N453" s="87">
        <v>472.3</v>
      </c>
      <c r="O453" s="87">
        <v>484.74</v>
      </c>
      <c r="P453" s="63">
        <f t="shared" si="277"/>
        <v>476.81333333333333</v>
      </c>
      <c r="Q453" s="109">
        <f>SUM(477*90)</f>
        <v>42930</v>
      </c>
      <c r="R453" s="101">
        <v>484.4</v>
      </c>
      <c r="S453" s="87">
        <v>483.03</v>
      </c>
      <c r="T453" s="90">
        <v>481</v>
      </c>
      <c r="U453" s="63">
        <f t="shared" si="278"/>
        <v>482.80999999999995</v>
      </c>
      <c r="V453" s="111">
        <f>SUM(483*91)</f>
        <v>43953</v>
      </c>
      <c r="W453" s="64">
        <f t="shared" si="279"/>
        <v>476.96766666666667</v>
      </c>
      <c r="X453" s="66">
        <f>477*365</f>
        <v>174105</v>
      </c>
    </row>
    <row r="454" spans="1:24" ht="15" x14ac:dyDescent="0.25">
      <c r="A454" s="51" t="s">
        <v>277</v>
      </c>
      <c r="B454" s="44" t="s">
        <v>273</v>
      </c>
      <c r="C454" s="87">
        <v>347.19</v>
      </c>
      <c r="D454" s="87">
        <v>342.11</v>
      </c>
      <c r="E454" s="87">
        <v>351</v>
      </c>
      <c r="F454" s="63">
        <f t="shared" si="275"/>
        <v>346.76666666666665</v>
      </c>
      <c r="G454" s="109">
        <f>SUM(347*92)</f>
        <v>31924</v>
      </c>
      <c r="H454" s="101">
        <v>357</v>
      </c>
      <c r="I454" s="87">
        <v>353.9</v>
      </c>
      <c r="J454" s="87">
        <v>334.61200000000002</v>
      </c>
      <c r="K454" s="63">
        <f t="shared" si="276"/>
        <v>348.50399999999996</v>
      </c>
      <c r="L454" s="109">
        <f>SUM(349*92)</f>
        <v>32108</v>
      </c>
      <c r="M454" s="101">
        <v>349.3</v>
      </c>
      <c r="N454" s="87">
        <v>360.6</v>
      </c>
      <c r="O454" s="87">
        <v>364.49</v>
      </c>
      <c r="P454" s="63">
        <f t="shared" si="277"/>
        <v>358.13000000000005</v>
      </c>
      <c r="Q454" s="109">
        <f>SUM(358*90)</f>
        <v>32220</v>
      </c>
      <c r="R454" s="101">
        <v>355.4</v>
      </c>
      <c r="S454" s="87">
        <v>344.55</v>
      </c>
      <c r="T454" s="90">
        <v>356.1</v>
      </c>
      <c r="U454" s="63">
        <f t="shared" si="278"/>
        <v>352.01666666666671</v>
      </c>
      <c r="V454" s="111">
        <f>SUM(352*91)</f>
        <v>32032</v>
      </c>
      <c r="W454" s="64">
        <f t="shared" si="279"/>
        <v>351.35433333333339</v>
      </c>
      <c r="X454" s="66">
        <f>351*365</f>
        <v>128115</v>
      </c>
    </row>
    <row r="455" spans="1:24" ht="15" x14ac:dyDescent="0.25">
      <c r="A455" s="50" t="s">
        <v>141</v>
      </c>
      <c r="B455" s="44" t="s">
        <v>274</v>
      </c>
      <c r="C455" s="87">
        <v>104.2</v>
      </c>
      <c r="D455" s="87">
        <v>102.51600000000001</v>
      </c>
      <c r="E455" s="87">
        <v>104.3</v>
      </c>
      <c r="F455" s="63">
        <f t="shared" si="275"/>
        <v>103.67200000000001</v>
      </c>
      <c r="G455" s="109">
        <f>SUM(104*92)</f>
        <v>9568</v>
      </c>
      <c r="H455" s="101">
        <v>103.3</v>
      </c>
      <c r="I455" s="87">
        <v>105.667</v>
      </c>
      <c r="J455" s="87">
        <v>112.52</v>
      </c>
      <c r="K455" s="63">
        <f t="shared" si="276"/>
        <v>107.16233333333332</v>
      </c>
      <c r="L455" s="109">
        <f>SUM(107*92)</f>
        <v>9844</v>
      </c>
      <c r="M455" s="101">
        <v>107.9</v>
      </c>
      <c r="N455" s="87">
        <v>115</v>
      </c>
      <c r="O455" s="87">
        <v>114.84</v>
      </c>
      <c r="P455" s="63">
        <f t="shared" si="277"/>
        <v>112.58</v>
      </c>
      <c r="Q455" s="109">
        <f>SUM(113*90)</f>
        <v>10170</v>
      </c>
      <c r="R455" s="101">
        <v>109.533</v>
      </c>
      <c r="S455" s="87">
        <v>112.16</v>
      </c>
      <c r="T455" s="90">
        <v>107.1</v>
      </c>
      <c r="U455" s="63">
        <f t="shared" si="278"/>
        <v>109.59766666666667</v>
      </c>
      <c r="V455" s="111">
        <f>SUM(110*91)</f>
        <v>10010</v>
      </c>
      <c r="W455" s="64">
        <f t="shared" si="279"/>
        <v>108.253</v>
      </c>
      <c r="X455" s="66">
        <f>108*365</f>
        <v>39420</v>
      </c>
    </row>
    <row r="456" spans="1:24" ht="16.5" thickBot="1" x14ac:dyDescent="0.3">
      <c r="A456" s="50" t="s">
        <v>142</v>
      </c>
      <c r="B456" s="34"/>
      <c r="C456" s="87">
        <v>26</v>
      </c>
      <c r="D456" s="87">
        <v>24</v>
      </c>
      <c r="E456" s="87">
        <v>0</v>
      </c>
      <c r="F456" s="67">
        <f t="shared" si="275"/>
        <v>16.666666666666668</v>
      </c>
      <c r="G456" s="110">
        <f>SUM(17*92)</f>
        <v>1564</v>
      </c>
      <c r="H456" s="101">
        <v>0</v>
      </c>
      <c r="I456" s="87">
        <v>0</v>
      </c>
      <c r="J456" s="87">
        <v>0</v>
      </c>
      <c r="K456" s="67">
        <f t="shared" si="276"/>
        <v>0</v>
      </c>
      <c r="L456" s="110">
        <f>SUM(0*92)</f>
        <v>0</v>
      </c>
      <c r="M456" s="101">
        <v>0</v>
      </c>
      <c r="N456" s="87">
        <v>0</v>
      </c>
      <c r="O456" s="87">
        <v>0</v>
      </c>
      <c r="P456" s="67">
        <f t="shared" si="277"/>
        <v>0</v>
      </c>
      <c r="Q456" s="110">
        <f>SUM(0*90)</f>
        <v>0</v>
      </c>
      <c r="R456" s="101">
        <v>0</v>
      </c>
      <c r="S456" s="87">
        <v>0</v>
      </c>
      <c r="T456" s="90">
        <v>0</v>
      </c>
      <c r="U456" s="67">
        <f t="shared" si="278"/>
        <v>0</v>
      </c>
      <c r="V456" s="112">
        <f>SUM(0*91)</f>
        <v>0</v>
      </c>
      <c r="W456" s="64">
        <f t="shared" si="279"/>
        <v>4.166666666666667</v>
      </c>
      <c r="X456" s="66">
        <f>4*365</f>
        <v>1460</v>
      </c>
    </row>
    <row r="457" spans="1:24" ht="16.5" thickBot="1" x14ac:dyDescent="0.3">
      <c r="A457" s="46" t="s">
        <v>150</v>
      </c>
      <c r="B457" s="35"/>
      <c r="C457" s="80">
        <v>2944</v>
      </c>
      <c r="D457" s="80">
        <v>2965</v>
      </c>
      <c r="E457" s="80">
        <v>2951</v>
      </c>
      <c r="F457" s="68">
        <f t="shared" si="275"/>
        <v>2953.3333333333335</v>
      </c>
      <c r="G457" s="95">
        <f>SUM(2953*92)</f>
        <v>271676</v>
      </c>
      <c r="H457" s="94">
        <v>2971</v>
      </c>
      <c r="I457" s="80">
        <v>3012</v>
      </c>
      <c r="J457" s="80">
        <v>2931</v>
      </c>
      <c r="K457" s="68">
        <f t="shared" si="276"/>
        <v>2971.3333333333335</v>
      </c>
      <c r="L457" s="95">
        <f>SUM(2971*92)</f>
        <v>273332</v>
      </c>
      <c r="M457" s="94">
        <v>2987</v>
      </c>
      <c r="N457" s="80">
        <v>3086</v>
      </c>
      <c r="O457" s="80">
        <f>SUM(O444:O456)</f>
        <v>3051.26</v>
      </c>
      <c r="P457" s="68">
        <f t="shared" si="277"/>
        <v>3041.42</v>
      </c>
      <c r="Q457" s="95">
        <f>SUM(3041*90)</f>
        <v>273690</v>
      </c>
      <c r="R457" s="102">
        <v>3044</v>
      </c>
      <c r="S457" s="91">
        <f>SUM(S444:S456)</f>
        <v>3051.38</v>
      </c>
      <c r="T457" s="91">
        <f>SUM(T444:T456)</f>
        <v>3060.2999999999997</v>
      </c>
      <c r="U457" s="68">
        <f t="shared" si="278"/>
        <v>3051.8933333333334</v>
      </c>
      <c r="V457" s="99">
        <f>SUM(V444:V456)</f>
        <v>277732</v>
      </c>
      <c r="W457" s="69">
        <f t="shared" si="279"/>
        <v>3004.4950000000003</v>
      </c>
      <c r="X457" s="69">
        <f>SUM(X444:X456)</f>
        <v>1096460</v>
      </c>
    </row>
    <row r="458" spans="1:24" ht="16.5" thickBot="1" x14ac:dyDescent="0.3">
      <c r="A458" s="46" t="s">
        <v>151</v>
      </c>
      <c r="B458" s="35"/>
      <c r="C458" s="70"/>
      <c r="D458" s="70"/>
      <c r="E458" s="71"/>
      <c r="F458" s="83"/>
      <c r="G458" s="103"/>
      <c r="H458" s="72"/>
      <c r="I458" s="70" t="s">
        <v>251</v>
      </c>
      <c r="J458" s="71"/>
      <c r="K458" s="97"/>
      <c r="L458" s="104"/>
      <c r="M458" s="72"/>
      <c r="N458" s="70"/>
      <c r="O458" s="71"/>
      <c r="P458" s="84"/>
      <c r="Q458" s="97"/>
      <c r="R458" s="72"/>
      <c r="S458" s="70"/>
      <c r="T458" s="71"/>
      <c r="U458" s="97"/>
      <c r="V458" s="97"/>
      <c r="W458" s="106"/>
      <c r="X458" s="105" t="s">
        <v>0</v>
      </c>
    </row>
    <row r="459" spans="1:24" ht="15.75" x14ac:dyDescent="0.25">
      <c r="A459" s="49" t="s">
        <v>143</v>
      </c>
      <c r="B459" s="33"/>
      <c r="C459" s="73">
        <v>686</v>
      </c>
      <c r="D459" s="73">
        <v>686</v>
      </c>
      <c r="E459" s="73">
        <v>603</v>
      </c>
      <c r="F459" s="63">
        <v>659</v>
      </c>
      <c r="G459" s="108">
        <f>SUM(659*92)</f>
        <v>60628</v>
      </c>
      <c r="H459" s="73">
        <v>700</v>
      </c>
      <c r="I459" s="73">
        <v>705</v>
      </c>
      <c r="J459" s="73">
        <v>686</v>
      </c>
      <c r="K459" s="63">
        <f t="shared" ref="K459:K466" si="280">SUM(H459:J459)/3</f>
        <v>697</v>
      </c>
      <c r="L459" s="108">
        <f>SUM(697*92)</f>
        <v>64124</v>
      </c>
      <c r="M459" s="73">
        <v>709</v>
      </c>
      <c r="N459" s="73">
        <v>709</v>
      </c>
      <c r="O459" s="73">
        <v>704</v>
      </c>
      <c r="P459" s="63">
        <f t="shared" ref="P459:P467" si="281">SUM(M459:O459)/3</f>
        <v>707.33333333333337</v>
      </c>
      <c r="Q459" s="108">
        <f>SUM(707*90)</f>
        <v>63630</v>
      </c>
      <c r="R459" s="73">
        <v>688</v>
      </c>
      <c r="S459" s="73">
        <v>690</v>
      </c>
      <c r="T459" s="74">
        <v>688</v>
      </c>
      <c r="U459" s="63">
        <f t="shared" ref="U459:U467" si="282">SUM(R459:T459)/3</f>
        <v>688.66666666666663</v>
      </c>
      <c r="V459" s="111">
        <f>SUM(689*91)</f>
        <v>62699</v>
      </c>
      <c r="W459" s="64">
        <f t="shared" ref="W459:W465" si="283">SUM(C459+D459+E459+H459+I459+J459+M459+N459+O459+R459+S459+T459)/12</f>
        <v>687.83333333333337</v>
      </c>
      <c r="X459" s="65">
        <f>688*365</f>
        <v>251120</v>
      </c>
    </row>
    <row r="460" spans="1:24" ht="15.75" x14ac:dyDescent="0.25">
      <c r="A460" s="50" t="s">
        <v>144</v>
      </c>
      <c r="B460" s="34"/>
      <c r="C460" s="75">
        <v>37</v>
      </c>
      <c r="D460" s="75">
        <v>48</v>
      </c>
      <c r="E460" s="75">
        <v>57</v>
      </c>
      <c r="F460" s="63">
        <f t="shared" ref="F460:F467" si="284">SUM(C460:E460)/3</f>
        <v>47.333333333333336</v>
      </c>
      <c r="G460" s="109">
        <f>SUM(47*92)</f>
        <v>4324</v>
      </c>
      <c r="H460" s="75">
        <v>69</v>
      </c>
      <c r="I460" s="75">
        <v>74</v>
      </c>
      <c r="J460" s="75">
        <v>68</v>
      </c>
      <c r="K460" s="63">
        <f t="shared" si="280"/>
        <v>70.333333333333329</v>
      </c>
      <c r="L460" s="109">
        <f>SUM(70*92)</f>
        <v>6440</v>
      </c>
      <c r="M460" s="75">
        <v>69</v>
      </c>
      <c r="N460" s="75">
        <v>55</v>
      </c>
      <c r="O460" s="75">
        <v>46</v>
      </c>
      <c r="P460" s="63">
        <f t="shared" si="281"/>
        <v>56.666666666666664</v>
      </c>
      <c r="Q460" s="109">
        <f>SUM(57*90)</f>
        <v>5130</v>
      </c>
      <c r="R460" s="75">
        <v>32</v>
      </c>
      <c r="S460" s="75">
        <v>22</v>
      </c>
      <c r="T460" s="76">
        <v>24</v>
      </c>
      <c r="U460" s="63">
        <f t="shared" si="282"/>
        <v>26</v>
      </c>
      <c r="V460" s="111">
        <f>SUM(26*91)</f>
        <v>2366</v>
      </c>
      <c r="W460" s="64">
        <f t="shared" si="283"/>
        <v>50.083333333333336</v>
      </c>
      <c r="X460" s="66">
        <f>50*365</f>
        <v>18250</v>
      </c>
    </row>
    <row r="461" spans="1:24" ht="15.75" x14ac:dyDescent="0.25">
      <c r="A461" s="50" t="s">
        <v>146</v>
      </c>
      <c r="B461" s="34"/>
      <c r="C461" s="75">
        <v>27</v>
      </c>
      <c r="D461" s="75">
        <v>39</v>
      </c>
      <c r="E461" s="75">
        <v>31</v>
      </c>
      <c r="F461" s="63">
        <f t="shared" si="284"/>
        <v>32.333333333333336</v>
      </c>
      <c r="G461" s="109">
        <f>SUM(32*92)</f>
        <v>2944</v>
      </c>
      <c r="H461" s="75">
        <v>42</v>
      </c>
      <c r="I461" s="75">
        <v>35</v>
      </c>
      <c r="J461" s="75">
        <v>34</v>
      </c>
      <c r="K461" s="63">
        <f t="shared" si="280"/>
        <v>37</v>
      </c>
      <c r="L461" s="109">
        <f>SUM(37*92)</f>
        <v>3404</v>
      </c>
      <c r="M461" s="75">
        <v>36</v>
      </c>
      <c r="N461" s="75">
        <v>35</v>
      </c>
      <c r="O461" s="75">
        <v>34</v>
      </c>
      <c r="P461" s="63">
        <f t="shared" si="281"/>
        <v>35</v>
      </c>
      <c r="Q461" s="109">
        <f>SUM(35*90)</f>
        <v>3150</v>
      </c>
      <c r="R461" s="75">
        <v>34</v>
      </c>
      <c r="S461" s="75">
        <v>33</v>
      </c>
      <c r="T461" s="76">
        <v>33</v>
      </c>
      <c r="U461" s="63">
        <f t="shared" si="282"/>
        <v>33.333333333333336</v>
      </c>
      <c r="V461" s="111">
        <f>SUM(33*91)</f>
        <v>3003</v>
      </c>
      <c r="W461" s="64">
        <f t="shared" si="283"/>
        <v>34.416666666666664</v>
      </c>
      <c r="X461" s="66">
        <f>34*365</f>
        <v>12410</v>
      </c>
    </row>
    <row r="462" spans="1:24" ht="15.75" x14ac:dyDescent="0.25">
      <c r="A462" s="50" t="s">
        <v>145</v>
      </c>
      <c r="B462" s="34"/>
      <c r="C462" s="75">
        <v>104</v>
      </c>
      <c r="D462" s="75">
        <v>105</v>
      </c>
      <c r="E462" s="75">
        <v>110</v>
      </c>
      <c r="F462" s="63">
        <v>107</v>
      </c>
      <c r="G462" s="109">
        <f>SUM(107*92)</f>
        <v>9844</v>
      </c>
      <c r="H462" s="75">
        <v>129</v>
      </c>
      <c r="I462" s="75">
        <v>141</v>
      </c>
      <c r="J462" s="75">
        <v>154</v>
      </c>
      <c r="K462" s="63">
        <f t="shared" si="280"/>
        <v>141.33333333333334</v>
      </c>
      <c r="L462" s="109">
        <f>SUM(141*92)</f>
        <v>12972</v>
      </c>
      <c r="M462" s="75">
        <v>167</v>
      </c>
      <c r="N462" s="75">
        <v>159</v>
      </c>
      <c r="O462" s="75">
        <v>155</v>
      </c>
      <c r="P462" s="63">
        <f t="shared" si="281"/>
        <v>160.33333333333334</v>
      </c>
      <c r="Q462" s="109">
        <f>SUM(160*90)</f>
        <v>14400</v>
      </c>
      <c r="R462" s="75">
        <v>171</v>
      </c>
      <c r="S462" s="75">
        <v>159</v>
      </c>
      <c r="T462" s="76">
        <v>136</v>
      </c>
      <c r="U462" s="63">
        <f t="shared" si="282"/>
        <v>155.33333333333334</v>
      </c>
      <c r="V462" s="111">
        <f>SUM(155*91)</f>
        <v>14105</v>
      </c>
      <c r="W462" s="64">
        <f t="shared" si="283"/>
        <v>140.83333333333334</v>
      </c>
      <c r="X462" s="66">
        <f>141*365</f>
        <v>51465</v>
      </c>
    </row>
    <row r="463" spans="1:24" ht="15.75" x14ac:dyDescent="0.25">
      <c r="A463" s="50" t="s">
        <v>147</v>
      </c>
      <c r="B463" s="34"/>
      <c r="C463" s="75">
        <v>601</v>
      </c>
      <c r="D463" s="75">
        <v>597</v>
      </c>
      <c r="E463" s="75">
        <v>621</v>
      </c>
      <c r="F463" s="63">
        <f t="shared" si="284"/>
        <v>606.33333333333337</v>
      </c>
      <c r="G463" s="109">
        <f>SUM(606*92)</f>
        <v>55752</v>
      </c>
      <c r="H463" s="75">
        <v>608</v>
      </c>
      <c r="I463" s="75">
        <v>613</v>
      </c>
      <c r="J463" s="75">
        <v>628</v>
      </c>
      <c r="K463" s="63">
        <v>617</v>
      </c>
      <c r="L463" s="109">
        <f>SUM(617*92)</f>
        <v>56764</v>
      </c>
      <c r="M463" s="75">
        <v>623</v>
      </c>
      <c r="N463" s="75">
        <v>622</v>
      </c>
      <c r="O463" s="75">
        <v>650</v>
      </c>
      <c r="P463" s="63">
        <f t="shared" si="281"/>
        <v>631.66666666666663</v>
      </c>
      <c r="Q463" s="109">
        <f>SUM(632*90)</f>
        <v>56880</v>
      </c>
      <c r="R463" s="75">
        <v>642</v>
      </c>
      <c r="S463" s="75">
        <v>637</v>
      </c>
      <c r="T463" s="76">
        <v>648</v>
      </c>
      <c r="U463" s="63">
        <f t="shared" si="282"/>
        <v>642.33333333333337</v>
      </c>
      <c r="V463" s="111">
        <f>SUM(642*91)</f>
        <v>58422</v>
      </c>
      <c r="W463" s="64">
        <f t="shared" si="283"/>
        <v>624.16666666666663</v>
      </c>
      <c r="X463" s="66">
        <f>624*365</f>
        <v>227760</v>
      </c>
    </row>
    <row r="464" spans="1:24" ht="15.75" x14ac:dyDescent="0.25">
      <c r="A464" s="50" t="s">
        <v>148</v>
      </c>
      <c r="B464" s="34"/>
      <c r="C464" s="75">
        <v>24</v>
      </c>
      <c r="D464" s="75">
        <v>24</v>
      </c>
      <c r="E464" s="75">
        <v>24</v>
      </c>
      <c r="F464" s="63">
        <f t="shared" si="284"/>
        <v>24</v>
      </c>
      <c r="G464" s="109">
        <f>SUM(24*92)</f>
        <v>2208</v>
      </c>
      <c r="H464" s="75">
        <v>23</v>
      </c>
      <c r="I464" s="75">
        <v>23</v>
      </c>
      <c r="J464" s="75">
        <v>23</v>
      </c>
      <c r="K464" s="63">
        <f t="shared" si="280"/>
        <v>23</v>
      </c>
      <c r="L464" s="109">
        <f>SUM(23*92)</f>
        <v>2116</v>
      </c>
      <c r="M464" s="75">
        <v>21</v>
      </c>
      <c r="N464" s="75">
        <v>21</v>
      </c>
      <c r="O464" s="75">
        <v>22</v>
      </c>
      <c r="P464" s="63">
        <f t="shared" si="281"/>
        <v>21.333333333333332</v>
      </c>
      <c r="Q464" s="109">
        <f>SUM(21*90)</f>
        <v>1890</v>
      </c>
      <c r="R464" s="75">
        <v>21</v>
      </c>
      <c r="S464" s="75">
        <v>22</v>
      </c>
      <c r="T464" s="76">
        <v>22</v>
      </c>
      <c r="U464" s="63">
        <f t="shared" si="282"/>
        <v>21.666666666666668</v>
      </c>
      <c r="V464" s="111">
        <f>SUM(22*91)</f>
        <v>2002</v>
      </c>
      <c r="W464" s="64">
        <f t="shared" si="283"/>
        <v>22.5</v>
      </c>
      <c r="X464" s="66">
        <f>23*365</f>
        <v>8395</v>
      </c>
    </row>
    <row r="465" spans="1:24" ht="16.5" thickBot="1" x14ac:dyDescent="0.3">
      <c r="A465" s="52" t="s">
        <v>149</v>
      </c>
      <c r="B465" s="36"/>
      <c r="C465" s="77">
        <v>101</v>
      </c>
      <c r="D465" s="77">
        <v>106</v>
      </c>
      <c r="E465" s="77">
        <v>93</v>
      </c>
      <c r="F465" s="67">
        <f t="shared" si="284"/>
        <v>100</v>
      </c>
      <c r="G465" s="110">
        <f>SUM(100*92)</f>
        <v>9200</v>
      </c>
      <c r="H465" s="77">
        <v>95</v>
      </c>
      <c r="I465" s="77">
        <v>101</v>
      </c>
      <c r="J465" s="77">
        <v>90</v>
      </c>
      <c r="K465" s="67">
        <f t="shared" si="280"/>
        <v>95.333333333333329</v>
      </c>
      <c r="L465" s="110">
        <f>SUM(95*92)</f>
        <v>8740</v>
      </c>
      <c r="M465" s="77">
        <v>84</v>
      </c>
      <c r="N465" s="77">
        <v>84</v>
      </c>
      <c r="O465" s="77">
        <v>86</v>
      </c>
      <c r="P465" s="67">
        <f t="shared" si="281"/>
        <v>84.666666666666671</v>
      </c>
      <c r="Q465" s="110">
        <f>SUM(85*90)</f>
        <v>7650</v>
      </c>
      <c r="R465" s="77">
        <v>86</v>
      </c>
      <c r="S465" s="77">
        <v>102</v>
      </c>
      <c r="T465" s="78">
        <v>100</v>
      </c>
      <c r="U465" s="67">
        <f t="shared" si="282"/>
        <v>96</v>
      </c>
      <c r="V465" s="112">
        <f>SUM(96*91)</f>
        <v>8736</v>
      </c>
      <c r="W465" s="64">
        <f t="shared" si="283"/>
        <v>94</v>
      </c>
      <c r="X465" s="79">
        <f>94*365</f>
        <v>34310</v>
      </c>
    </row>
    <row r="466" spans="1:24" ht="16.5" thickBot="1" x14ac:dyDescent="0.3">
      <c r="A466" s="53" t="s">
        <v>152</v>
      </c>
      <c r="B466" s="37"/>
      <c r="C466" s="80">
        <f>SUM(C459:C465)</f>
        <v>1580</v>
      </c>
      <c r="D466" s="80">
        <f>SUM(D459:D465)</f>
        <v>1605</v>
      </c>
      <c r="E466" s="80">
        <f>SUM(E459:E465)</f>
        <v>1539</v>
      </c>
      <c r="F466" s="68">
        <f t="shared" si="284"/>
        <v>1574.6666666666667</v>
      </c>
      <c r="G466" s="95">
        <f>SUM(G459:G465)</f>
        <v>144900</v>
      </c>
      <c r="H466" s="80">
        <f>SUM(H459:H465)</f>
        <v>1666</v>
      </c>
      <c r="I466" s="80">
        <f>SUM(I459:I465)</f>
        <v>1692</v>
      </c>
      <c r="J466" s="80">
        <f>SUM(J459:J465)</f>
        <v>1683</v>
      </c>
      <c r="K466" s="68">
        <f t="shared" si="280"/>
        <v>1680.3333333333333</v>
      </c>
      <c r="L466" s="95">
        <f>SUM(1680*92)</f>
        <v>154560</v>
      </c>
      <c r="M466" s="80">
        <f>SUM(M459:M465)</f>
        <v>1709</v>
      </c>
      <c r="N466" s="80">
        <f>SUM(N459:N465)</f>
        <v>1685</v>
      </c>
      <c r="O466" s="80">
        <f>SUM(O459:O465)</f>
        <v>1697</v>
      </c>
      <c r="P466" s="68">
        <f t="shared" si="281"/>
        <v>1697</v>
      </c>
      <c r="Q466" s="95">
        <f>SUM(1697*90)</f>
        <v>152730</v>
      </c>
      <c r="R466" s="80">
        <f>SUM(R459:R465)</f>
        <v>1674</v>
      </c>
      <c r="S466" s="80">
        <f>SUM(S459:S465)</f>
        <v>1665</v>
      </c>
      <c r="T466" s="81">
        <f>SUM(T459:T465)</f>
        <v>1651</v>
      </c>
      <c r="U466" s="68">
        <f t="shared" si="282"/>
        <v>1663.3333333333333</v>
      </c>
      <c r="V466" s="99">
        <f>SUM(1663*91)</f>
        <v>151333</v>
      </c>
      <c r="W466" s="69">
        <f>SUM(W459:W465)</f>
        <v>1653.8333333333335</v>
      </c>
      <c r="X466" s="69">
        <f>SUM(X459:X465)</f>
        <v>603710</v>
      </c>
    </row>
    <row r="467" spans="1:24" ht="16.5" thickBot="1" x14ac:dyDescent="0.3">
      <c r="A467" s="54" t="s">
        <v>156</v>
      </c>
      <c r="B467" s="38"/>
      <c r="C467" s="80">
        <f>C457+C466</f>
        <v>4524</v>
      </c>
      <c r="D467" s="80">
        <f>D457+D466</f>
        <v>4570</v>
      </c>
      <c r="E467" s="80">
        <f>E457+E466</f>
        <v>4490</v>
      </c>
      <c r="F467" s="99">
        <f t="shared" si="284"/>
        <v>4528</v>
      </c>
      <c r="G467" s="107">
        <f>SUM(G457+G466)</f>
        <v>416576</v>
      </c>
      <c r="H467" s="80">
        <f>H457+H466</f>
        <v>4637</v>
      </c>
      <c r="I467" s="80">
        <f>I457+I466</f>
        <v>4704</v>
      </c>
      <c r="J467" s="80">
        <f>J457+J466</f>
        <v>4614</v>
      </c>
      <c r="K467" s="99">
        <v>4651</v>
      </c>
      <c r="L467" s="107">
        <f>SUM(L457+L466)</f>
        <v>427892</v>
      </c>
      <c r="M467" s="80">
        <f>M457+M466</f>
        <v>4696</v>
      </c>
      <c r="N467" s="80">
        <f>N457+N466</f>
        <v>4771</v>
      </c>
      <c r="O467" s="80">
        <f>O457+O466</f>
        <v>4748.26</v>
      </c>
      <c r="P467" s="99">
        <f t="shared" si="281"/>
        <v>4738.42</v>
      </c>
      <c r="Q467" s="107">
        <f>SUM(Q457+Q466)</f>
        <v>426420</v>
      </c>
      <c r="R467" s="80">
        <f>R457+R466</f>
        <v>4718</v>
      </c>
      <c r="S467" s="80">
        <f>S457+S466</f>
        <v>4716.38</v>
      </c>
      <c r="T467" s="81">
        <f>T457+T466</f>
        <v>4711.2999999999993</v>
      </c>
      <c r="U467" s="99">
        <f t="shared" si="282"/>
        <v>4715.2266666666665</v>
      </c>
      <c r="V467" s="68">
        <f>SUM(V457+V466)</f>
        <v>429065</v>
      </c>
      <c r="W467" s="80">
        <f>W457+W466</f>
        <v>4658.3283333333338</v>
      </c>
      <c r="X467" s="82">
        <f>X457+X466</f>
        <v>1700170</v>
      </c>
    </row>
    <row r="468" spans="1:24" ht="14.25" x14ac:dyDescent="0.2">
      <c r="C468" s="13"/>
      <c r="D468" s="13"/>
      <c r="E468" s="13"/>
      <c r="F468" s="13"/>
      <c r="G468" s="13"/>
      <c r="H468" s="13"/>
      <c r="I468" s="13"/>
      <c r="J468" s="13"/>
      <c r="K468" s="13"/>
      <c r="L468" s="13"/>
      <c r="M468" s="13"/>
      <c r="N468" s="13"/>
      <c r="O468" s="13"/>
      <c r="P468" s="13"/>
      <c r="Q468" s="13"/>
      <c r="R468" s="13"/>
      <c r="S468" s="13"/>
      <c r="T468" s="13"/>
      <c r="U468" s="13"/>
      <c r="V468" s="13"/>
      <c r="W468" s="13"/>
      <c r="X468" s="13"/>
    </row>
    <row r="469" spans="1:24" ht="14.25" x14ac:dyDescent="0.2">
      <c r="C469" s="13"/>
      <c r="D469" s="13"/>
      <c r="E469" s="13"/>
      <c r="F469" s="13"/>
      <c r="G469" s="13"/>
      <c r="H469" s="13"/>
      <c r="I469" s="13"/>
      <c r="J469" s="13"/>
      <c r="K469" s="13"/>
      <c r="L469" s="13"/>
      <c r="M469" s="13"/>
      <c r="N469" s="13"/>
      <c r="O469" s="13"/>
      <c r="P469" s="13"/>
      <c r="Q469" s="13"/>
      <c r="R469" s="13"/>
      <c r="S469" s="13"/>
      <c r="T469" s="13"/>
      <c r="U469" s="13"/>
      <c r="V469" s="13"/>
      <c r="W469" s="13"/>
      <c r="X469" s="13"/>
    </row>
  </sheetData>
  <mergeCells count="168">
    <mergeCell ref="B196:T196"/>
    <mergeCell ref="F197:F198"/>
    <mergeCell ref="G197:G198"/>
    <mergeCell ref="K197:K198"/>
    <mergeCell ref="L197:L198"/>
    <mergeCell ref="P197:P198"/>
    <mergeCell ref="Q197:Q198"/>
    <mergeCell ref="V227:V228"/>
    <mergeCell ref="V287:V288"/>
    <mergeCell ref="Q287:Q288"/>
    <mergeCell ref="U197:U198"/>
    <mergeCell ref="V197:V198"/>
    <mergeCell ref="Q227:Q228"/>
    <mergeCell ref="U287:U288"/>
    <mergeCell ref="W197:W198"/>
    <mergeCell ref="V257:V258"/>
    <mergeCell ref="Q257:Q258"/>
    <mergeCell ref="B226:T226"/>
    <mergeCell ref="G227:G228"/>
    <mergeCell ref="L257:L258"/>
    <mergeCell ref="B256:T256"/>
    <mergeCell ref="F257:F258"/>
    <mergeCell ref="G257:G258"/>
    <mergeCell ref="K257:K258"/>
    <mergeCell ref="U257:U258"/>
    <mergeCell ref="L227:L228"/>
    <mergeCell ref="F227:F228"/>
    <mergeCell ref="P227:P228"/>
    <mergeCell ref="P257:P258"/>
    <mergeCell ref="K442:K443"/>
    <mergeCell ref="P442:P443"/>
    <mergeCell ref="U442:U443"/>
    <mergeCell ref="G442:G443"/>
    <mergeCell ref="Q317:Q318"/>
    <mergeCell ref="F347:F348"/>
    <mergeCell ref="Q347:Q348"/>
    <mergeCell ref="G377:G378"/>
    <mergeCell ref="L347:L348"/>
    <mergeCell ref="K411:K412"/>
    <mergeCell ref="P411:P412"/>
    <mergeCell ref="U411:U412"/>
    <mergeCell ref="L411:L412"/>
    <mergeCell ref="Q411:Q412"/>
    <mergeCell ref="Q377:Q378"/>
    <mergeCell ref="F408:F409"/>
    <mergeCell ref="U377:U378"/>
    <mergeCell ref="L317:L318"/>
    <mergeCell ref="P317:P318"/>
    <mergeCell ref="P347:P348"/>
    <mergeCell ref="K347:K348"/>
    <mergeCell ref="X287:X288"/>
    <mergeCell ref="V347:V348"/>
    <mergeCell ref="V442:V443"/>
    <mergeCell ref="Q442:Q443"/>
    <mergeCell ref="L442:L443"/>
    <mergeCell ref="W442:W443"/>
    <mergeCell ref="W411:W412"/>
    <mergeCell ref="B441:U441"/>
    <mergeCell ref="B376:T376"/>
    <mergeCell ref="F411:F412"/>
    <mergeCell ref="U317:U318"/>
    <mergeCell ref="X442:X443"/>
    <mergeCell ref="G411:G412"/>
    <mergeCell ref="F287:F288"/>
    <mergeCell ref="U347:U348"/>
    <mergeCell ref="G347:G348"/>
    <mergeCell ref="X411:X412"/>
    <mergeCell ref="V411:V412"/>
    <mergeCell ref="X317:X318"/>
    <mergeCell ref="B316:T316"/>
    <mergeCell ref="F317:F318"/>
    <mergeCell ref="G317:G318"/>
    <mergeCell ref="K317:K318"/>
    <mergeCell ref="F442:F443"/>
    <mergeCell ref="W377:W378"/>
    <mergeCell ref="K377:K378"/>
    <mergeCell ref="L377:L378"/>
    <mergeCell ref="P377:P378"/>
    <mergeCell ref="B407:T407"/>
    <mergeCell ref="F377:F378"/>
    <mergeCell ref="V377:V378"/>
    <mergeCell ref="L287:L288"/>
    <mergeCell ref="B286:T286"/>
    <mergeCell ref="G287:G288"/>
    <mergeCell ref="K287:K288"/>
    <mergeCell ref="P287:P288"/>
    <mergeCell ref="X347:X348"/>
    <mergeCell ref="X377:X378"/>
    <mergeCell ref="X227:X228"/>
    <mergeCell ref="W317:W318"/>
    <mergeCell ref="W347:W348"/>
    <mergeCell ref="X257:X258"/>
    <mergeCell ref="F168:F169"/>
    <mergeCell ref="G168:G169"/>
    <mergeCell ref="K168:K169"/>
    <mergeCell ref="L168:L169"/>
    <mergeCell ref="P168:P169"/>
    <mergeCell ref="Q168:Q169"/>
    <mergeCell ref="W287:W288"/>
    <mergeCell ref="W227:W228"/>
    <mergeCell ref="W257:W258"/>
    <mergeCell ref="V317:V318"/>
    <mergeCell ref="B346:T346"/>
    <mergeCell ref="W168:W169"/>
    <mergeCell ref="X168:X169"/>
    <mergeCell ref="X197:X198"/>
    <mergeCell ref="U168:U169"/>
    <mergeCell ref="V168:V169"/>
    <mergeCell ref="U227:U228"/>
    <mergeCell ref="K227:K228"/>
    <mergeCell ref="W71:W72"/>
    <mergeCell ref="X71:X72"/>
    <mergeCell ref="U136:U137"/>
    <mergeCell ref="V136:V137"/>
    <mergeCell ref="W136:W137"/>
    <mergeCell ref="X136:X137"/>
    <mergeCell ref="Q136:Q137"/>
    <mergeCell ref="B167:T167"/>
    <mergeCell ref="P105:P106"/>
    <mergeCell ref="Q105:Q106"/>
    <mergeCell ref="B135:T135"/>
    <mergeCell ref="F136:F137"/>
    <mergeCell ref="G136:G137"/>
    <mergeCell ref="K136:K137"/>
    <mergeCell ref="L136:L137"/>
    <mergeCell ref="P136:P137"/>
    <mergeCell ref="W105:W106"/>
    <mergeCell ref="X105:X106"/>
    <mergeCell ref="B70:T70"/>
    <mergeCell ref="F71:F72"/>
    <mergeCell ref="G71:G72"/>
    <mergeCell ref="K71:K72"/>
    <mergeCell ref="L71:L72"/>
    <mergeCell ref="P71:P72"/>
    <mergeCell ref="Q71:Q72"/>
    <mergeCell ref="U105:U106"/>
    <mergeCell ref="V105:V106"/>
    <mergeCell ref="B104:T104"/>
    <mergeCell ref="F105:F106"/>
    <mergeCell ref="G105:G106"/>
    <mergeCell ref="K105:K106"/>
    <mergeCell ref="L105:L106"/>
    <mergeCell ref="U71:U72"/>
    <mergeCell ref="V71:V72"/>
    <mergeCell ref="X35:X36"/>
    <mergeCell ref="Y35:Y36"/>
    <mergeCell ref="B34:U34"/>
    <mergeCell ref="G35:G36"/>
    <mergeCell ref="H35:H36"/>
    <mergeCell ref="L35:L36"/>
    <mergeCell ref="M35:M36"/>
    <mergeCell ref="Q35:Q36"/>
    <mergeCell ref="R35:R36"/>
    <mergeCell ref="C35:C36"/>
    <mergeCell ref="V35:V36"/>
    <mergeCell ref="W35:W36"/>
    <mergeCell ref="W4:W5"/>
    <mergeCell ref="X4:X5"/>
    <mergeCell ref="Y4:Y5"/>
    <mergeCell ref="B3:U3"/>
    <mergeCell ref="C4:C5"/>
    <mergeCell ref="G4:G5"/>
    <mergeCell ref="H4:H5"/>
    <mergeCell ref="L4:L5"/>
    <mergeCell ref="M4:M5"/>
    <mergeCell ref="Q4:Q5"/>
    <mergeCell ref="R4:R5"/>
    <mergeCell ref="V4:V5"/>
  </mergeCells>
  <phoneticPr fontId="21" type="noConversion"/>
  <printOptions horizontalCentered="1"/>
  <pageMargins left="0" right="0" top="0.97" bottom="0.5" header="0.33" footer="0.5"/>
  <pageSetup scale="52" fitToHeight="0"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39997558519241921"/>
    <pageSetUpPr fitToPage="1"/>
  </sheetPr>
  <dimension ref="A1:O71"/>
  <sheetViews>
    <sheetView showGridLines="0" workbookViewId="0">
      <selection activeCell="K24" sqref="K24"/>
    </sheetView>
  </sheetViews>
  <sheetFormatPr defaultColWidth="9.140625" defaultRowHeight="15" x14ac:dyDescent="0.25"/>
  <cols>
    <col min="1" max="1" width="30.140625" style="206" customWidth="1"/>
    <col min="2" max="2" width="7.140625" style="206" bestFit="1" customWidth="1"/>
    <col min="3" max="3" width="8" style="206" bestFit="1" customWidth="1"/>
    <col min="4" max="4" width="8.140625" style="206" bestFit="1" customWidth="1"/>
    <col min="5" max="5" width="7.7109375" style="206" bestFit="1" customWidth="1"/>
    <col min="6" max="6" width="8.28515625" style="206" bestFit="1" customWidth="1"/>
    <col min="7" max="7" width="8.85546875" style="206" customWidth="1"/>
    <col min="8" max="8" width="7.7109375" style="206" bestFit="1" customWidth="1"/>
    <col min="9" max="10" width="8" style="206" bestFit="1" customWidth="1"/>
    <col min="11" max="11" width="8.42578125" style="206" bestFit="1" customWidth="1"/>
    <col min="12" max="12" width="8.28515625" style="206" bestFit="1" customWidth="1"/>
    <col min="13" max="13" width="8.140625" style="206" bestFit="1" customWidth="1"/>
    <col min="14" max="14" width="15.140625" style="206" customWidth="1"/>
    <col min="15" max="15" width="11.85546875" style="206" customWidth="1"/>
    <col min="16" max="16384" width="9.140625" style="206"/>
  </cols>
  <sheetData>
    <row r="1" spans="1:15" ht="31.5" customHeight="1" thickBot="1" x14ac:dyDescent="0.3">
      <c r="A1" s="484" t="s">
        <v>241</v>
      </c>
      <c r="B1" s="1206" t="s">
        <v>923</v>
      </c>
      <c r="C1" s="1207"/>
      <c r="D1" s="1207"/>
      <c r="E1" s="1207"/>
      <c r="F1" s="1207"/>
      <c r="G1" s="1207"/>
      <c r="H1" s="1207"/>
      <c r="I1" s="1207"/>
      <c r="J1" s="1207"/>
      <c r="K1" s="1207"/>
      <c r="L1" s="1207"/>
      <c r="M1" s="1208"/>
      <c r="N1" s="1209" t="s">
        <v>282</v>
      </c>
      <c r="O1" s="1211" t="s">
        <v>283</v>
      </c>
    </row>
    <row r="2" spans="1:15" ht="15.75" thickBot="1" x14ac:dyDescent="0.3">
      <c r="A2" s="485"/>
      <c r="B2" s="486">
        <v>42560</v>
      </c>
      <c r="C2" s="486">
        <v>42591</v>
      </c>
      <c r="D2" s="486">
        <v>42622</v>
      </c>
      <c r="E2" s="486">
        <v>42652</v>
      </c>
      <c r="F2" s="486">
        <v>42683</v>
      </c>
      <c r="G2" s="486">
        <v>42713</v>
      </c>
      <c r="H2" s="486">
        <v>42744</v>
      </c>
      <c r="I2" s="486">
        <v>42775</v>
      </c>
      <c r="J2" s="486">
        <v>42803</v>
      </c>
      <c r="K2" s="486">
        <v>42834</v>
      </c>
      <c r="L2" s="486">
        <v>42864</v>
      </c>
      <c r="M2" s="486">
        <v>42895</v>
      </c>
      <c r="N2" s="1210"/>
      <c r="O2" s="1210"/>
    </row>
    <row r="3" spans="1:15" x14ac:dyDescent="0.25">
      <c r="A3" s="480" t="s">
        <v>281</v>
      </c>
      <c r="B3" s="494">
        <f>'Qtrly''s-Cntsht Book'!D22</f>
        <v>495.61</v>
      </c>
      <c r="C3" s="494">
        <f>'Qtrly''s-Cntsht Book'!E22</f>
        <v>470</v>
      </c>
      <c r="D3" s="494">
        <f>'Qtrly''s-Cntsht Book'!F22</f>
        <v>476</v>
      </c>
      <c r="E3" s="494">
        <f>'Qtrly''s-Cntsht Book'!I22</f>
        <v>430</v>
      </c>
      <c r="F3" s="494">
        <f>'Qtrly''s-Cntsht Book'!J22</f>
        <v>435</v>
      </c>
      <c r="G3" s="494">
        <f>'Qtrly''s-Cntsht Book'!K22</f>
        <v>424</v>
      </c>
      <c r="H3" s="494">
        <f>'Qtrly''s-Cntsht Book'!N22</f>
        <v>412</v>
      </c>
      <c r="I3" s="494">
        <f>'Qtrly''s-Cntsht Book'!O22</f>
        <v>432</v>
      </c>
      <c r="J3" s="494">
        <f>'Qtrly''s-Cntsht Book'!P22</f>
        <v>398</v>
      </c>
      <c r="K3" s="494">
        <f>'Qtrly''s-Cntsht Book'!S22</f>
        <v>408</v>
      </c>
      <c r="L3" s="494">
        <f>'Qtrly''s-Cntsht Book'!T22</f>
        <v>396.97</v>
      </c>
      <c r="M3" s="494">
        <f>'Qtrly''s-Cntsht Book'!U22</f>
        <v>386</v>
      </c>
      <c r="N3" s="489">
        <f>SUM(B3:M3)/12</f>
        <v>430.2983333333334</v>
      </c>
      <c r="O3" s="490">
        <f>'Qtrly''s-Cntsht Book'!Y22</f>
        <v>157058.89166666669</v>
      </c>
    </row>
    <row r="4" spans="1:15" ht="15.75" thickBot="1" x14ac:dyDescent="0.3"/>
    <row r="5" spans="1:15" ht="31.5" customHeight="1" thickBot="1" x14ac:dyDescent="0.3">
      <c r="A5" s="484" t="s">
        <v>241</v>
      </c>
      <c r="B5" s="1214" t="s">
        <v>654</v>
      </c>
      <c r="C5" s="1215"/>
      <c r="D5" s="1215"/>
      <c r="E5" s="1215"/>
      <c r="F5" s="1215"/>
      <c r="G5" s="1215"/>
      <c r="H5" s="1215"/>
      <c r="I5" s="1215"/>
      <c r="J5" s="1215"/>
      <c r="K5" s="1215"/>
      <c r="L5" s="1215"/>
      <c r="M5" s="1216"/>
      <c r="N5" s="1209" t="s">
        <v>282</v>
      </c>
      <c r="O5" s="1211" t="s">
        <v>283</v>
      </c>
    </row>
    <row r="6" spans="1:15" ht="15.75" thickBot="1" x14ac:dyDescent="0.3">
      <c r="A6" s="485"/>
      <c r="B6" s="486">
        <v>42194</v>
      </c>
      <c r="C6" s="486">
        <v>42225</v>
      </c>
      <c r="D6" s="486">
        <v>42256</v>
      </c>
      <c r="E6" s="486">
        <v>42286</v>
      </c>
      <c r="F6" s="486">
        <v>42317</v>
      </c>
      <c r="G6" s="486">
        <v>42347</v>
      </c>
      <c r="H6" s="486">
        <v>42378</v>
      </c>
      <c r="I6" s="486">
        <v>42409</v>
      </c>
      <c r="J6" s="486">
        <v>42438</v>
      </c>
      <c r="K6" s="486">
        <v>42469</v>
      </c>
      <c r="L6" s="486">
        <v>42499</v>
      </c>
      <c r="M6" s="486">
        <v>42530</v>
      </c>
      <c r="N6" s="1210"/>
      <c r="O6" s="1210"/>
    </row>
    <row r="7" spans="1:15" x14ac:dyDescent="0.25">
      <c r="A7" s="480" t="s">
        <v>281</v>
      </c>
      <c r="B7" s="494">
        <f>'Qtrly''s-Cntsht Book'!D53</f>
        <v>672.81</v>
      </c>
      <c r="C7" s="494">
        <f>'Qtrly''s-Cntsht Book'!E53</f>
        <v>677.1</v>
      </c>
      <c r="D7" s="494">
        <f>'Qtrly''s-Cntsht Book'!F53</f>
        <v>681.9</v>
      </c>
      <c r="E7" s="494">
        <f>'Qtrly''s-Cntsht Book'!I53</f>
        <v>648</v>
      </c>
      <c r="F7" s="494">
        <f>'Qtrly''s-Cntsht Book'!J53</f>
        <v>633.63</v>
      </c>
      <c r="G7" s="494">
        <f>'Qtrly''s-Cntsht Book'!K53</f>
        <v>647.29</v>
      </c>
      <c r="H7" s="494">
        <f>'Qtrly''s-Cntsht Book'!N53</f>
        <v>625.64</v>
      </c>
      <c r="I7" s="494">
        <f>'Qtrly''s-Cntsht Book'!O53</f>
        <v>607.83000000000004</v>
      </c>
      <c r="J7" s="494">
        <f>'Qtrly''s-Cntsht Book'!P53</f>
        <v>650</v>
      </c>
      <c r="K7" s="494">
        <f>'Qtrly''s-Cntsht Book'!S53</f>
        <v>627.20000000000005</v>
      </c>
      <c r="L7" s="494">
        <f>'Qtrly''s-Cntsht Book'!T53</f>
        <v>587.65</v>
      </c>
      <c r="M7" s="494">
        <f>'Qtrly''s-Cntsht Book'!U53</f>
        <v>561.73</v>
      </c>
      <c r="N7" s="489">
        <f>SUM(B7:M7)/12</f>
        <v>635.06499999999994</v>
      </c>
      <c r="O7" s="490">
        <f>'Qtrly''s-Cntsht Book'!Y53</f>
        <v>231798.72499999998</v>
      </c>
    </row>
    <row r="8" spans="1:15" ht="15.75" thickBot="1" x14ac:dyDescent="0.3"/>
    <row r="9" spans="1:15" ht="31.5" customHeight="1" thickBot="1" x14ac:dyDescent="0.3">
      <c r="A9" s="484" t="s">
        <v>241</v>
      </c>
      <c r="B9" s="1214" t="s">
        <v>585</v>
      </c>
      <c r="C9" s="1215"/>
      <c r="D9" s="1215"/>
      <c r="E9" s="1215"/>
      <c r="F9" s="1215"/>
      <c r="G9" s="1215"/>
      <c r="H9" s="1215"/>
      <c r="I9" s="1215"/>
      <c r="J9" s="1215"/>
      <c r="K9" s="1215"/>
      <c r="L9" s="1215"/>
      <c r="M9" s="1216"/>
      <c r="N9" s="1209" t="s">
        <v>282</v>
      </c>
      <c r="O9" s="1211" t="s">
        <v>283</v>
      </c>
    </row>
    <row r="10" spans="1:15" ht="15.75" thickBot="1" x14ac:dyDescent="0.3">
      <c r="A10" s="485"/>
      <c r="B10" s="486">
        <v>41829</v>
      </c>
      <c r="C10" s="486">
        <v>41860</v>
      </c>
      <c r="D10" s="486">
        <v>41891</v>
      </c>
      <c r="E10" s="486">
        <v>41921</v>
      </c>
      <c r="F10" s="486">
        <v>41952</v>
      </c>
      <c r="G10" s="486">
        <v>41982</v>
      </c>
      <c r="H10" s="486">
        <v>42013</v>
      </c>
      <c r="I10" s="486">
        <v>42044</v>
      </c>
      <c r="J10" s="486">
        <v>42072</v>
      </c>
      <c r="K10" s="486">
        <v>42103</v>
      </c>
      <c r="L10" s="486">
        <v>42133</v>
      </c>
      <c r="M10" s="486">
        <v>42164</v>
      </c>
      <c r="N10" s="1210"/>
      <c r="O10" s="1210"/>
    </row>
    <row r="11" spans="1:15" x14ac:dyDescent="0.25">
      <c r="A11" s="480" t="s">
        <v>281</v>
      </c>
      <c r="B11" s="494">
        <f>'Qtrly''s-Cntsht Book'!C89</f>
        <v>739.16</v>
      </c>
      <c r="C11" s="494">
        <f>'Qtrly''s-Cntsht Book'!D89</f>
        <v>734</v>
      </c>
      <c r="D11" s="494">
        <f>'Qtrly''s-Cntsht Book'!E89</f>
        <v>727.13</v>
      </c>
      <c r="E11" s="494">
        <f>'Qtrly''s-Cntsht Book'!H89</f>
        <v>708.87</v>
      </c>
      <c r="F11" s="494">
        <f>'Qtrly''s-Cntsht Book'!I89</f>
        <v>686.93</v>
      </c>
      <c r="G11" s="494">
        <f>'Qtrly''s-Cntsht Book'!J89</f>
        <v>643</v>
      </c>
      <c r="H11" s="494">
        <f>'Qtrly''s-Cntsht Book'!M89</f>
        <v>633.03</v>
      </c>
      <c r="I11" s="494">
        <f>'Qtrly''s-Cntsht Book'!N89</f>
        <v>647</v>
      </c>
      <c r="J11" s="494">
        <f>'Qtrly''s-Cntsht Book'!O89</f>
        <v>708.84</v>
      </c>
      <c r="K11" s="494">
        <f>'Qtrly''s-Cntsht Book'!R89</f>
        <v>694.6</v>
      </c>
      <c r="L11" s="494">
        <f>'Qtrly''s-Cntsht Book'!S89</f>
        <v>682.87</v>
      </c>
      <c r="M11" s="494">
        <f>'Qtrly''s-Cntsht Book'!T89</f>
        <v>683.07</v>
      </c>
      <c r="N11" s="489">
        <f>SUM(B11:M11)/12</f>
        <v>690.70833333333337</v>
      </c>
      <c r="O11" s="490">
        <f>'Qtrly''s-Cntsht Book'!X89</f>
        <v>252108.54166666669</v>
      </c>
    </row>
    <row r="12" spans="1:15" ht="15.75" thickBot="1" x14ac:dyDescent="0.3">
      <c r="A12" s="645"/>
      <c r="B12" s="492"/>
      <c r="C12" s="492"/>
      <c r="D12" s="492"/>
      <c r="E12" s="492"/>
      <c r="F12" s="492"/>
      <c r="G12" s="492"/>
      <c r="H12" s="492"/>
      <c r="I12" s="492"/>
      <c r="J12" s="492"/>
      <c r="K12" s="492"/>
      <c r="L12" s="492"/>
      <c r="M12" s="492"/>
      <c r="N12" s="500"/>
      <c r="O12" s="501"/>
    </row>
    <row r="13" spans="1:15" ht="31.5" customHeight="1" thickBot="1" x14ac:dyDescent="0.3">
      <c r="A13" s="484" t="s">
        <v>241</v>
      </c>
      <c r="B13" s="1206" t="s">
        <v>545</v>
      </c>
      <c r="C13" s="1207"/>
      <c r="D13" s="1207"/>
      <c r="E13" s="1207"/>
      <c r="F13" s="1207"/>
      <c r="G13" s="1207"/>
      <c r="H13" s="1207"/>
      <c r="I13" s="1207"/>
      <c r="J13" s="1207"/>
      <c r="K13" s="1207"/>
      <c r="L13" s="1207"/>
      <c r="M13" s="1208"/>
      <c r="N13" s="1209" t="s">
        <v>282</v>
      </c>
      <c r="O13" s="1211" t="s">
        <v>283</v>
      </c>
    </row>
    <row r="14" spans="1:15" ht="15.75" thickBot="1" x14ac:dyDescent="0.3">
      <c r="A14" s="485"/>
      <c r="B14" s="486">
        <v>41464</v>
      </c>
      <c r="C14" s="486">
        <v>41495</v>
      </c>
      <c r="D14" s="486">
        <v>41526</v>
      </c>
      <c r="E14" s="486">
        <v>41556</v>
      </c>
      <c r="F14" s="486">
        <v>41587</v>
      </c>
      <c r="G14" s="486">
        <v>41617</v>
      </c>
      <c r="H14" s="486">
        <v>41648</v>
      </c>
      <c r="I14" s="486">
        <v>41679</v>
      </c>
      <c r="J14" s="486">
        <v>41707</v>
      </c>
      <c r="K14" s="486">
        <v>41738</v>
      </c>
      <c r="L14" s="486">
        <v>41768</v>
      </c>
      <c r="M14" s="486">
        <v>41799</v>
      </c>
      <c r="N14" s="1210"/>
      <c r="O14" s="1210"/>
    </row>
    <row r="15" spans="1:15" x14ac:dyDescent="0.25">
      <c r="A15" s="480" t="s">
        <v>281</v>
      </c>
      <c r="B15" s="494">
        <f>'Qtrly''s-Cntsht Book'!C123</f>
        <v>779.06</v>
      </c>
      <c r="C15" s="494">
        <f>'Qtrly''s-Cntsht Book'!D123</f>
        <v>776.29</v>
      </c>
      <c r="D15" s="494">
        <f>'Qtrly''s-Cntsht Book'!E123</f>
        <v>789.97</v>
      </c>
      <c r="E15" s="494">
        <f>'Qtrly''s-Cntsht Book'!H123</f>
        <v>756.94</v>
      </c>
      <c r="F15" s="494">
        <f>'Qtrly''s-Cntsht Book'!I123</f>
        <v>766.6</v>
      </c>
      <c r="G15" s="494">
        <f>'Qtrly''s-Cntsht Book'!J123</f>
        <v>741.45</v>
      </c>
      <c r="H15" s="494">
        <f>'Qtrly''s-Cntsht Book'!M123</f>
        <v>742.32</v>
      </c>
      <c r="I15" s="494">
        <f>'Qtrly''s-Cntsht Book'!N123</f>
        <v>764</v>
      </c>
      <c r="J15" s="494">
        <f>'Qtrly''s-Cntsht Book'!O123</f>
        <v>776.68</v>
      </c>
      <c r="K15" s="494">
        <f>'Qtrly''s-Cntsht Book'!R123</f>
        <v>753.07</v>
      </c>
      <c r="L15" s="494">
        <f>'Qtrly''s-Cntsht Book'!S123</f>
        <v>741.45</v>
      </c>
      <c r="M15" s="494">
        <f>'Qtrly''s-Cntsht Book'!T123</f>
        <v>739.17</v>
      </c>
      <c r="N15" s="489">
        <f>SUM(B15:M15)/12</f>
        <v>760.58333333333337</v>
      </c>
      <c r="O15" s="490">
        <f>'Qtrly''s-Cntsht Book'!X123</f>
        <v>277612.91666666669</v>
      </c>
    </row>
    <row r="16" spans="1:15" ht="15.75" thickBot="1" x14ac:dyDescent="0.3">
      <c r="A16" s="645"/>
      <c r="B16" s="492"/>
      <c r="C16" s="492"/>
      <c r="D16" s="492"/>
      <c r="E16" s="492"/>
      <c r="F16" s="492"/>
      <c r="G16" s="492"/>
      <c r="H16" s="492"/>
      <c r="I16" s="492"/>
      <c r="J16" s="492"/>
      <c r="K16" s="492"/>
      <c r="L16" s="492"/>
      <c r="M16" s="492"/>
      <c r="N16" s="500"/>
      <c r="O16" s="501"/>
    </row>
    <row r="17" spans="1:15" ht="31.5" customHeight="1" thickBot="1" x14ac:dyDescent="0.3">
      <c r="A17" s="484" t="s">
        <v>241</v>
      </c>
      <c r="B17" s="1214" t="s">
        <v>499</v>
      </c>
      <c r="C17" s="1217"/>
      <c r="D17" s="1217"/>
      <c r="E17" s="1217"/>
      <c r="F17" s="1217"/>
      <c r="G17" s="1217"/>
      <c r="H17" s="1217"/>
      <c r="I17" s="1217"/>
      <c r="J17" s="1217"/>
      <c r="K17" s="1217"/>
      <c r="L17" s="1217"/>
      <c r="M17" s="1218"/>
      <c r="N17" s="1209" t="s">
        <v>282</v>
      </c>
      <c r="O17" s="1211" t="s">
        <v>283</v>
      </c>
    </row>
    <row r="18" spans="1:15" ht="15.75" thickBot="1" x14ac:dyDescent="0.3">
      <c r="A18" s="485"/>
      <c r="B18" s="486">
        <v>41099</v>
      </c>
      <c r="C18" s="486">
        <v>41130</v>
      </c>
      <c r="D18" s="486">
        <v>41161</v>
      </c>
      <c r="E18" s="486">
        <v>41191</v>
      </c>
      <c r="F18" s="486">
        <v>41222</v>
      </c>
      <c r="G18" s="486">
        <v>41252</v>
      </c>
      <c r="H18" s="486">
        <v>41283</v>
      </c>
      <c r="I18" s="486">
        <v>41314</v>
      </c>
      <c r="J18" s="486">
        <v>41342</v>
      </c>
      <c r="K18" s="486">
        <v>41373</v>
      </c>
      <c r="L18" s="486">
        <v>41403</v>
      </c>
      <c r="M18" s="486">
        <v>41434</v>
      </c>
      <c r="N18" s="1213"/>
      <c r="O18" s="1212"/>
    </row>
    <row r="19" spans="1:15" x14ac:dyDescent="0.25">
      <c r="A19" s="480" t="s">
        <v>281</v>
      </c>
      <c r="B19" s="494">
        <f>'Qtrly''s-Cntsht Book'!C154</f>
        <v>750.68</v>
      </c>
      <c r="C19" s="494">
        <f>'Qtrly''s-Cntsht Book'!D154</f>
        <v>754.87</v>
      </c>
      <c r="D19" s="494">
        <f>'Qtrly''s-Cntsht Book'!E154</f>
        <v>733.8</v>
      </c>
      <c r="E19" s="494">
        <f>'Qtrly''s-Cntsht Book'!H154</f>
        <v>732.16</v>
      </c>
      <c r="F19" s="494">
        <f>'Qtrly''s-Cntsht Book'!I154</f>
        <v>769.5</v>
      </c>
      <c r="G19" s="494">
        <f>'Qtrly''s-Cntsht Book'!J154</f>
        <v>753</v>
      </c>
      <c r="H19" s="494">
        <f>'Qtrly''s-Cntsht Book'!M154</f>
        <v>762.26</v>
      </c>
      <c r="I19" s="494">
        <f>'Qtrly''s-Cntsht Book'!N154</f>
        <v>778.68</v>
      </c>
      <c r="J19" s="494">
        <f>'Qtrly''s-Cntsht Book'!O154</f>
        <v>781.61</v>
      </c>
      <c r="K19" s="494">
        <f>'Qtrly''s-Cntsht Book'!R154</f>
        <v>765.3</v>
      </c>
      <c r="L19" s="494">
        <f>'Qtrly''s-Cntsht Book'!S154</f>
        <v>756.16</v>
      </c>
      <c r="M19" s="494">
        <f>'Qtrly''s-Cntsht Book'!T154</f>
        <v>771.93</v>
      </c>
      <c r="N19" s="489">
        <f>SUM(B19:M19)/12</f>
        <v>759.16250000000002</v>
      </c>
      <c r="O19" s="490">
        <f>'Qtrly''s-Cntsht Book'!X154</f>
        <v>277094.3125</v>
      </c>
    </row>
    <row r="20" spans="1:15" ht="15.75" thickBot="1" x14ac:dyDescent="0.3"/>
    <row r="21" spans="1:15" ht="31.5" customHeight="1" thickBot="1" x14ac:dyDescent="0.3">
      <c r="A21" s="484" t="s">
        <v>241</v>
      </c>
      <c r="B21" s="1206" t="s">
        <v>461</v>
      </c>
      <c r="C21" s="1219"/>
      <c r="D21" s="1219"/>
      <c r="E21" s="1219"/>
      <c r="F21" s="1219"/>
      <c r="G21" s="1219"/>
      <c r="H21" s="1219"/>
      <c r="I21" s="1219"/>
      <c r="J21" s="1219"/>
      <c r="K21" s="1219"/>
      <c r="L21" s="1219"/>
      <c r="M21" s="1220"/>
      <c r="N21" s="1209" t="s">
        <v>282</v>
      </c>
      <c r="O21" s="1211" t="s">
        <v>283</v>
      </c>
    </row>
    <row r="22" spans="1:15" ht="15.75" thickBot="1" x14ac:dyDescent="0.3">
      <c r="A22" s="485"/>
      <c r="B22" s="486">
        <v>40733</v>
      </c>
      <c r="C22" s="486">
        <v>40764</v>
      </c>
      <c r="D22" s="486">
        <v>40795</v>
      </c>
      <c r="E22" s="486">
        <v>40825</v>
      </c>
      <c r="F22" s="486">
        <v>40856</v>
      </c>
      <c r="G22" s="486">
        <v>40886</v>
      </c>
      <c r="H22" s="486">
        <v>40917</v>
      </c>
      <c r="I22" s="486">
        <v>40948</v>
      </c>
      <c r="J22" s="486">
        <v>40977</v>
      </c>
      <c r="K22" s="486">
        <v>41008</v>
      </c>
      <c r="L22" s="486">
        <v>41038</v>
      </c>
      <c r="M22" s="486">
        <v>41069</v>
      </c>
      <c r="N22" s="1213"/>
      <c r="O22" s="1212"/>
    </row>
    <row r="23" spans="1:15" x14ac:dyDescent="0.25">
      <c r="A23" s="480" t="s">
        <v>281</v>
      </c>
      <c r="B23" s="494">
        <f>'Qtrly''s-Cntsht Book'!C186</f>
        <v>740</v>
      </c>
      <c r="C23" s="494">
        <f>'Qtrly''s-Cntsht Book'!D186</f>
        <v>749.84</v>
      </c>
      <c r="D23" s="494">
        <f>'Qtrly''s-Cntsht Book'!E186</f>
        <v>737.57</v>
      </c>
      <c r="E23" s="494">
        <f>'Qtrly''s-Cntsht Book'!H186</f>
        <v>743</v>
      </c>
      <c r="F23" s="494">
        <f>'Qtrly''s-Cntsht Book'!I186</f>
        <v>733.03</v>
      </c>
      <c r="G23" s="494">
        <f>'Qtrly''s-Cntsht Book'!J186</f>
        <v>738</v>
      </c>
      <c r="H23" s="494">
        <f>'Qtrly''s-Cntsht Book'!M186</f>
        <v>727.32</v>
      </c>
      <c r="I23" s="494">
        <f>'Qtrly''s-Cntsht Book'!N186</f>
        <v>744.34</v>
      </c>
      <c r="J23" s="494">
        <f>'Qtrly''s-Cntsht Book'!O186</f>
        <v>748.45</v>
      </c>
      <c r="K23" s="494">
        <f>'Qtrly''s-Cntsht Book'!R186</f>
        <v>744.97</v>
      </c>
      <c r="L23" s="494">
        <f>'Qtrly''s-Cntsht Book'!S186</f>
        <v>744.97</v>
      </c>
      <c r="M23" s="494">
        <f>'Qtrly''s-Cntsht Book'!T186</f>
        <v>740.87</v>
      </c>
      <c r="N23" s="489">
        <f>SUM(B23:M23)/12</f>
        <v>741.03000000000009</v>
      </c>
      <c r="O23" s="490">
        <f>'Qtrly''s-Cntsht Book'!X186</f>
        <v>271216.98000000004</v>
      </c>
    </row>
    <row r="24" spans="1:15" ht="15.75" thickBot="1" x14ac:dyDescent="0.3">
      <c r="A24" s="491"/>
      <c r="B24" s="492"/>
      <c r="C24" s="492"/>
      <c r="D24" s="492"/>
      <c r="E24" s="492"/>
      <c r="F24" s="492"/>
      <c r="G24" s="492"/>
      <c r="H24" s="492"/>
      <c r="I24" s="492"/>
      <c r="J24" s="492"/>
      <c r="K24" s="492"/>
      <c r="L24" s="492"/>
      <c r="M24" s="492"/>
      <c r="N24" s="500"/>
      <c r="O24" s="501"/>
    </row>
    <row r="25" spans="1:15" ht="31.5" customHeight="1" thickBot="1" x14ac:dyDescent="0.3">
      <c r="A25" s="484" t="s">
        <v>241</v>
      </c>
      <c r="B25" s="1214" t="s">
        <v>546</v>
      </c>
      <c r="C25" s="1217"/>
      <c r="D25" s="1217"/>
      <c r="E25" s="1217"/>
      <c r="F25" s="1217"/>
      <c r="G25" s="1217"/>
      <c r="H25" s="1217"/>
      <c r="I25" s="1217"/>
      <c r="J25" s="1217"/>
      <c r="K25" s="1217"/>
      <c r="L25" s="1217"/>
      <c r="M25" s="1218"/>
      <c r="N25" s="1209" t="s">
        <v>282</v>
      </c>
      <c r="O25" s="1211" t="s">
        <v>283</v>
      </c>
    </row>
    <row r="26" spans="1:15" ht="15.75" thickBot="1" x14ac:dyDescent="0.3">
      <c r="A26" s="485"/>
      <c r="B26" s="486">
        <v>40368</v>
      </c>
      <c r="C26" s="486">
        <v>40399</v>
      </c>
      <c r="D26" s="486">
        <v>40430</v>
      </c>
      <c r="E26" s="486">
        <v>40460</v>
      </c>
      <c r="F26" s="486">
        <v>40491</v>
      </c>
      <c r="G26" s="486">
        <v>40521</v>
      </c>
      <c r="H26" s="486">
        <v>40552</v>
      </c>
      <c r="I26" s="486">
        <v>40583</v>
      </c>
      <c r="J26" s="486">
        <v>40611</v>
      </c>
      <c r="K26" s="486">
        <v>40642</v>
      </c>
      <c r="L26" s="486">
        <v>40672</v>
      </c>
      <c r="M26" s="486">
        <v>40703</v>
      </c>
      <c r="N26" s="1213"/>
      <c r="O26" s="1212"/>
    </row>
    <row r="27" spans="1:15" x14ac:dyDescent="0.25">
      <c r="A27" s="480" t="s">
        <v>281</v>
      </c>
      <c r="B27" s="494">
        <f>'Qtrly''s-Cntsht Book'!C215</f>
        <v>734.97</v>
      </c>
      <c r="C27" s="494">
        <f>'Qtrly''s-Cntsht Book'!D215</f>
        <v>733.74</v>
      </c>
      <c r="D27" s="494">
        <f>'Qtrly''s-Cntsht Book'!E215</f>
        <v>732.27</v>
      </c>
      <c r="E27" s="494">
        <f>'Qtrly''s-Cntsht Book'!H215</f>
        <v>737.87</v>
      </c>
      <c r="F27" s="494">
        <f>'Qtrly''s-Cntsht Book'!I215</f>
        <v>714</v>
      </c>
      <c r="G27" s="494">
        <f>'Qtrly''s-Cntsht Book'!J215</f>
        <v>713.77</v>
      </c>
      <c r="H27" s="494">
        <f>'Qtrly''s-Cntsht Book'!M215</f>
        <v>723.81</v>
      </c>
      <c r="I27" s="494">
        <f>'Qtrly''s-Cntsht Book'!N215</f>
        <v>730.89</v>
      </c>
      <c r="J27" s="494">
        <f>'Qtrly''s-Cntsht Book'!O215</f>
        <v>737.55</v>
      </c>
      <c r="K27" s="494">
        <f>'Qtrly''s-Cntsht Book'!R215</f>
        <v>751</v>
      </c>
      <c r="L27" s="494">
        <f>'Qtrly''s-Cntsht Book'!S215</f>
        <v>719.4</v>
      </c>
      <c r="M27" s="494">
        <f>'Qtrly''s-Cntsht Book'!T215</f>
        <v>754</v>
      </c>
      <c r="N27" s="489">
        <f>SUM(B27:M27)/12</f>
        <v>731.93916666666667</v>
      </c>
      <c r="O27" s="490">
        <f>'Qtrly''s-Cntsht Book'!X215</f>
        <v>267157.79583333334</v>
      </c>
    </row>
    <row r="28" spans="1:15" ht="12.75" customHeight="1" x14ac:dyDescent="0.25">
      <c r="A28" s="491"/>
      <c r="B28" s="492"/>
      <c r="C28" s="492"/>
      <c r="D28" s="492"/>
      <c r="E28" s="492"/>
      <c r="F28" s="492"/>
      <c r="G28" s="492"/>
      <c r="H28" s="492"/>
      <c r="I28" s="492"/>
      <c r="J28" s="492"/>
      <c r="K28" s="492"/>
      <c r="L28" s="492"/>
      <c r="M28" s="492"/>
      <c r="N28" s="492"/>
      <c r="O28" s="493"/>
    </row>
    <row r="29" spans="1:15" ht="31.5" hidden="1" customHeight="1" thickBot="1" x14ac:dyDescent="0.3">
      <c r="A29" s="484" t="s">
        <v>241</v>
      </c>
      <c r="B29" s="1206" t="s">
        <v>547</v>
      </c>
      <c r="C29" s="1207"/>
      <c r="D29" s="1207"/>
      <c r="E29" s="1207"/>
      <c r="F29" s="1207"/>
      <c r="G29" s="1207"/>
      <c r="H29" s="1207"/>
      <c r="I29" s="1207"/>
      <c r="J29" s="1207"/>
      <c r="K29" s="1207"/>
      <c r="L29" s="1207"/>
      <c r="M29" s="1208"/>
      <c r="N29" s="1209" t="s">
        <v>282</v>
      </c>
      <c r="O29" s="1211" t="s">
        <v>283</v>
      </c>
    </row>
    <row r="30" spans="1:15" ht="15.75" hidden="1" thickBot="1" x14ac:dyDescent="0.3">
      <c r="A30" s="485"/>
      <c r="B30" s="486">
        <v>39264</v>
      </c>
      <c r="C30" s="487">
        <v>39295</v>
      </c>
      <c r="D30" s="487">
        <v>39326</v>
      </c>
      <c r="E30" s="487">
        <v>39356</v>
      </c>
      <c r="F30" s="487">
        <v>39387</v>
      </c>
      <c r="G30" s="487">
        <v>39417</v>
      </c>
      <c r="H30" s="487">
        <v>39448</v>
      </c>
      <c r="I30" s="487">
        <v>39479</v>
      </c>
      <c r="J30" s="487">
        <v>39508</v>
      </c>
      <c r="K30" s="487">
        <v>39539</v>
      </c>
      <c r="L30" s="487">
        <v>39569</v>
      </c>
      <c r="M30" s="488">
        <v>39600</v>
      </c>
      <c r="N30" s="1210"/>
      <c r="O30" s="1210"/>
    </row>
    <row r="31" spans="1:15" hidden="1" x14ac:dyDescent="0.25">
      <c r="A31" s="480" t="s">
        <v>281</v>
      </c>
      <c r="B31" s="494">
        <v>546</v>
      </c>
      <c r="C31" s="494">
        <v>550</v>
      </c>
      <c r="D31" s="494">
        <v>604</v>
      </c>
      <c r="E31" s="494">
        <v>624</v>
      </c>
      <c r="F31" s="494">
        <v>648</v>
      </c>
      <c r="G31" s="494">
        <v>622</v>
      </c>
      <c r="H31" s="494">
        <v>637</v>
      </c>
      <c r="I31" s="494">
        <v>647</v>
      </c>
      <c r="J31" s="494">
        <v>630</v>
      </c>
      <c r="K31" s="494">
        <v>629</v>
      </c>
      <c r="L31" s="494">
        <v>612</v>
      </c>
      <c r="M31" s="495">
        <v>609</v>
      </c>
      <c r="N31" s="489">
        <f>SUM(B31:M31)/12</f>
        <v>613.16666666666663</v>
      </c>
      <c r="O31" s="490">
        <f>'Qtrly''s-Cntsht Book'!$X$305</f>
        <v>224419</v>
      </c>
    </row>
    <row r="32" spans="1:15" ht="12.75" hidden="1" customHeight="1" thickBot="1" x14ac:dyDescent="0.3">
      <c r="A32" s="491"/>
      <c r="B32" s="492"/>
      <c r="C32" s="492"/>
      <c r="D32" s="492"/>
      <c r="E32" s="492"/>
      <c r="F32" s="492"/>
      <c r="G32" s="492"/>
      <c r="H32" s="492"/>
      <c r="I32" s="492"/>
      <c r="J32" s="492"/>
      <c r="K32" s="492"/>
      <c r="L32" s="492"/>
      <c r="M32" s="492"/>
      <c r="N32" s="492"/>
      <c r="O32" s="493"/>
    </row>
    <row r="33" spans="1:15" ht="31.5" hidden="1" customHeight="1" thickBot="1" x14ac:dyDescent="0.3">
      <c r="A33" s="484" t="s">
        <v>241</v>
      </c>
      <c r="B33" s="1214" t="s">
        <v>548</v>
      </c>
      <c r="C33" s="1215"/>
      <c r="D33" s="1215"/>
      <c r="E33" s="1215"/>
      <c r="F33" s="1215"/>
      <c r="G33" s="1215"/>
      <c r="H33" s="1215"/>
      <c r="I33" s="1215"/>
      <c r="J33" s="1215"/>
      <c r="K33" s="1215"/>
      <c r="L33" s="1215"/>
      <c r="M33" s="1216"/>
      <c r="N33" s="1209" t="s">
        <v>282</v>
      </c>
      <c r="O33" s="1211" t="s">
        <v>283</v>
      </c>
    </row>
    <row r="34" spans="1:15" ht="15.75" hidden="1" thickBot="1" x14ac:dyDescent="0.3">
      <c r="A34" s="485"/>
      <c r="B34" s="486">
        <v>38899</v>
      </c>
      <c r="C34" s="487">
        <v>38930</v>
      </c>
      <c r="D34" s="487">
        <v>38961</v>
      </c>
      <c r="E34" s="487">
        <v>38991</v>
      </c>
      <c r="F34" s="487">
        <v>39022</v>
      </c>
      <c r="G34" s="487">
        <v>39052</v>
      </c>
      <c r="H34" s="487">
        <v>39083</v>
      </c>
      <c r="I34" s="487">
        <v>39114</v>
      </c>
      <c r="J34" s="487">
        <v>39142</v>
      </c>
      <c r="K34" s="487">
        <v>39173</v>
      </c>
      <c r="L34" s="487">
        <v>39203</v>
      </c>
      <c r="M34" s="488">
        <v>39234</v>
      </c>
      <c r="N34" s="1210"/>
      <c r="O34" s="1210"/>
    </row>
    <row r="35" spans="1:15" hidden="1" x14ac:dyDescent="0.25">
      <c r="A35" s="480" t="s">
        <v>281</v>
      </c>
      <c r="B35" s="494">
        <v>507</v>
      </c>
      <c r="C35" s="494">
        <v>509</v>
      </c>
      <c r="D35" s="494">
        <v>517</v>
      </c>
      <c r="E35" s="494">
        <v>505</v>
      </c>
      <c r="F35" s="494">
        <v>510</v>
      </c>
      <c r="G35" s="494">
        <v>477</v>
      </c>
      <c r="H35" s="494">
        <v>511</v>
      </c>
      <c r="I35" s="494">
        <v>533</v>
      </c>
      <c r="J35" s="494">
        <v>523</v>
      </c>
      <c r="K35" s="494">
        <v>536</v>
      </c>
      <c r="L35" s="494">
        <v>531</v>
      </c>
      <c r="M35" s="495">
        <v>531</v>
      </c>
      <c r="N35" s="489">
        <f>SUM(B35:M35)/12</f>
        <v>515.83333333333337</v>
      </c>
      <c r="O35" s="490">
        <f>'Qtrly''s-Cntsht Book'!$X$335</f>
        <v>188279.16666666669</v>
      </c>
    </row>
    <row r="36" spans="1:15" ht="12.75" hidden="1" customHeight="1" thickBot="1" x14ac:dyDescent="0.3">
      <c r="A36" s="491"/>
      <c r="B36" s="492"/>
      <c r="C36" s="492"/>
      <c r="D36" s="492"/>
      <c r="E36" s="492"/>
      <c r="F36" s="492"/>
      <c r="G36" s="492"/>
      <c r="H36" s="492"/>
      <c r="I36" s="492"/>
      <c r="J36" s="492"/>
      <c r="K36" s="492"/>
      <c r="L36" s="492"/>
      <c r="M36" s="492"/>
      <c r="N36" s="492"/>
      <c r="O36" s="493"/>
    </row>
    <row r="37" spans="1:15" ht="31.5" hidden="1" customHeight="1" thickBot="1" x14ac:dyDescent="0.3">
      <c r="A37" s="484" t="s">
        <v>241</v>
      </c>
      <c r="B37" s="1206" t="s">
        <v>549</v>
      </c>
      <c r="C37" s="1207"/>
      <c r="D37" s="1207"/>
      <c r="E37" s="1207"/>
      <c r="F37" s="1207"/>
      <c r="G37" s="1207"/>
      <c r="H37" s="1207"/>
      <c r="I37" s="1207"/>
      <c r="J37" s="1207"/>
      <c r="K37" s="1207"/>
      <c r="L37" s="1207"/>
      <c r="M37" s="1208"/>
      <c r="N37" s="1209" t="s">
        <v>282</v>
      </c>
      <c r="O37" s="1211" t="s">
        <v>283</v>
      </c>
    </row>
    <row r="38" spans="1:15" ht="15.75" hidden="1" thickBot="1" x14ac:dyDescent="0.3">
      <c r="A38" s="485"/>
      <c r="B38" s="486">
        <v>38538</v>
      </c>
      <c r="C38" s="487">
        <v>38569</v>
      </c>
      <c r="D38" s="487">
        <v>38600</v>
      </c>
      <c r="E38" s="487">
        <v>38630</v>
      </c>
      <c r="F38" s="487">
        <v>38661</v>
      </c>
      <c r="G38" s="487">
        <v>38691</v>
      </c>
      <c r="H38" s="487">
        <v>38718</v>
      </c>
      <c r="I38" s="487">
        <v>38749</v>
      </c>
      <c r="J38" s="487">
        <v>38777</v>
      </c>
      <c r="K38" s="487">
        <v>38808</v>
      </c>
      <c r="L38" s="487">
        <v>38838</v>
      </c>
      <c r="M38" s="488">
        <v>38869</v>
      </c>
      <c r="N38" s="1210"/>
      <c r="O38" s="1210"/>
    </row>
    <row r="39" spans="1:15" hidden="1" x14ac:dyDescent="0.25">
      <c r="A39" s="480" t="s">
        <v>281</v>
      </c>
      <c r="B39" s="494">
        <v>615</v>
      </c>
      <c r="C39" s="494">
        <v>614</v>
      </c>
      <c r="D39" s="494">
        <v>622</v>
      </c>
      <c r="E39" s="494">
        <v>671</v>
      </c>
      <c r="F39" s="494">
        <v>640</v>
      </c>
      <c r="G39" s="494">
        <v>580</v>
      </c>
      <c r="H39" s="494">
        <v>607</v>
      </c>
      <c r="I39" s="494">
        <v>617</v>
      </c>
      <c r="J39" s="494">
        <v>610</v>
      </c>
      <c r="K39" s="494">
        <v>639</v>
      </c>
      <c r="L39" s="494">
        <v>636</v>
      </c>
      <c r="M39" s="495">
        <v>543</v>
      </c>
      <c r="N39" s="489">
        <f>SUM(B39:M39)/12</f>
        <v>616.16666666666663</v>
      </c>
      <c r="O39" s="490">
        <f>'Qtrly''s-Cntsht Book'!$X$365</f>
        <v>224900.83333333331</v>
      </c>
    </row>
    <row r="40" spans="1:15" ht="12.75" hidden="1" customHeight="1" thickBot="1" x14ac:dyDescent="0.3">
      <c r="A40" s="491"/>
      <c r="B40" s="492"/>
      <c r="C40" s="492"/>
      <c r="D40" s="492"/>
      <c r="E40" s="492"/>
      <c r="F40" s="492"/>
      <c r="G40" s="492"/>
      <c r="H40" s="492"/>
      <c r="I40" s="492"/>
      <c r="J40" s="492"/>
      <c r="K40" s="492"/>
      <c r="L40" s="492"/>
      <c r="M40" s="492"/>
      <c r="N40" s="492"/>
      <c r="O40" s="493"/>
    </row>
    <row r="41" spans="1:15" ht="31.5" hidden="1" customHeight="1" thickBot="1" x14ac:dyDescent="0.3">
      <c r="A41" s="1211" t="s">
        <v>241</v>
      </c>
      <c r="B41" s="1214" t="s">
        <v>550</v>
      </c>
      <c r="C41" s="1215"/>
      <c r="D41" s="1215"/>
      <c r="E41" s="1215"/>
      <c r="F41" s="1215"/>
      <c r="G41" s="1215"/>
      <c r="H41" s="1215"/>
      <c r="I41" s="1215"/>
      <c r="J41" s="1215"/>
      <c r="K41" s="1215"/>
      <c r="L41" s="1215"/>
      <c r="M41" s="1216"/>
      <c r="N41" s="1209" t="s">
        <v>282</v>
      </c>
      <c r="O41" s="1211" t="s">
        <v>283</v>
      </c>
    </row>
    <row r="42" spans="1:15" ht="15.75" hidden="1" thickBot="1" x14ac:dyDescent="0.3">
      <c r="A42" s="1222"/>
      <c r="B42" s="486">
        <v>38169</v>
      </c>
      <c r="C42" s="487">
        <v>38200</v>
      </c>
      <c r="D42" s="487">
        <v>38231</v>
      </c>
      <c r="E42" s="487">
        <v>38261</v>
      </c>
      <c r="F42" s="487">
        <v>38292</v>
      </c>
      <c r="G42" s="487">
        <v>38322</v>
      </c>
      <c r="H42" s="487">
        <v>38353</v>
      </c>
      <c r="I42" s="487">
        <v>38384</v>
      </c>
      <c r="J42" s="487">
        <v>38412</v>
      </c>
      <c r="K42" s="487">
        <v>38443</v>
      </c>
      <c r="L42" s="487">
        <v>38473</v>
      </c>
      <c r="M42" s="488">
        <v>38504</v>
      </c>
      <c r="N42" s="1210"/>
      <c r="O42" s="1210"/>
    </row>
    <row r="43" spans="1:15" hidden="1" x14ac:dyDescent="0.25">
      <c r="A43" s="480" t="s">
        <v>281</v>
      </c>
      <c r="B43" s="494">
        <v>636</v>
      </c>
      <c r="C43" s="494">
        <v>646</v>
      </c>
      <c r="D43" s="494">
        <v>644</v>
      </c>
      <c r="E43" s="494">
        <v>674</v>
      </c>
      <c r="F43" s="494">
        <v>652</v>
      </c>
      <c r="G43" s="494">
        <v>631</v>
      </c>
      <c r="H43" s="494">
        <v>641</v>
      </c>
      <c r="I43" s="494">
        <v>685</v>
      </c>
      <c r="J43" s="494">
        <v>653</v>
      </c>
      <c r="K43" s="494">
        <v>622</v>
      </c>
      <c r="L43" s="494">
        <v>612</v>
      </c>
      <c r="M43" s="495">
        <v>617</v>
      </c>
      <c r="N43" s="489">
        <f>SUM(B43:M43)/12</f>
        <v>642.75</v>
      </c>
      <c r="O43" s="490">
        <f>'Qtrly''s-Cntsht Book'!$X$395</f>
        <v>234603.75</v>
      </c>
    </row>
    <row r="44" spans="1:15" ht="12.75" hidden="1" customHeight="1" thickBot="1" x14ac:dyDescent="0.3">
      <c r="A44" s="491"/>
      <c r="B44" s="492"/>
      <c r="C44" s="492"/>
      <c r="D44" s="492"/>
      <c r="E44" s="492"/>
      <c r="F44" s="492"/>
      <c r="G44" s="492"/>
      <c r="H44" s="492"/>
      <c r="I44" s="492"/>
      <c r="J44" s="492"/>
      <c r="K44" s="492"/>
      <c r="L44" s="492"/>
      <c r="M44" s="492"/>
      <c r="N44" s="492"/>
      <c r="O44" s="493"/>
    </row>
    <row r="45" spans="1:15" ht="31.5" hidden="1" customHeight="1" thickBot="1" x14ac:dyDescent="0.3">
      <c r="A45" s="1211" t="s">
        <v>241</v>
      </c>
      <c r="B45" s="1206" t="s">
        <v>551</v>
      </c>
      <c r="C45" s="1207"/>
      <c r="D45" s="1207"/>
      <c r="E45" s="1207"/>
      <c r="F45" s="1207"/>
      <c r="G45" s="1207"/>
      <c r="H45" s="1207"/>
      <c r="I45" s="1207"/>
      <c r="J45" s="1207"/>
      <c r="K45" s="1207"/>
      <c r="L45" s="1207"/>
      <c r="M45" s="1208"/>
      <c r="N45" s="1209" t="s">
        <v>282</v>
      </c>
      <c r="O45" s="1211" t="s">
        <v>284</v>
      </c>
    </row>
    <row r="46" spans="1:15" ht="15.75" hidden="1" thickBot="1" x14ac:dyDescent="0.3">
      <c r="A46" s="1221"/>
      <c r="B46" s="486">
        <v>37803</v>
      </c>
      <c r="C46" s="487">
        <v>37834</v>
      </c>
      <c r="D46" s="487">
        <v>37865</v>
      </c>
      <c r="E46" s="487">
        <v>37895</v>
      </c>
      <c r="F46" s="487">
        <v>37926</v>
      </c>
      <c r="G46" s="487">
        <v>37956</v>
      </c>
      <c r="H46" s="487">
        <v>37987</v>
      </c>
      <c r="I46" s="487">
        <v>38018</v>
      </c>
      <c r="J46" s="487">
        <v>38047</v>
      </c>
      <c r="K46" s="487">
        <v>38078</v>
      </c>
      <c r="L46" s="487">
        <v>38108</v>
      </c>
      <c r="M46" s="488">
        <v>38139</v>
      </c>
      <c r="N46" s="1213"/>
      <c r="O46" s="1212"/>
    </row>
    <row r="47" spans="1:15" hidden="1" x14ac:dyDescent="0.25">
      <c r="A47" s="480" t="s">
        <v>281</v>
      </c>
      <c r="B47" s="494">
        <v>668</v>
      </c>
      <c r="C47" s="494">
        <v>661</v>
      </c>
      <c r="D47" s="494">
        <v>682</v>
      </c>
      <c r="E47" s="494">
        <v>685</v>
      </c>
      <c r="F47" s="494">
        <v>686</v>
      </c>
      <c r="G47" s="494">
        <v>683</v>
      </c>
      <c r="H47" s="494">
        <v>696</v>
      </c>
      <c r="I47" s="494">
        <v>707</v>
      </c>
      <c r="J47" s="494">
        <v>705</v>
      </c>
      <c r="K47" s="494">
        <v>688</v>
      </c>
      <c r="L47" s="494">
        <v>684</v>
      </c>
      <c r="M47" s="495">
        <v>619</v>
      </c>
      <c r="N47" s="496">
        <f>SUM(B47:M47)/12</f>
        <v>680.33333333333337</v>
      </c>
      <c r="O47" s="490">
        <f>'Qtrly''s-Cntsht Book'!$X$429</f>
        <v>248321.66666666669</v>
      </c>
    </row>
    <row r="48" spans="1:15" ht="12.75" customHeight="1" x14ac:dyDescent="0.25"/>
    <row r="49" spans="1:15" ht="31.5" hidden="1" customHeight="1" thickBot="1" x14ac:dyDescent="0.3">
      <c r="A49" s="1211" t="s">
        <v>241</v>
      </c>
      <c r="B49" s="1214" t="s">
        <v>552</v>
      </c>
      <c r="C49" s="1217"/>
      <c r="D49" s="1217"/>
      <c r="E49" s="1217"/>
      <c r="F49" s="1217"/>
      <c r="G49" s="1217"/>
      <c r="H49" s="1217"/>
      <c r="I49" s="1217"/>
      <c r="J49" s="1217"/>
      <c r="K49" s="1217"/>
      <c r="L49" s="1217"/>
      <c r="M49" s="1218"/>
      <c r="N49" s="1209" t="s">
        <v>282</v>
      </c>
      <c r="O49" s="1211" t="s">
        <v>284</v>
      </c>
    </row>
    <row r="50" spans="1:15" ht="15.75" hidden="1" thickBot="1" x14ac:dyDescent="0.3">
      <c r="A50" s="1221"/>
      <c r="B50" s="486">
        <v>37438</v>
      </c>
      <c r="C50" s="487">
        <v>37469</v>
      </c>
      <c r="D50" s="487">
        <v>37500</v>
      </c>
      <c r="E50" s="487">
        <v>37530</v>
      </c>
      <c r="F50" s="487">
        <v>37561</v>
      </c>
      <c r="G50" s="487">
        <v>37591</v>
      </c>
      <c r="H50" s="487">
        <v>37624</v>
      </c>
      <c r="I50" s="487">
        <v>37655</v>
      </c>
      <c r="J50" s="487">
        <v>37683</v>
      </c>
      <c r="K50" s="487">
        <v>37714</v>
      </c>
      <c r="L50" s="487">
        <v>37744</v>
      </c>
      <c r="M50" s="488">
        <v>37775</v>
      </c>
      <c r="N50" s="1213"/>
      <c r="O50" s="1212"/>
    </row>
    <row r="51" spans="1:15" hidden="1" x14ac:dyDescent="0.25">
      <c r="A51" s="480" t="s">
        <v>281</v>
      </c>
      <c r="B51" s="494">
        <v>686</v>
      </c>
      <c r="C51" s="494">
        <v>686</v>
      </c>
      <c r="D51" s="494">
        <v>603</v>
      </c>
      <c r="E51" s="494">
        <v>700</v>
      </c>
      <c r="F51" s="494">
        <v>705</v>
      </c>
      <c r="G51" s="494">
        <v>686</v>
      </c>
      <c r="H51" s="494">
        <v>709</v>
      </c>
      <c r="I51" s="494">
        <v>709</v>
      </c>
      <c r="J51" s="494">
        <v>704</v>
      </c>
      <c r="K51" s="494">
        <v>688</v>
      </c>
      <c r="L51" s="494">
        <v>690</v>
      </c>
      <c r="M51" s="495">
        <v>688</v>
      </c>
      <c r="N51" s="496">
        <f>SUM(B51:M51)/12</f>
        <v>687.83333333333337</v>
      </c>
      <c r="O51" s="490">
        <f>'Qtrly''s-Cntsht Book'!$X$459</f>
        <v>251120</v>
      </c>
    </row>
    <row r="52" spans="1:15" ht="12.75" hidden="1" customHeight="1" thickBot="1" x14ac:dyDescent="0.3"/>
    <row r="53" spans="1:15" ht="31.5" hidden="1" customHeight="1" thickBot="1" x14ac:dyDescent="0.3">
      <c r="A53" s="1211" t="s">
        <v>241</v>
      </c>
      <c r="B53" s="1206" t="s">
        <v>554</v>
      </c>
      <c r="C53" s="1207"/>
      <c r="D53" s="1207"/>
      <c r="E53" s="1207"/>
      <c r="F53" s="1207"/>
      <c r="G53" s="1207"/>
      <c r="H53" s="1207"/>
      <c r="I53" s="1207"/>
      <c r="J53" s="1207"/>
      <c r="K53" s="1207"/>
      <c r="L53" s="1207"/>
      <c r="M53" s="1208"/>
      <c r="N53" s="1209" t="s">
        <v>282</v>
      </c>
      <c r="O53" s="1211" t="s">
        <v>285</v>
      </c>
    </row>
    <row r="54" spans="1:15" ht="15.75" hidden="1" thickBot="1" x14ac:dyDescent="0.3">
      <c r="A54" s="1221"/>
      <c r="B54" s="486">
        <v>37073</v>
      </c>
      <c r="C54" s="487">
        <v>37104</v>
      </c>
      <c r="D54" s="487">
        <v>37135</v>
      </c>
      <c r="E54" s="487">
        <v>37165</v>
      </c>
      <c r="F54" s="487">
        <v>37196</v>
      </c>
      <c r="G54" s="487">
        <v>37226</v>
      </c>
      <c r="H54" s="487">
        <v>37258</v>
      </c>
      <c r="I54" s="487">
        <v>37289</v>
      </c>
      <c r="J54" s="487">
        <v>37317</v>
      </c>
      <c r="K54" s="487">
        <v>37348</v>
      </c>
      <c r="L54" s="487">
        <v>37378</v>
      </c>
      <c r="M54" s="488">
        <v>37409</v>
      </c>
      <c r="N54" s="1213"/>
      <c r="O54" s="1212"/>
    </row>
    <row r="55" spans="1:15" hidden="1" x14ac:dyDescent="0.25">
      <c r="A55" s="480" t="s">
        <v>281</v>
      </c>
      <c r="B55" s="494">
        <v>680</v>
      </c>
      <c r="C55" s="494">
        <v>686</v>
      </c>
      <c r="D55" s="494">
        <v>693</v>
      </c>
      <c r="E55" s="494">
        <v>706</v>
      </c>
      <c r="F55" s="494">
        <v>703</v>
      </c>
      <c r="G55" s="494">
        <v>675</v>
      </c>
      <c r="H55" s="494">
        <v>669</v>
      </c>
      <c r="I55" s="494">
        <v>682</v>
      </c>
      <c r="J55" s="494">
        <v>693</v>
      </c>
      <c r="K55" s="494">
        <v>686</v>
      </c>
      <c r="L55" s="494">
        <v>707</v>
      </c>
      <c r="M55" s="495">
        <v>698</v>
      </c>
      <c r="N55" s="496">
        <f>SUM(B55:M55)/12</f>
        <v>689.83333333333337</v>
      </c>
      <c r="O55" s="490">
        <f>N55*365</f>
        <v>251789.16666666669</v>
      </c>
    </row>
    <row r="56" spans="1:15" ht="12.75" hidden="1" customHeight="1" thickBot="1" x14ac:dyDescent="0.3">
      <c r="A56" s="491"/>
      <c r="B56" s="492"/>
      <c r="C56" s="492"/>
      <c r="D56" s="492"/>
      <c r="E56" s="492"/>
      <c r="F56" s="492"/>
      <c r="G56" s="492"/>
      <c r="H56" s="492"/>
      <c r="I56" s="492"/>
      <c r="J56" s="492"/>
      <c r="K56" s="492"/>
      <c r="L56" s="492"/>
      <c r="M56" s="492"/>
      <c r="N56" s="492"/>
      <c r="O56" s="493"/>
    </row>
    <row r="57" spans="1:15" ht="31.5" hidden="1" customHeight="1" thickBot="1" x14ac:dyDescent="0.3">
      <c r="A57" s="1211" t="s">
        <v>241</v>
      </c>
      <c r="B57" s="1214" t="s">
        <v>553</v>
      </c>
      <c r="C57" s="1217"/>
      <c r="D57" s="1217"/>
      <c r="E57" s="1217"/>
      <c r="F57" s="1217"/>
      <c r="G57" s="1217"/>
      <c r="H57" s="1217"/>
      <c r="I57" s="1217"/>
      <c r="J57" s="1217"/>
      <c r="K57" s="1217"/>
      <c r="L57" s="1217"/>
      <c r="M57" s="1218"/>
      <c r="N57" s="1209" t="s">
        <v>282</v>
      </c>
      <c r="O57" s="1211" t="s">
        <v>286</v>
      </c>
    </row>
    <row r="58" spans="1:15" ht="15.75" hidden="1" thickBot="1" x14ac:dyDescent="0.3">
      <c r="A58" s="1221"/>
      <c r="B58" s="486">
        <v>36708</v>
      </c>
      <c r="C58" s="487">
        <v>36739</v>
      </c>
      <c r="D58" s="487">
        <v>36770</v>
      </c>
      <c r="E58" s="487">
        <v>36800</v>
      </c>
      <c r="F58" s="487">
        <v>36831</v>
      </c>
      <c r="G58" s="487">
        <v>36861</v>
      </c>
      <c r="H58" s="487">
        <v>36892</v>
      </c>
      <c r="I58" s="487">
        <v>36923</v>
      </c>
      <c r="J58" s="487">
        <v>36951</v>
      </c>
      <c r="K58" s="487">
        <v>36982</v>
      </c>
      <c r="L58" s="487">
        <v>37012</v>
      </c>
      <c r="M58" s="488">
        <v>37043</v>
      </c>
      <c r="N58" s="1213"/>
      <c r="O58" s="1212"/>
    </row>
    <row r="59" spans="1:15" hidden="1" x14ac:dyDescent="0.25">
      <c r="A59" s="480" t="s">
        <v>281</v>
      </c>
      <c r="B59" s="494">
        <v>639</v>
      </c>
      <c r="C59" s="494">
        <v>633</v>
      </c>
      <c r="D59" s="494">
        <v>660</v>
      </c>
      <c r="E59" s="494">
        <v>675</v>
      </c>
      <c r="F59" s="494">
        <v>683</v>
      </c>
      <c r="G59" s="494">
        <v>653</v>
      </c>
      <c r="H59" s="494">
        <v>669</v>
      </c>
      <c r="I59" s="494">
        <v>675</v>
      </c>
      <c r="J59" s="494">
        <v>643</v>
      </c>
      <c r="K59" s="494">
        <v>669</v>
      </c>
      <c r="L59" s="494">
        <v>679</v>
      </c>
      <c r="M59" s="495">
        <v>662</v>
      </c>
      <c r="N59" s="496">
        <f>SUM(B59:M59)/12</f>
        <v>661.66666666666663</v>
      </c>
      <c r="O59" s="490">
        <f>N59*365</f>
        <v>241508.33333333331</v>
      </c>
    </row>
    <row r="60" spans="1:15" ht="12.75" hidden="1" customHeight="1" x14ac:dyDescent="0.25"/>
    <row r="61" spans="1:15" ht="31.5" hidden="1" customHeight="1" thickBot="1" x14ac:dyDescent="0.3">
      <c r="A61" s="1211" t="s">
        <v>241</v>
      </c>
      <c r="B61" s="1206" t="s">
        <v>555</v>
      </c>
      <c r="C61" s="1207"/>
      <c r="D61" s="1207"/>
      <c r="E61" s="1207"/>
      <c r="F61" s="1207"/>
      <c r="G61" s="1207"/>
      <c r="H61" s="1207"/>
      <c r="I61" s="1207"/>
      <c r="J61" s="1207"/>
      <c r="K61" s="1207"/>
      <c r="L61" s="1207"/>
      <c r="M61" s="1208"/>
      <c r="N61" s="1209" t="s">
        <v>287</v>
      </c>
      <c r="O61" s="1211" t="s">
        <v>288</v>
      </c>
    </row>
    <row r="62" spans="1:15" ht="15.75" hidden="1" thickBot="1" x14ac:dyDescent="0.3">
      <c r="A62" s="1221"/>
      <c r="B62" s="486">
        <v>36342</v>
      </c>
      <c r="C62" s="487">
        <v>36373</v>
      </c>
      <c r="D62" s="487">
        <v>36404</v>
      </c>
      <c r="E62" s="487">
        <v>36434</v>
      </c>
      <c r="F62" s="487">
        <v>36465</v>
      </c>
      <c r="G62" s="487">
        <v>36495</v>
      </c>
      <c r="H62" s="487">
        <v>36526</v>
      </c>
      <c r="I62" s="487">
        <v>36557</v>
      </c>
      <c r="J62" s="487">
        <v>36586</v>
      </c>
      <c r="K62" s="487">
        <v>36617</v>
      </c>
      <c r="L62" s="487">
        <v>36647</v>
      </c>
      <c r="M62" s="488">
        <v>36678</v>
      </c>
      <c r="N62" s="1213"/>
      <c r="O62" s="1212"/>
    </row>
    <row r="63" spans="1:15" hidden="1" x14ac:dyDescent="0.25">
      <c r="A63" s="480" t="s">
        <v>281</v>
      </c>
      <c r="B63" s="494">
        <v>618</v>
      </c>
      <c r="C63" s="494">
        <v>629</v>
      </c>
      <c r="D63" s="494">
        <v>677</v>
      </c>
      <c r="E63" s="494">
        <v>684</v>
      </c>
      <c r="F63" s="494">
        <v>683</v>
      </c>
      <c r="G63" s="494">
        <v>635</v>
      </c>
      <c r="H63" s="494">
        <v>630</v>
      </c>
      <c r="I63" s="494">
        <v>663</v>
      </c>
      <c r="J63" s="494">
        <v>669</v>
      </c>
      <c r="K63" s="494">
        <v>684</v>
      </c>
      <c r="L63" s="494">
        <v>662</v>
      </c>
      <c r="M63" s="495">
        <v>645</v>
      </c>
      <c r="N63" s="496">
        <f>SUM(B63:M63)/12</f>
        <v>656.58333333333337</v>
      </c>
      <c r="O63" s="490">
        <v>239653</v>
      </c>
    </row>
    <row r="64" spans="1:15" ht="12.75" hidden="1" customHeight="1" thickBot="1" x14ac:dyDescent="0.3">
      <c r="A64" s="491"/>
      <c r="B64" s="492"/>
      <c r="C64" s="492"/>
      <c r="D64" s="492"/>
      <c r="E64" s="492"/>
      <c r="F64" s="492"/>
      <c r="G64" s="492"/>
      <c r="H64" s="492"/>
      <c r="I64" s="492"/>
      <c r="J64" s="492"/>
      <c r="K64" s="492"/>
      <c r="L64" s="492"/>
      <c r="M64" s="492"/>
      <c r="N64" s="492"/>
      <c r="O64" s="493"/>
    </row>
    <row r="65" spans="1:15" ht="31.5" hidden="1" customHeight="1" thickBot="1" x14ac:dyDescent="0.3">
      <c r="A65" s="1211" t="s">
        <v>241</v>
      </c>
      <c r="B65" s="1223" t="s">
        <v>556</v>
      </c>
      <c r="C65" s="1224"/>
      <c r="D65" s="1224"/>
      <c r="E65" s="1224"/>
      <c r="F65" s="1224"/>
      <c r="G65" s="1224"/>
      <c r="H65" s="1224"/>
      <c r="I65" s="1224"/>
      <c r="J65" s="1224"/>
      <c r="K65" s="1224"/>
      <c r="L65" s="1224"/>
      <c r="M65" s="1225"/>
      <c r="N65" s="1209" t="s">
        <v>154</v>
      </c>
      <c r="O65" s="1211" t="s">
        <v>289</v>
      </c>
    </row>
    <row r="66" spans="1:15" ht="15.75" hidden="1" thickBot="1" x14ac:dyDescent="0.3">
      <c r="A66" s="1221"/>
      <c r="B66" s="486">
        <v>35977</v>
      </c>
      <c r="C66" s="487">
        <v>36008</v>
      </c>
      <c r="D66" s="487">
        <v>36039</v>
      </c>
      <c r="E66" s="487">
        <v>36069</v>
      </c>
      <c r="F66" s="487">
        <v>36100</v>
      </c>
      <c r="G66" s="487">
        <v>36130</v>
      </c>
      <c r="H66" s="487">
        <v>36161</v>
      </c>
      <c r="I66" s="487">
        <v>36192</v>
      </c>
      <c r="J66" s="487">
        <v>36220</v>
      </c>
      <c r="K66" s="487">
        <v>36251</v>
      </c>
      <c r="L66" s="487">
        <v>36281</v>
      </c>
      <c r="M66" s="488">
        <v>36312</v>
      </c>
      <c r="N66" s="1213"/>
      <c r="O66" s="1212"/>
    </row>
    <row r="67" spans="1:15" hidden="1" x14ac:dyDescent="0.25">
      <c r="A67" s="480" t="s">
        <v>281</v>
      </c>
      <c r="B67" s="494">
        <v>670</v>
      </c>
      <c r="C67" s="494">
        <v>626</v>
      </c>
      <c r="D67" s="494">
        <v>674</v>
      </c>
      <c r="E67" s="494">
        <v>634</v>
      </c>
      <c r="F67" s="494">
        <v>627</v>
      </c>
      <c r="G67" s="494">
        <v>625</v>
      </c>
      <c r="H67" s="494">
        <v>647</v>
      </c>
      <c r="I67" s="494">
        <v>657</v>
      </c>
      <c r="J67" s="494">
        <v>644</v>
      </c>
      <c r="K67" s="494">
        <v>658</v>
      </c>
      <c r="L67" s="494">
        <v>660</v>
      </c>
      <c r="M67" s="495">
        <v>617</v>
      </c>
      <c r="N67" s="496">
        <f>SUM(B67:M67)/12</f>
        <v>644.91666666666663</v>
      </c>
      <c r="O67" s="490">
        <f>N67*365</f>
        <v>235394.58333333331</v>
      </c>
    </row>
    <row r="68" spans="1:15" ht="12.75" hidden="1" customHeight="1" thickBot="1" x14ac:dyDescent="0.3"/>
    <row r="69" spans="1:15" ht="31.5" hidden="1" customHeight="1" thickBot="1" x14ac:dyDescent="0.3">
      <c r="A69" s="1211" t="s">
        <v>241</v>
      </c>
      <c r="B69" s="1206" t="s">
        <v>557</v>
      </c>
      <c r="C69" s="1207"/>
      <c r="D69" s="1207"/>
      <c r="E69" s="1207"/>
      <c r="F69" s="1207"/>
      <c r="G69" s="1207"/>
      <c r="H69" s="1207"/>
      <c r="I69" s="1207"/>
      <c r="J69" s="1207"/>
      <c r="K69" s="1207"/>
      <c r="L69" s="1207"/>
      <c r="M69" s="1208"/>
      <c r="N69" s="1209" t="s">
        <v>154</v>
      </c>
      <c r="O69" s="1211" t="s">
        <v>289</v>
      </c>
    </row>
    <row r="70" spans="1:15" ht="15.75" hidden="1" thickBot="1" x14ac:dyDescent="0.3">
      <c r="A70" s="1221"/>
      <c r="B70" s="486">
        <v>35612</v>
      </c>
      <c r="C70" s="487">
        <v>35643</v>
      </c>
      <c r="D70" s="487">
        <v>35674</v>
      </c>
      <c r="E70" s="487">
        <v>35704</v>
      </c>
      <c r="F70" s="487">
        <v>35735</v>
      </c>
      <c r="G70" s="487">
        <v>35765</v>
      </c>
      <c r="H70" s="487">
        <v>35796</v>
      </c>
      <c r="I70" s="487">
        <v>35827</v>
      </c>
      <c r="J70" s="487">
        <v>35855</v>
      </c>
      <c r="K70" s="487">
        <v>35886</v>
      </c>
      <c r="L70" s="487">
        <v>35916</v>
      </c>
      <c r="M70" s="488">
        <v>35947</v>
      </c>
      <c r="N70" s="1213"/>
      <c r="O70" s="1212"/>
    </row>
    <row r="71" spans="1:15" hidden="1" x14ac:dyDescent="0.25">
      <c r="A71" s="480" t="s">
        <v>281</v>
      </c>
      <c r="B71" s="185">
        <v>543</v>
      </c>
      <c r="C71" s="185">
        <v>548</v>
      </c>
      <c r="D71" s="185">
        <v>574</v>
      </c>
      <c r="E71" s="185">
        <v>616</v>
      </c>
      <c r="F71" s="185">
        <v>623</v>
      </c>
      <c r="G71" s="185">
        <v>606</v>
      </c>
      <c r="H71" s="185">
        <v>621</v>
      </c>
      <c r="I71" s="185">
        <v>633</v>
      </c>
      <c r="J71" s="185">
        <v>640</v>
      </c>
      <c r="K71" s="185">
        <v>666</v>
      </c>
      <c r="L71" s="185">
        <v>671</v>
      </c>
      <c r="M71" s="185">
        <v>664</v>
      </c>
      <c r="N71" s="496">
        <f>SUM(B71:M71)/12</f>
        <v>617.08333333333337</v>
      </c>
      <c r="O71" s="490">
        <v>225205</v>
      </c>
    </row>
  </sheetData>
  <mergeCells count="62">
    <mergeCell ref="O69:O70"/>
    <mergeCell ref="B65:M65"/>
    <mergeCell ref="O57:O58"/>
    <mergeCell ref="N61:N62"/>
    <mergeCell ref="O61:O62"/>
    <mergeCell ref="O41:O42"/>
    <mergeCell ref="O65:O66"/>
    <mergeCell ref="O49:O50"/>
    <mergeCell ref="O33:O34"/>
    <mergeCell ref="O53:O54"/>
    <mergeCell ref="O45:O46"/>
    <mergeCell ref="O37:O38"/>
    <mergeCell ref="N37:N38"/>
    <mergeCell ref="N49:N50"/>
    <mergeCell ref="N45:N46"/>
    <mergeCell ref="N33:N34"/>
    <mergeCell ref="N41:N42"/>
    <mergeCell ref="A53:A54"/>
    <mergeCell ref="B53:M53"/>
    <mergeCell ref="N53:N54"/>
    <mergeCell ref="A49:A50"/>
    <mergeCell ref="A41:A42"/>
    <mergeCell ref="A45:A46"/>
    <mergeCell ref="B45:M45"/>
    <mergeCell ref="B49:M49"/>
    <mergeCell ref="A69:A70"/>
    <mergeCell ref="B69:M69"/>
    <mergeCell ref="N69:N70"/>
    <mergeCell ref="B57:M57"/>
    <mergeCell ref="N57:N58"/>
    <mergeCell ref="N65:N66"/>
    <mergeCell ref="A57:A58"/>
    <mergeCell ref="A65:A66"/>
    <mergeCell ref="A61:A62"/>
    <mergeCell ref="B61:M61"/>
    <mergeCell ref="B37:M37"/>
    <mergeCell ref="B13:M13"/>
    <mergeCell ref="N13:N14"/>
    <mergeCell ref="O29:O30"/>
    <mergeCell ref="B41:M41"/>
    <mergeCell ref="O13:O14"/>
    <mergeCell ref="B17:M17"/>
    <mergeCell ref="N17:N18"/>
    <mergeCell ref="O17:O18"/>
    <mergeCell ref="N21:N22"/>
    <mergeCell ref="B25:M25"/>
    <mergeCell ref="O21:O22"/>
    <mergeCell ref="B21:M21"/>
    <mergeCell ref="N29:N30"/>
    <mergeCell ref="B29:M29"/>
    <mergeCell ref="B33:M33"/>
    <mergeCell ref="B1:M1"/>
    <mergeCell ref="N1:N2"/>
    <mergeCell ref="O1:O2"/>
    <mergeCell ref="O25:O26"/>
    <mergeCell ref="N25:N26"/>
    <mergeCell ref="O5:O6"/>
    <mergeCell ref="B9:M9"/>
    <mergeCell ref="N9:N10"/>
    <mergeCell ref="O9:O10"/>
    <mergeCell ref="B5:M5"/>
    <mergeCell ref="N5:N6"/>
  </mergeCells>
  <phoneticPr fontId="21" type="noConversion"/>
  <printOptions horizontalCentered="1"/>
  <pageMargins left="0" right="0" top="1.25" bottom="0.75" header="0.3" footer="0.3"/>
  <pageSetup scale="89" fitToHeight="0"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sheetPr>
  <dimension ref="A1:AX42"/>
  <sheetViews>
    <sheetView showGridLines="0" zoomScaleNormal="100" workbookViewId="0">
      <pane xSplit="23" ySplit="1" topLeftCell="X2" activePane="bottomRight" state="frozen"/>
      <selection activeCell="B17" sqref="B17:M17"/>
      <selection pane="topRight" activeCell="B17" sqref="B17:M17"/>
      <selection pane="bottomLeft" activeCell="B17" sqref="B17:M17"/>
      <selection pane="bottomRight" activeCell="A19" sqref="A19"/>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customWidth="1"/>
    <col min="40" max="40" width="9.7109375" bestFit="1" customWidth="1"/>
    <col min="41" max="41" width="10.28515625" customWidth="1"/>
    <col min="42" max="42" width="16.7109375" customWidth="1"/>
    <col min="43" max="43" width="9.7109375" bestFit="1" customWidth="1"/>
    <col min="44" max="44" width="10.28515625" customWidth="1"/>
    <col min="45" max="45" width="16.7109375" customWidth="1"/>
    <col min="46" max="47" width="11.28515625" customWidth="1"/>
    <col min="48" max="48" width="16.7109375" customWidth="1"/>
    <col min="49" max="49" width="10.7109375" customWidth="1"/>
    <col min="50" max="50" width="10.28515625" customWidth="1"/>
  </cols>
  <sheetData>
    <row r="1" spans="1:50" ht="14.25" thickTop="1" thickBot="1" x14ac:dyDescent="0.25">
      <c r="A1" s="141" t="s">
        <v>56</v>
      </c>
      <c r="B1" s="151" t="s">
        <v>360</v>
      </c>
      <c r="C1" s="2" t="s">
        <v>107</v>
      </c>
      <c r="D1" s="2" t="s">
        <v>27</v>
      </c>
      <c r="E1" s="31"/>
      <c r="F1" s="151" t="s">
        <v>361</v>
      </c>
      <c r="G1" s="2" t="s">
        <v>107</v>
      </c>
      <c r="H1" s="2" t="s">
        <v>27</v>
      </c>
      <c r="I1" s="151" t="s">
        <v>362</v>
      </c>
      <c r="J1" s="2" t="s">
        <v>107</v>
      </c>
      <c r="K1" s="2" t="s">
        <v>27</v>
      </c>
      <c r="L1" s="151" t="s">
        <v>363</v>
      </c>
      <c r="M1" s="2" t="s">
        <v>107</v>
      </c>
      <c r="N1" s="2" t="s">
        <v>27</v>
      </c>
      <c r="O1" s="151" t="s">
        <v>364</v>
      </c>
      <c r="P1" s="2" t="s">
        <v>107</v>
      </c>
      <c r="Q1" s="2" t="s">
        <v>27</v>
      </c>
      <c r="R1" s="151" t="s">
        <v>365</v>
      </c>
      <c r="S1" s="2" t="s">
        <v>107</v>
      </c>
      <c r="T1" s="2" t="s">
        <v>27</v>
      </c>
      <c r="U1" s="151" t="s">
        <v>366</v>
      </c>
      <c r="V1" s="2" t="s">
        <v>107</v>
      </c>
      <c r="W1" s="141" t="s">
        <v>27</v>
      </c>
      <c r="X1" s="152" t="s">
        <v>367</v>
      </c>
      <c r="Y1" s="145" t="s">
        <v>107</v>
      </c>
      <c r="Z1" s="536" t="s">
        <v>27</v>
      </c>
      <c r="AA1" s="151" t="s">
        <v>368</v>
      </c>
      <c r="AB1" s="2" t="s">
        <v>107</v>
      </c>
      <c r="AC1" s="2" t="s">
        <v>27</v>
      </c>
      <c r="AD1" s="153" t="s">
        <v>369</v>
      </c>
      <c r="AE1" s="2" t="s">
        <v>107</v>
      </c>
      <c r="AF1" s="2" t="s">
        <v>27</v>
      </c>
      <c r="AG1" s="153" t="s">
        <v>370</v>
      </c>
      <c r="AH1" s="2" t="s">
        <v>107</v>
      </c>
      <c r="AI1" s="2" t="s">
        <v>27</v>
      </c>
      <c r="AJ1" s="539" t="s">
        <v>486</v>
      </c>
      <c r="AK1" s="2" t="s">
        <v>107</v>
      </c>
      <c r="AL1" s="2" t="s">
        <v>27</v>
      </c>
      <c r="AM1" s="539" t="s">
        <v>580</v>
      </c>
      <c r="AN1" s="2" t="s">
        <v>107</v>
      </c>
      <c r="AO1" s="2" t="s">
        <v>27</v>
      </c>
      <c r="AP1" s="153" t="s">
        <v>631</v>
      </c>
      <c r="AQ1" s="2" t="s">
        <v>107</v>
      </c>
      <c r="AR1" s="2" t="s">
        <v>27</v>
      </c>
      <c r="AS1" s="153" t="s">
        <v>981</v>
      </c>
      <c r="AT1" s="2" t="s">
        <v>107</v>
      </c>
      <c r="AU1" s="2" t="s">
        <v>27</v>
      </c>
      <c r="AV1" s="1007" t="s">
        <v>982</v>
      </c>
      <c r="AW1" s="2" t="s">
        <v>107</v>
      </c>
      <c r="AX1" s="2" t="s">
        <v>27</v>
      </c>
    </row>
    <row r="2" spans="1:50" ht="14.25" thickTop="1" thickBot="1" x14ac:dyDescent="0.25">
      <c r="A2" s="1" t="s">
        <v>242</v>
      </c>
      <c r="B2" s="28">
        <v>4207448.53</v>
      </c>
      <c r="C2" s="29">
        <v>26754.5</v>
      </c>
      <c r="D2" s="30">
        <v>193.50880347742341</v>
      </c>
      <c r="E2" s="17"/>
      <c r="F2" s="28">
        <v>10007491.050000001</v>
      </c>
      <c r="G2" s="29">
        <v>144625.56208333332</v>
      </c>
      <c r="H2" s="30">
        <v>106.85322352658358</v>
      </c>
      <c r="I2" s="28">
        <v>10007491.050000001</v>
      </c>
      <c r="J2" s="29">
        <v>144540</v>
      </c>
      <c r="K2" s="30">
        <v>105.90031510045782</v>
      </c>
      <c r="L2" s="28">
        <v>19164084.239999998</v>
      </c>
      <c r="M2" s="29">
        <v>297558</v>
      </c>
      <c r="N2" s="30">
        <v>99.915961578315503</v>
      </c>
      <c r="O2" s="28">
        <v>19934908.759999998</v>
      </c>
      <c r="P2" s="29">
        <v>305007.3833333333</v>
      </c>
      <c r="Q2" s="30">
        <v>95.644881509254517</v>
      </c>
      <c r="R2" s="28">
        <v>22246649.32</v>
      </c>
      <c r="S2" s="29">
        <v>318750.84999999998</v>
      </c>
      <c r="T2" s="30">
        <v>111.08690690417147</v>
      </c>
      <c r="U2" s="28">
        <v>24224260.27</v>
      </c>
      <c r="V2" s="29">
        <v>353157</v>
      </c>
      <c r="W2" s="144">
        <v>109.64</v>
      </c>
      <c r="X2" s="146">
        <v>24473571.319999997</v>
      </c>
      <c r="Y2" s="29">
        <v>356416</v>
      </c>
      <c r="Z2" s="144">
        <v>109.02</v>
      </c>
      <c r="AA2" s="28">
        <v>24826079.379999999</v>
      </c>
      <c r="AB2" s="29">
        <v>311948</v>
      </c>
      <c r="AC2" s="30">
        <v>79.584031248797871</v>
      </c>
      <c r="AD2" s="157">
        <v>25829994.579999998</v>
      </c>
      <c r="AE2" s="29">
        <f>'Qtrly''s-Cntsht Book'!X229+'Qtrly''s-Cntsht Book'!X231</f>
        <v>330692.43333333335</v>
      </c>
      <c r="AF2" s="30">
        <f>AD2/AE2</f>
        <v>78.108816460168967</v>
      </c>
      <c r="AG2" s="157">
        <v>26198323.199999999</v>
      </c>
      <c r="AH2" s="29">
        <f>'Qtrly''s-Cntsht Book'!X199+'Qtrly''s-Cntsht Book'!X201</f>
        <v>333964.35416666663</v>
      </c>
      <c r="AI2" s="30">
        <f>AG2/AH2</f>
        <v>78.446465537832793</v>
      </c>
      <c r="AJ2" s="157">
        <v>28150656.219999999</v>
      </c>
      <c r="AK2" s="29">
        <f>'Qtrly''s-Cntsht Book'!X170+'Qtrly''s-Cntsht Book'!X172</f>
        <v>331376.40000000002</v>
      </c>
      <c r="AL2" s="578">
        <f>AJ2/AK2</f>
        <v>84.950697213199234</v>
      </c>
      <c r="AM2" s="382">
        <v>29509516.810000002</v>
      </c>
      <c r="AN2" s="461">
        <v>322976.94166666665</v>
      </c>
      <c r="AO2" s="578">
        <f>AM2/AN2</f>
        <v>91.367255686183796</v>
      </c>
      <c r="AP2" s="382">
        <v>29681654.870000001</v>
      </c>
      <c r="AQ2" s="461">
        <v>309788</v>
      </c>
      <c r="AR2" s="578">
        <f>AP2/AQ2</f>
        <v>95.81279736464937</v>
      </c>
      <c r="AS2" s="1086">
        <v>30526127.900000002</v>
      </c>
      <c r="AT2" s="1092">
        <v>301420.04166666669</v>
      </c>
      <c r="AU2" s="578">
        <f>AS2/AT2</f>
        <v>101.27438020116169</v>
      </c>
      <c r="AV2" s="157">
        <f>'BILLING RATE CALC'!C27</f>
        <v>31089655.059999999</v>
      </c>
      <c r="AW2" s="461">
        <f>'BILLING RATE CALC'!D27</f>
        <v>313486.33333333337</v>
      </c>
      <c r="AX2" s="578">
        <f>AV2/AW2</f>
        <v>99.173876989852815</v>
      </c>
    </row>
    <row r="3" spans="1:50" ht="13.5" thickTop="1" x14ac:dyDescent="0.2">
      <c r="A3" s="1" t="s">
        <v>72</v>
      </c>
      <c r="B3" s="20">
        <v>3827124.93</v>
      </c>
      <c r="C3" s="21">
        <v>36429.524583333339</v>
      </c>
      <c r="D3" s="22">
        <v>141.30304577116476</v>
      </c>
      <c r="E3" s="1"/>
      <c r="F3" s="20">
        <v>3827124.93</v>
      </c>
      <c r="G3" s="21">
        <v>38165.586250000008</v>
      </c>
      <c r="H3" s="22">
        <v>137.93421153467364</v>
      </c>
      <c r="I3" s="20">
        <v>4077113.6330000004</v>
      </c>
      <c r="J3" s="21">
        <v>38325</v>
      </c>
      <c r="K3" s="22">
        <v>143.04610031186741</v>
      </c>
      <c r="L3" s="20">
        <v>4022696.32</v>
      </c>
      <c r="M3" s="21">
        <v>39162</v>
      </c>
      <c r="N3" s="22">
        <v>138.23080686379916</v>
      </c>
      <c r="O3" s="20">
        <v>4453361.75</v>
      </c>
      <c r="P3" s="21">
        <v>40348.316666666666</v>
      </c>
      <c r="Q3" s="22">
        <v>140.6590326138257</v>
      </c>
      <c r="R3" s="20">
        <v>4921141.88</v>
      </c>
      <c r="S3" s="21">
        <v>42362.63</v>
      </c>
      <c r="T3" s="22">
        <v>157.46073628350271</v>
      </c>
      <c r="U3" s="20">
        <v>5054874.07</v>
      </c>
      <c r="V3" s="21">
        <v>38831</v>
      </c>
      <c r="W3" s="140">
        <v>171.22</v>
      </c>
      <c r="X3" s="146">
        <v>5023661.03</v>
      </c>
      <c r="Y3" s="21">
        <v>42158</v>
      </c>
      <c r="Z3" s="140">
        <v>159.51</v>
      </c>
      <c r="AA3" s="20">
        <v>5044648.83</v>
      </c>
      <c r="AB3" s="21">
        <v>49993</v>
      </c>
      <c r="AC3" s="30">
        <v>100.90710359450323</v>
      </c>
      <c r="AD3" s="158">
        <v>5649294.0899999999</v>
      </c>
      <c r="AE3" s="21">
        <f>'Qtrly''s-Cntsht Book'!X230</f>
        <v>42563.258333333331</v>
      </c>
      <c r="AF3" s="30">
        <f>AD3/AE3</f>
        <v>132.7270117752185</v>
      </c>
      <c r="AG3" s="158">
        <v>5244350.93</v>
      </c>
      <c r="AH3" s="21">
        <f>'Qtrly''s-Cntsht Book'!X200</f>
        <v>41384.308333333334</v>
      </c>
      <c r="AI3" s="30">
        <f>AG3/AH3</f>
        <v>126.72317458489196</v>
      </c>
      <c r="AJ3" s="158">
        <v>6006266.8099999996</v>
      </c>
      <c r="AK3" s="21">
        <f>'Qtrly''s-Cntsht Book'!X171</f>
        <v>44895.39</v>
      </c>
      <c r="AL3" s="30">
        <f>AJ3/AK3</f>
        <v>133.78359804870834</v>
      </c>
      <c r="AM3" s="382">
        <v>6689614.8499999996</v>
      </c>
      <c r="AN3" s="579">
        <v>44782.458333333328</v>
      </c>
      <c r="AO3" s="578">
        <f>AM3/AN3</f>
        <v>149.38025063757294</v>
      </c>
      <c r="AP3" s="382">
        <v>6383028.1900000004</v>
      </c>
      <c r="AQ3" s="579">
        <v>40920</v>
      </c>
      <c r="AR3" s="30">
        <f>AP3/AQ3</f>
        <v>155.98798118279572</v>
      </c>
      <c r="AS3" s="1086">
        <v>6451550.9900000002</v>
      </c>
      <c r="AT3" s="1092">
        <v>40615.375</v>
      </c>
      <c r="AU3" s="578">
        <f>AS3/AT3</f>
        <v>158.84504304096663</v>
      </c>
      <c r="AV3" s="157">
        <f>'BILLING RATE CALC'!C28</f>
        <v>6206786.9700000007</v>
      </c>
      <c r="AW3" s="461">
        <f>'BILLING RATE CALC'!D28</f>
        <v>37880.916666666664</v>
      </c>
      <c r="AX3" s="578">
        <f>AV3/AW3</f>
        <v>163.84996763981866</v>
      </c>
    </row>
    <row r="4" spans="1:50" x14ac:dyDescent="0.2">
      <c r="A4" s="1" t="s">
        <v>110</v>
      </c>
      <c r="B4" s="20">
        <v>9521144.6300000008</v>
      </c>
      <c r="C4" s="21">
        <v>149163.33333333334</v>
      </c>
      <c r="D4" s="22">
        <v>100.0777920657041</v>
      </c>
      <c r="E4" s="1"/>
      <c r="F4" s="20">
        <v>9472493.1300000008</v>
      </c>
      <c r="G4" s="21">
        <v>139848.53333333335</v>
      </c>
      <c r="H4" s="22">
        <v>105.39130417228095</v>
      </c>
      <c r="I4" s="20">
        <v>9472493.1300000008</v>
      </c>
      <c r="J4" s="21">
        <v>139795</v>
      </c>
      <c r="K4" s="22">
        <v>104.42302112962572</v>
      </c>
      <c r="L4" t="s">
        <v>306</v>
      </c>
      <c r="M4" s="21" t="s">
        <v>307</v>
      </c>
      <c r="N4" s="22" t="s">
        <v>255</v>
      </c>
      <c r="O4" s="20" t="s">
        <v>306</v>
      </c>
      <c r="P4" s="21" t="s">
        <v>255</v>
      </c>
      <c r="Q4" s="22" t="s">
        <v>256</v>
      </c>
      <c r="R4" s="20" t="s">
        <v>306</v>
      </c>
      <c r="S4" s="21" t="s">
        <v>255</v>
      </c>
      <c r="T4" s="22" t="s">
        <v>255</v>
      </c>
      <c r="U4" s="20" t="s">
        <v>306</v>
      </c>
      <c r="V4" s="21" t="s">
        <v>255</v>
      </c>
      <c r="W4" s="140" t="s">
        <v>255</v>
      </c>
      <c r="X4" s="147" t="s">
        <v>306</v>
      </c>
      <c r="Y4" s="21" t="s">
        <v>255</v>
      </c>
      <c r="Z4" s="140" t="s">
        <v>255</v>
      </c>
      <c r="AA4" s="20" t="s">
        <v>306</v>
      </c>
      <c r="AB4" s="21" t="s">
        <v>255</v>
      </c>
      <c r="AC4" s="22" t="s">
        <v>255</v>
      </c>
      <c r="AD4" s="614" t="s">
        <v>488</v>
      </c>
      <c r="AE4" s="21" t="s">
        <v>255</v>
      </c>
      <c r="AF4" s="22" t="s">
        <v>255</v>
      </c>
      <c r="AG4" s="158" t="s">
        <v>306</v>
      </c>
      <c r="AH4" s="543" t="s">
        <v>488</v>
      </c>
      <c r="AI4" s="543" t="s">
        <v>488</v>
      </c>
      <c r="AJ4" s="543" t="s">
        <v>488</v>
      </c>
      <c r="AK4" s="543" t="s">
        <v>489</v>
      </c>
      <c r="AL4" s="22"/>
      <c r="AM4" s="543" t="s">
        <v>488</v>
      </c>
      <c r="AN4" s="543" t="s">
        <v>541</v>
      </c>
      <c r="AO4" s="22"/>
      <c r="AP4" s="543" t="s">
        <v>488</v>
      </c>
      <c r="AQ4" s="543" t="s">
        <v>541</v>
      </c>
      <c r="AR4" s="22"/>
      <c r="AS4" s="1090" t="s">
        <v>488</v>
      </c>
      <c r="AT4" s="1090" t="s">
        <v>541</v>
      </c>
      <c r="AU4" s="22"/>
      <c r="AV4" s="543" t="s">
        <v>488</v>
      </c>
      <c r="AW4" s="543" t="s">
        <v>541</v>
      </c>
      <c r="AX4" s="22"/>
    </row>
    <row r="5" spans="1:50" x14ac:dyDescent="0.2">
      <c r="A5" s="1" t="s">
        <v>25</v>
      </c>
      <c r="B5" s="20">
        <v>6843374.9000000004</v>
      </c>
      <c r="C5" s="21">
        <v>76108.583333333343</v>
      </c>
      <c r="D5" s="22">
        <v>126.16340429202303</v>
      </c>
      <c r="E5" s="1"/>
      <c r="F5" s="20">
        <v>7166991.0900000008</v>
      </c>
      <c r="G5" s="21">
        <v>76595.645416666666</v>
      </c>
      <c r="H5" s="22">
        <v>131.22652888085605</v>
      </c>
      <c r="I5" s="20">
        <v>7295965.2699999996</v>
      </c>
      <c r="J5" s="21">
        <v>78110</v>
      </c>
      <c r="K5" s="22">
        <v>130.06942554724256</v>
      </c>
      <c r="L5" s="20">
        <v>7181710.9500000002</v>
      </c>
      <c r="M5" s="21">
        <v>77958</v>
      </c>
      <c r="N5" s="22">
        <v>127.63424977806429</v>
      </c>
      <c r="O5" s="20">
        <v>8221892.419999999</v>
      </c>
      <c r="P5" s="21">
        <v>81829.350000000006</v>
      </c>
      <c r="Q5" s="22">
        <v>130.76218836079624</v>
      </c>
      <c r="R5" s="20">
        <v>8758697.8399999999</v>
      </c>
      <c r="S5" s="21">
        <v>103600.07916666666</v>
      </c>
      <c r="T5" s="22">
        <v>125.83703422768252</v>
      </c>
      <c r="U5" s="20">
        <v>10231800.85</v>
      </c>
      <c r="V5" s="21">
        <v>101283</v>
      </c>
      <c r="W5" s="140">
        <v>142.06</v>
      </c>
      <c r="X5" s="147">
        <v>10195355.860000001</v>
      </c>
      <c r="Y5" s="21">
        <v>109736</v>
      </c>
      <c r="Z5" s="140">
        <v>133.26</v>
      </c>
      <c r="AA5" s="20">
        <v>9743300.9699999988</v>
      </c>
      <c r="AB5" s="21">
        <v>94790</v>
      </c>
      <c r="AC5" s="30">
        <v>102.78827903787318</v>
      </c>
      <c r="AD5" s="158">
        <v>10284011.460000001</v>
      </c>
      <c r="AE5" s="21">
        <f>'Qtrly''s-Cntsht Book'!X232</f>
        <v>107202.93333333332</v>
      </c>
      <c r="AF5" s="30">
        <f>AD5/AE5</f>
        <v>95.930317764936802</v>
      </c>
      <c r="AG5" s="158">
        <v>10008008.4</v>
      </c>
      <c r="AH5" s="21">
        <f>'Qtrly''s-Cntsht Book'!X202</f>
        <v>101125.68333333333</v>
      </c>
      <c r="AI5" s="30">
        <f t="shared" ref="AI5:AI12" si="0">AG5/AH5</f>
        <v>98.966039784486014</v>
      </c>
      <c r="AJ5" s="158">
        <v>11263994.27</v>
      </c>
      <c r="AK5" s="21">
        <f>'Qtrly''s-Cntsht Book'!X173</f>
        <v>101981.62999999999</v>
      </c>
      <c r="AL5" s="30">
        <f t="shared" ref="AL5:AL12" si="1">AJ5/AK5</f>
        <v>110.45120841861421</v>
      </c>
      <c r="AM5" s="382">
        <v>11577121.589999998</v>
      </c>
      <c r="AN5" s="465">
        <v>100018.51666666668</v>
      </c>
      <c r="AO5" s="30">
        <f>AM5/AN5</f>
        <v>115.74978289853325</v>
      </c>
      <c r="AP5" s="382">
        <v>11514594.23</v>
      </c>
      <c r="AQ5" s="465">
        <v>98447</v>
      </c>
      <c r="AR5" s="30">
        <f>AP5/AQ5</f>
        <v>116.96236787306876</v>
      </c>
      <c r="AS5" s="1087">
        <v>11556642.350000001</v>
      </c>
      <c r="AT5" s="1093">
        <v>98918.041666666686</v>
      </c>
      <c r="AU5" s="30">
        <f>AS5/AT5</f>
        <v>116.83048062095176</v>
      </c>
      <c r="AV5" s="158">
        <f>'BILLING RATE CALC'!C29</f>
        <v>11964771.310000002</v>
      </c>
      <c r="AW5" s="579">
        <f>'BILLING RATE CALC'!D29</f>
        <v>98108.958333333358</v>
      </c>
      <c r="AX5" s="30">
        <f>AV5/AW5</f>
        <v>121.95391239756817</v>
      </c>
    </row>
    <row r="6" spans="1:50" x14ac:dyDescent="0.2">
      <c r="A6" s="541" t="s">
        <v>468</v>
      </c>
      <c r="B6" s="20"/>
      <c r="C6" s="21"/>
      <c r="D6" s="22"/>
      <c r="E6" s="1"/>
      <c r="F6" s="20"/>
      <c r="G6" s="21"/>
      <c r="H6" s="22"/>
      <c r="I6" s="20"/>
      <c r="J6" s="21"/>
      <c r="K6" s="22"/>
      <c r="L6" s="20"/>
      <c r="M6" s="21"/>
      <c r="N6" s="22"/>
      <c r="O6" s="20"/>
      <c r="P6" s="21"/>
      <c r="Q6" s="22"/>
      <c r="R6" s="20"/>
      <c r="S6" s="21"/>
      <c r="T6" s="22"/>
      <c r="U6" s="542" t="s">
        <v>487</v>
      </c>
      <c r="V6" s="21"/>
      <c r="W6" s="140"/>
      <c r="X6" s="147" t="s">
        <v>306</v>
      </c>
      <c r="Y6" s="147" t="s">
        <v>306</v>
      </c>
      <c r="Z6" s="147" t="s">
        <v>306</v>
      </c>
      <c r="AA6" s="147" t="s">
        <v>306</v>
      </c>
      <c r="AB6" s="147" t="s">
        <v>306</v>
      </c>
      <c r="AC6" s="147" t="s">
        <v>306</v>
      </c>
      <c r="AD6" s="147" t="s">
        <v>306</v>
      </c>
      <c r="AE6" s="147" t="s">
        <v>306</v>
      </c>
      <c r="AF6" s="147" t="s">
        <v>306</v>
      </c>
      <c r="AG6" s="147" t="s">
        <v>306</v>
      </c>
      <c r="AH6" s="543" t="s">
        <v>488</v>
      </c>
      <c r="AI6" s="30"/>
      <c r="AJ6" s="158">
        <v>0</v>
      </c>
      <c r="AK6" s="21">
        <v>0</v>
      </c>
      <c r="AL6" s="30">
        <v>0</v>
      </c>
      <c r="AM6" s="382">
        <v>46469734.969999999</v>
      </c>
      <c r="AN6" s="465">
        <v>453733.32500000001</v>
      </c>
      <c r="AO6" s="30">
        <f t="shared" ref="AO6:AO12" si="2">AM6/AN6</f>
        <v>102.41640278460922</v>
      </c>
      <c r="AP6" s="382">
        <v>50543417.939999998</v>
      </c>
      <c r="AQ6" s="465">
        <v>513138</v>
      </c>
      <c r="AR6" s="30">
        <f t="shared" ref="AR6:AR11" si="3">AP6/AQ6</f>
        <v>98.498684447458572</v>
      </c>
      <c r="AS6" s="1087">
        <v>44848433.690000005</v>
      </c>
      <c r="AT6" s="1093">
        <v>459224.74999999994</v>
      </c>
      <c r="AU6" s="30">
        <f t="shared" ref="AU6:AU11" si="4">AS6/AT6</f>
        <v>97.661185922579321</v>
      </c>
      <c r="AV6" s="158">
        <f>'BILLING RATE CALC'!C30</f>
        <v>41672576.400000006</v>
      </c>
      <c r="AW6" s="579">
        <f>'BILLING RATE CALC'!D30</f>
        <v>461764.54166666669</v>
      </c>
      <c r="AX6" s="30">
        <f t="shared" ref="AX6:AX11" si="5">AV6/AW6</f>
        <v>90.246375890165538</v>
      </c>
    </row>
    <row r="7" spans="1:50" x14ac:dyDescent="0.2">
      <c r="A7" s="1" t="s">
        <v>111</v>
      </c>
      <c r="B7" s="20">
        <v>7142287.0600000005</v>
      </c>
      <c r="C7" s="21">
        <v>105991.13333333335</v>
      </c>
      <c r="D7" s="22">
        <v>103.63316641167151</v>
      </c>
      <c r="E7" s="1"/>
      <c r="F7" s="20">
        <v>7299380.0100000007</v>
      </c>
      <c r="G7" s="21">
        <v>103376.09083333332</v>
      </c>
      <c r="H7" s="22">
        <v>108.26730152323337</v>
      </c>
      <c r="I7" s="20">
        <v>7299380.0100000007</v>
      </c>
      <c r="J7" s="21">
        <v>103295</v>
      </c>
      <c r="K7" s="22">
        <v>107.32851204571601</v>
      </c>
      <c r="L7" s="20">
        <v>7398555.71</v>
      </c>
      <c r="M7" s="21">
        <v>107970</v>
      </c>
      <c r="N7" s="22">
        <v>104.03560783135765</v>
      </c>
      <c r="O7" s="20">
        <v>7697246.9099999992</v>
      </c>
      <c r="P7" s="21">
        <v>113687.97958333335</v>
      </c>
      <c r="Q7" s="22">
        <v>97.991126912776693</v>
      </c>
      <c r="R7" s="20">
        <v>8564813.7899999991</v>
      </c>
      <c r="S7" s="21">
        <v>122196.67708333333</v>
      </c>
      <c r="T7" s="22">
        <v>111.38408187049444</v>
      </c>
      <c r="U7" s="20">
        <v>9796565.5199999996</v>
      </c>
      <c r="V7" s="21">
        <v>121011</v>
      </c>
      <c r="W7" s="140">
        <v>122</v>
      </c>
      <c r="X7" s="147">
        <v>9668374.5</v>
      </c>
      <c r="Y7" s="21">
        <v>140284</v>
      </c>
      <c r="Z7" s="140">
        <v>109.27</v>
      </c>
      <c r="AA7" s="20">
        <v>9905372.1500000004</v>
      </c>
      <c r="AB7" s="21">
        <v>129251</v>
      </c>
      <c r="AC7" s="30">
        <v>76.63671577009076</v>
      </c>
      <c r="AD7" s="158">
        <v>10581088.6</v>
      </c>
      <c r="AE7" s="21">
        <f>'Qtrly''s-Cntsht Book'!X233</f>
        <v>139120.66249999998</v>
      </c>
      <c r="AF7" s="30">
        <f>AD7/AE7</f>
        <v>76.0569164195865</v>
      </c>
      <c r="AG7" s="158">
        <v>10367304.35</v>
      </c>
      <c r="AH7" s="21">
        <f>'Qtrly''s-Cntsht Book'!X203</f>
        <v>146938.35416666669</v>
      </c>
      <c r="AI7" s="30">
        <f t="shared" si="0"/>
        <v>70.555468031449124</v>
      </c>
      <c r="AJ7" s="158">
        <v>11545267.449999999</v>
      </c>
      <c r="AK7" s="21">
        <f>'Qtrly''s-Cntsht Book'!X174</f>
        <v>151887.25499999995</v>
      </c>
      <c r="AL7" s="30">
        <f t="shared" si="1"/>
        <v>76.012088374366911</v>
      </c>
      <c r="AM7" s="382">
        <v>12740801.75</v>
      </c>
      <c r="AN7" s="465">
        <v>153873.96250000002</v>
      </c>
      <c r="AO7" s="30">
        <f t="shared" si="2"/>
        <v>82.800244713266537</v>
      </c>
      <c r="AP7" s="382">
        <v>12664955.34</v>
      </c>
      <c r="AQ7" s="465">
        <v>154684</v>
      </c>
      <c r="AR7" s="30">
        <f t="shared" si="3"/>
        <v>81.876311318559132</v>
      </c>
      <c r="AS7" s="1087">
        <v>12729365.569999998</v>
      </c>
      <c r="AT7" s="1093">
        <v>135904.70833333334</v>
      </c>
      <c r="AU7" s="30">
        <f t="shared" si="4"/>
        <v>93.663904114187829</v>
      </c>
      <c r="AV7" s="158">
        <f>'BILLING RATE CALC'!C31</f>
        <v>13492285.1</v>
      </c>
      <c r="AW7" s="579">
        <f>'BILLING RATE CALC'!D31</f>
        <v>110652.79166666667</v>
      </c>
      <c r="AX7" s="30">
        <f t="shared" si="5"/>
        <v>121.9335264549358</v>
      </c>
    </row>
    <row r="8" spans="1:50" x14ac:dyDescent="0.2">
      <c r="A8" s="1" t="s">
        <v>16</v>
      </c>
      <c r="B8" s="20">
        <v>2759922.38</v>
      </c>
      <c r="C8" s="21">
        <v>20514.825000000001</v>
      </c>
      <c r="D8" s="22">
        <v>170.78053276375562</v>
      </c>
      <c r="E8" s="1"/>
      <c r="F8" s="20">
        <v>2953749.72</v>
      </c>
      <c r="G8" s="21">
        <v>20327.367083333338</v>
      </c>
      <c r="H8" s="22">
        <v>182.96637383175121</v>
      </c>
      <c r="I8" s="20">
        <v>2953749.72</v>
      </c>
      <c r="J8" s="21">
        <v>20440</v>
      </c>
      <c r="K8" s="22">
        <v>181.17143941047573</v>
      </c>
      <c r="L8" s="20">
        <v>2733184.2</v>
      </c>
      <c r="M8" s="21">
        <v>21594</v>
      </c>
      <c r="N8" s="22">
        <v>162.08289216959975</v>
      </c>
      <c r="O8" s="20">
        <v>2914942.68</v>
      </c>
      <c r="P8" s="21">
        <v>23087.071249999997</v>
      </c>
      <c r="Q8" s="22">
        <v>156.54476712961858</v>
      </c>
      <c r="R8" s="20">
        <v>3148961.34</v>
      </c>
      <c r="S8" s="21">
        <v>23551.89875</v>
      </c>
      <c r="T8" s="22">
        <v>174.99676072487296</v>
      </c>
      <c r="U8" s="20">
        <v>3501265.65</v>
      </c>
      <c r="V8" s="21">
        <v>21658</v>
      </c>
      <c r="W8" s="140">
        <v>202.7</v>
      </c>
      <c r="X8" s="147">
        <v>3732359.16</v>
      </c>
      <c r="Y8" s="21">
        <v>21250</v>
      </c>
      <c r="Z8" s="140">
        <v>215.99</v>
      </c>
      <c r="AA8" s="20">
        <v>3618116.89</v>
      </c>
      <c r="AB8" s="21">
        <v>17189</v>
      </c>
      <c r="AC8" s="30">
        <v>210.49024899645124</v>
      </c>
      <c r="AD8" s="158">
        <v>3935511.29</v>
      </c>
      <c r="AE8" s="21">
        <f>'Qtrly''s-Cntsht Book'!X234</f>
        <v>22008.04</v>
      </c>
      <c r="AF8" s="30">
        <f t="shared" ref="AF8:AF16" si="6">AD8/AE8</f>
        <v>178.82152567879737</v>
      </c>
      <c r="AG8" s="158">
        <v>4110405.23</v>
      </c>
      <c r="AH8" s="21">
        <f>'Qtrly''s-Cntsht Book'!X204</f>
        <v>23030.283333333336</v>
      </c>
      <c r="AI8" s="30">
        <f t="shared" si="0"/>
        <v>178.47827447483999</v>
      </c>
      <c r="AJ8" s="158">
        <v>4466229.38</v>
      </c>
      <c r="AK8" s="21">
        <f>'Qtrly''s-Cntsht Book'!X175</f>
        <v>23195.555000000004</v>
      </c>
      <c r="AL8" s="30">
        <f t="shared" si="1"/>
        <v>192.5467780357055</v>
      </c>
      <c r="AM8" s="382">
        <v>4477204.46</v>
      </c>
      <c r="AN8" s="465">
        <v>24480.245833333338</v>
      </c>
      <c r="AO8" s="30">
        <f t="shared" si="2"/>
        <v>182.89050242721211</v>
      </c>
      <c r="AP8" s="382">
        <v>4520349.4400000004</v>
      </c>
      <c r="AQ8" s="465">
        <v>22995</v>
      </c>
      <c r="AR8" s="30">
        <f t="shared" si="3"/>
        <v>196.57966688410525</v>
      </c>
      <c r="AS8" s="1087">
        <v>4646328.21</v>
      </c>
      <c r="AT8" s="1093">
        <v>19545.749999999996</v>
      </c>
      <c r="AU8" s="30">
        <f t="shared" si="4"/>
        <v>237.71552434672503</v>
      </c>
      <c r="AV8" s="158">
        <f>'BILLING RATE CALC'!C32</f>
        <v>4510730.66</v>
      </c>
      <c r="AW8" s="579">
        <f>'BILLING RATE CALC'!D32</f>
        <v>18812.708333333332</v>
      </c>
      <c r="AX8" s="30">
        <f t="shared" si="5"/>
        <v>239.77040307416311</v>
      </c>
    </row>
    <row r="9" spans="1:50" x14ac:dyDescent="0.2">
      <c r="A9" s="1" t="s">
        <v>112</v>
      </c>
      <c r="B9" s="20">
        <v>5827761.3599999994</v>
      </c>
      <c r="C9" s="21">
        <v>61079.708333333336</v>
      </c>
      <c r="D9" s="22">
        <v>131.65985981235076</v>
      </c>
      <c r="E9" s="1"/>
      <c r="F9" s="20">
        <v>6041167.71</v>
      </c>
      <c r="G9" s="21">
        <v>60596.174583333333</v>
      </c>
      <c r="H9" s="22">
        <v>137.35288676576835</v>
      </c>
      <c r="I9" s="20">
        <v>6041167.71</v>
      </c>
      <c r="J9" s="21">
        <v>60590</v>
      </c>
      <c r="K9" s="22">
        <v>136.36882530630956</v>
      </c>
      <c r="L9" s="20">
        <v>5955706.8499999996</v>
      </c>
      <c r="M9" s="21">
        <v>61854</v>
      </c>
      <c r="N9" s="22">
        <v>131.79795501852831</v>
      </c>
      <c r="O9" s="20">
        <v>6103915.25</v>
      </c>
      <c r="P9" s="21">
        <v>65060.945833333324</v>
      </c>
      <c r="Q9" s="22">
        <v>124.10452876467015</v>
      </c>
      <c r="R9" s="20">
        <v>6622277.96</v>
      </c>
      <c r="S9" s="21">
        <v>72068.945833333331</v>
      </c>
      <c r="T9" s="22">
        <v>133.18177587264827</v>
      </c>
      <c r="U9" s="20">
        <v>7491800.2199999997</v>
      </c>
      <c r="V9" s="21">
        <v>70195</v>
      </c>
      <c r="W9" s="140">
        <v>147.77000000000001</v>
      </c>
      <c r="X9" s="147">
        <v>7881180.6600000001</v>
      </c>
      <c r="Y9" s="21">
        <v>75821</v>
      </c>
      <c r="Z9" s="140">
        <v>144.29</v>
      </c>
      <c r="AA9" s="20">
        <v>7690593.1700000009</v>
      </c>
      <c r="AB9" s="21">
        <v>73065</v>
      </c>
      <c r="AC9" s="30">
        <v>105.2568694997605</v>
      </c>
      <c r="AD9" s="158">
        <v>8262094.5700000003</v>
      </c>
      <c r="AE9" s="21">
        <f>'Qtrly''s-Cntsht Book'!X235</f>
        <v>77820.737500000003</v>
      </c>
      <c r="AF9" s="30">
        <f t="shared" si="6"/>
        <v>106.16828926865414</v>
      </c>
      <c r="AG9" s="158">
        <v>8336468.46</v>
      </c>
      <c r="AH9" s="21">
        <f>'Qtrly''s-Cntsht Book'!X205</f>
        <v>83881.5625</v>
      </c>
      <c r="AI9" s="30">
        <f t="shared" si="0"/>
        <v>99.383800343490265</v>
      </c>
      <c r="AJ9" s="158">
        <v>9182902.6799999997</v>
      </c>
      <c r="AK9" s="21">
        <f>'Qtrly''s-Cntsht Book'!X176</f>
        <v>85682.125000000015</v>
      </c>
      <c r="AL9" s="30">
        <f t="shared" si="1"/>
        <v>107.17407720688531</v>
      </c>
      <c r="AM9" s="382">
        <v>10195510.209999999</v>
      </c>
      <c r="AN9" s="465">
        <v>87468.904166666674</v>
      </c>
      <c r="AO9" s="30">
        <f t="shared" si="2"/>
        <v>116.56154043696574</v>
      </c>
      <c r="AP9" s="382">
        <v>10029719.15</v>
      </c>
      <c r="AQ9" s="465">
        <v>86462</v>
      </c>
      <c r="AR9" s="30">
        <f t="shared" si="3"/>
        <v>116.00147058823529</v>
      </c>
      <c r="AS9" s="1087">
        <v>9970901.6500000004</v>
      </c>
      <c r="AT9" s="1093">
        <v>81647.458333333343</v>
      </c>
      <c r="AU9" s="30">
        <f t="shared" si="4"/>
        <v>122.12139671626846</v>
      </c>
      <c r="AV9" s="158">
        <f>'BILLING RATE CALC'!C33</f>
        <v>10004180.280000001</v>
      </c>
      <c r="AW9" s="579">
        <f>'BILLING RATE CALC'!D33</f>
        <v>77267.458333333328</v>
      </c>
      <c r="AX9" s="30">
        <f t="shared" si="5"/>
        <v>129.4746908438708</v>
      </c>
    </row>
    <row r="10" spans="1:50" x14ac:dyDescent="0.2">
      <c r="A10" s="1" t="s">
        <v>18</v>
      </c>
      <c r="B10" s="20">
        <v>2699075.64</v>
      </c>
      <c r="C10" s="21">
        <v>30399.32916666667</v>
      </c>
      <c r="D10" s="22">
        <v>125.03480529704403</v>
      </c>
      <c r="E10" s="1"/>
      <c r="F10" s="20">
        <v>2708207.76</v>
      </c>
      <c r="G10" s="21">
        <v>29603.233750000003</v>
      </c>
      <c r="H10" s="22">
        <v>129.14086826467116</v>
      </c>
      <c r="I10" s="20">
        <v>2708207.76</v>
      </c>
      <c r="J10" s="21">
        <v>29565</v>
      </c>
      <c r="K10" s="22">
        <v>128.26495444997707</v>
      </c>
      <c r="L10" s="20">
        <v>2764083.17</v>
      </c>
      <c r="M10" s="21">
        <v>31842</v>
      </c>
      <c r="N10" s="22">
        <v>122.31763257215944</v>
      </c>
      <c r="O10" s="20">
        <v>3048248.56</v>
      </c>
      <c r="P10" s="21">
        <v>34806.460833333331</v>
      </c>
      <c r="Q10" s="22">
        <v>117.86319730306413</v>
      </c>
      <c r="R10" s="20">
        <v>3317571.4</v>
      </c>
      <c r="S10" s="21">
        <v>36446.101666666669</v>
      </c>
      <c r="T10" s="22">
        <v>132.32046672808139</v>
      </c>
      <c r="U10" s="20">
        <v>3707178.25</v>
      </c>
      <c r="V10" s="21">
        <v>38410</v>
      </c>
      <c r="W10" s="140">
        <v>137.56</v>
      </c>
      <c r="X10" s="147">
        <v>3925122.09</v>
      </c>
      <c r="Y10" s="21">
        <v>41410</v>
      </c>
      <c r="Z10" s="140">
        <v>135.13999999999999</v>
      </c>
      <c r="AA10" s="20">
        <v>4091395.22</v>
      </c>
      <c r="AB10" s="21">
        <v>37712</v>
      </c>
      <c r="AC10" s="30">
        <v>108.49053935086975</v>
      </c>
      <c r="AD10" s="158">
        <v>4241143.1100000003</v>
      </c>
      <c r="AE10" s="21">
        <f>'Qtrly''s-Cntsht Book'!X236</f>
        <v>38900.118333333325</v>
      </c>
      <c r="AF10" s="30">
        <f t="shared" si="6"/>
        <v>109.02648350984026</v>
      </c>
      <c r="AG10" s="158">
        <v>4240361.3600000003</v>
      </c>
      <c r="AH10" s="21">
        <f>'Qtrly''s-Cntsht Book'!X206</f>
        <v>37470.59583333334</v>
      </c>
      <c r="AI10" s="30">
        <f t="shared" si="0"/>
        <v>113.1650368961529</v>
      </c>
      <c r="AJ10" s="158">
        <v>4486136.8899999997</v>
      </c>
      <c r="AK10" s="21">
        <f>'Qtrly''s-Cntsht Book'!X177</f>
        <v>35165.584999999999</v>
      </c>
      <c r="AL10" s="30">
        <f t="shared" si="1"/>
        <v>127.57179754012338</v>
      </c>
      <c r="AM10" s="382">
        <v>4846980.1399999997</v>
      </c>
      <c r="AN10" s="465">
        <v>38009.275000000001</v>
      </c>
      <c r="AO10" s="30">
        <f t="shared" si="2"/>
        <v>127.52098375988491</v>
      </c>
      <c r="AP10" s="382">
        <v>4898489.6399999997</v>
      </c>
      <c r="AQ10" s="465">
        <v>39000</v>
      </c>
      <c r="AR10" s="30">
        <f t="shared" si="3"/>
        <v>125.60229846153845</v>
      </c>
      <c r="AS10" s="1087">
        <v>5095669.38</v>
      </c>
      <c r="AT10" s="1093">
        <v>36630.791666666657</v>
      </c>
      <c r="AU10" s="30">
        <f t="shared" si="4"/>
        <v>139.10890669166085</v>
      </c>
      <c r="AV10" s="158">
        <f>'BILLING RATE CALC'!C34</f>
        <v>6077488.0999999996</v>
      </c>
      <c r="AW10" s="579">
        <f>'BILLING RATE CALC'!D34</f>
        <v>34811.875</v>
      </c>
      <c r="AX10" s="30">
        <f t="shared" si="5"/>
        <v>174.58088942350849</v>
      </c>
    </row>
    <row r="11" spans="1:50" x14ac:dyDescent="0.2">
      <c r="A11" s="1" t="s">
        <v>19</v>
      </c>
      <c r="B11" s="20">
        <v>8207261.5800000001</v>
      </c>
      <c r="C11" s="21">
        <v>143569.70833333334</v>
      </c>
      <c r="D11" s="22">
        <v>93.413154117471635</v>
      </c>
      <c r="E11" s="1"/>
      <c r="F11" s="20">
        <v>8311351.2000000002</v>
      </c>
      <c r="G11" s="21">
        <v>140173.07916666666</v>
      </c>
      <c r="H11" s="22">
        <v>96.950848221157017</v>
      </c>
      <c r="I11" s="20">
        <v>8311351.2000000002</v>
      </c>
      <c r="J11" s="21">
        <v>140160</v>
      </c>
      <c r="K11" s="22">
        <v>95.962160056268303</v>
      </c>
      <c r="L11" s="20">
        <v>8446993.709999999</v>
      </c>
      <c r="M11" s="21">
        <v>140544</v>
      </c>
      <c r="N11" s="22">
        <v>95.613557527309055</v>
      </c>
      <c r="O11" s="20">
        <v>8922253.379999999</v>
      </c>
      <c r="P11" s="21">
        <v>143667.65</v>
      </c>
      <c r="Q11" s="22">
        <v>92.389533864531998</v>
      </c>
      <c r="R11" s="20">
        <v>9956649.9399999995</v>
      </c>
      <c r="S11" s="21">
        <v>148299.5</v>
      </c>
      <c r="T11" s="22">
        <v>108.43247981016688</v>
      </c>
      <c r="U11" s="20">
        <v>10900064.17</v>
      </c>
      <c r="V11" s="21">
        <v>143253</v>
      </c>
      <c r="W11" s="140">
        <v>117.13</v>
      </c>
      <c r="X11" s="147">
        <v>11838881.150000002</v>
      </c>
      <c r="Y11" s="21">
        <v>152147</v>
      </c>
      <c r="Z11" s="140">
        <v>118.16</v>
      </c>
      <c r="AA11" s="20">
        <v>12051609.629999999</v>
      </c>
      <c r="AB11" s="21">
        <v>161728</v>
      </c>
      <c r="AC11" s="30">
        <v>74.51776828996833</v>
      </c>
      <c r="AD11" s="158">
        <v>12507800.460000001</v>
      </c>
      <c r="AE11" s="21">
        <f>'Qtrly''s-Cntsht Book'!X237</f>
        <v>182553.53333333335</v>
      </c>
      <c r="AF11" s="30">
        <f t="shared" si="6"/>
        <v>68.515794964983783</v>
      </c>
      <c r="AG11" s="158">
        <v>12108368.67</v>
      </c>
      <c r="AH11" s="21">
        <f>'Qtrly''s-Cntsht Book'!X207</f>
        <v>183526.5625</v>
      </c>
      <c r="AI11" s="30">
        <f t="shared" si="0"/>
        <v>65.976109970457273</v>
      </c>
      <c r="AJ11" s="158">
        <v>13367392.85</v>
      </c>
      <c r="AK11" s="21">
        <f>'Qtrly''s-Cntsht Book'!X178</f>
        <v>183184.52499999999</v>
      </c>
      <c r="AL11" s="30">
        <f t="shared" si="1"/>
        <v>72.972282183770716</v>
      </c>
      <c r="AM11" s="382">
        <v>13418699.330000002</v>
      </c>
      <c r="AN11" s="465">
        <v>183310.90833333333</v>
      </c>
      <c r="AO11" s="30">
        <f t="shared" si="2"/>
        <v>73.201859354705633</v>
      </c>
      <c r="AP11" s="382">
        <v>13350499.869999999</v>
      </c>
      <c r="AQ11" s="465">
        <v>183534</v>
      </c>
      <c r="AR11" s="30">
        <f t="shared" si="3"/>
        <v>72.741289733782295</v>
      </c>
      <c r="AS11" s="1087">
        <v>13075634.860000001</v>
      </c>
      <c r="AT11" s="1093">
        <v>180115.33333333334</v>
      </c>
      <c r="AU11" s="30">
        <f t="shared" si="4"/>
        <v>72.595900737675493</v>
      </c>
      <c r="AV11" s="158">
        <f>'BILLING RATE CALC'!C35</f>
        <v>7181922.3200000003</v>
      </c>
      <c r="AW11" s="579">
        <f>'BILLING RATE CALC'!D35</f>
        <v>37628.775000000001</v>
      </c>
      <c r="AX11" s="30">
        <f t="shared" si="5"/>
        <v>190.86250668537576</v>
      </c>
    </row>
    <row r="12" spans="1:50" x14ac:dyDescent="0.2">
      <c r="A12" s="1" t="s">
        <v>347</v>
      </c>
      <c r="B12" s="20"/>
      <c r="C12" s="21"/>
      <c r="D12" s="22"/>
      <c r="E12" s="1"/>
      <c r="F12" s="20"/>
      <c r="G12" s="21"/>
      <c r="H12" s="22"/>
      <c r="I12" s="23">
        <v>2330932.15</v>
      </c>
      <c r="J12" s="21">
        <v>34310</v>
      </c>
      <c r="K12" s="22">
        <v>104.60053480124061</v>
      </c>
      <c r="L12" s="20">
        <v>2389598.2999999998</v>
      </c>
      <c r="M12" s="21">
        <v>35136</v>
      </c>
      <c r="N12" s="22">
        <v>103.52139770547392</v>
      </c>
      <c r="O12" s="20">
        <v>2644884.66</v>
      </c>
      <c r="P12" s="21">
        <v>35896.989583333328</v>
      </c>
      <c r="Q12" s="22">
        <v>103.96595297988468</v>
      </c>
      <c r="R12" s="20">
        <v>3089261.72</v>
      </c>
      <c r="S12" s="21">
        <v>35735.5075</v>
      </c>
      <c r="T12" s="22">
        <v>127.7416433057989</v>
      </c>
      <c r="U12" s="20">
        <v>3626206.66</v>
      </c>
      <c r="V12" s="21">
        <v>39250</v>
      </c>
      <c r="W12" s="140">
        <v>133.43</v>
      </c>
      <c r="X12" s="147">
        <v>3797182.17</v>
      </c>
      <c r="Y12" s="21">
        <v>44263</v>
      </c>
      <c r="Z12" s="140">
        <v>126.14</v>
      </c>
      <c r="AA12" s="20">
        <v>3906004.53</v>
      </c>
      <c r="AB12" s="21">
        <v>42940</v>
      </c>
      <c r="AC12" s="30">
        <v>90.964241499767112</v>
      </c>
      <c r="AD12" s="158">
        <v>3769359.7</v>
      </c>
      <c r="AE12" s="21">
        <f>'Qtrly''s-Cntsht Book'!X238</f>
        <v>42361.595833333333</v>
      </c>
      <c r="AF12" s="30">
        <f t="shared" si="6"/>
        <v>88.980587861470056</v>
      </c>
      <c r="AG12" s="158">
        <v>3584193.87</v>
      </c>
      <c r="AH12" s="21">
        <f>'Qtrly''s-Cntsht Book'!X208</f>
        <v>43762.587499999994</v>
      </c>
      <c r="AI12" s="30">
        <f t="shared" si="0"/>
        <v>81.90086726476126</v>
      </c>
      <c r="AJ12" s="158">
        <v>3810246.96</v>
      </c>
      <c r="AK12" s="21">
        <f>'Qtrly''s-Cntsht Book'!X179</f>
        <v>40484.480000000003</v>
      </c>
      <c r="AL12" s="30">
        <f t="shared" si="1"/>
        <v>94.116238123843999</v>
      </c>
      <c r="AM12" s="382">
        <v>3051516.9800000004</v>
      </c>
      <c r="AN12" s="465">
        <v>32252.008333333339</v>
      </c>
      <c r="AO12" s="30">
        <f t="shared" si="2"/>
        <v>94.614789518275472</v>
      </c>
      <c r="AP12" s="382">
        <v>0</v>
      </c>
      <c r="AQ12" s="465">
        <v>0</v>
      </c>
      <c r="AR12" s="17">
        <v>0</v>
      </c>
      <c r="AS12" s="1087">
        <v>206733.59</v>
      </c>
      <c r="AT12" s="1093">
        <v>1460</v>
      </c>
      <c r="AU12" s="30">
        <v>0</v>
      </c>
      <c r="AV12" s="158">
        <f>'BILLING RATE CALC'!C36</f>
        <v>210708.57</v>
      </c>
      <c r="AW12" s="579">
        <f>'BILLING RATE CALC'!D36</f>
        <v>35222.5</v>
      </c>
      <c r="AX12" s="30">
        <v>0</v>
      </c>
    </row>
    <row r="13" spans="1:50" x14ac:dyDescent="0.2">
      <c r="A13" s="1" t="s">
        <v>253</v>
      </c>
      <c r="B13" s="20">
        <v>3419265.19</v>
      </c>
      <c r="C13" s="21">
        <v>31338.595833333333</v>
      </c>
      <c r="D13" s="22">
        <v>145.35462314972062</v>
      </c>
      <c r="E13" s="1"/>
      <c r="F13" s="20" t="s">
        <v>254</v>
      </c>
      <c r="G13" s="21" t="s">
        <v>255</v>
      </c>
      <c r="H13" s="22" t="s">
        <v>256</v>
      </c>
      <c r="I13" s="20" t="s">
        <v>254</v>
      </c>
      <c r="J13" s="21" t="s">
        <v>255</v>
      </c>
      <c r="K13" s="22" t="s">
        <v>256</v>
      </c>
      <c r="L13" s="20" t="s">
        <v>254</v>
      </c>
      <c r="M13" s="21" t="s">
        <v>255</v>
      </c>
      <c r="N13" s="22" t="s">
        <v>256</v>
      </c>
      <c r="O13" s="20" t="s">
        <v>254</v>
      </c>
      <c r="P13" s="21" t="s">
        <v>255</v>
      </c>
      <c r="Q13" s="22" t="s">
        <v>256</v>
      </c>
      <c r="R13" s="20" t="s">
        <v>254</v>
      </c>
      <c r="S13" s="21" t="s">
        <v>255</v>
      </c>
      <c r="T13" s="140" t="s">
        <v>256</v>
      </c>
      <c r="U13" s="20" t="s">
        <v>254</v>
      </c>
      <c r="V13" s="21" t="s">
        <v>255</v>
      </c>
      <c r="W13" s="140" t="s">
        <v>256</v>
      </c>
      <c r="X13" s="147" t="s">
        <v>306</v>
      </c>
      <c r="Y13" s="21" t="s">
        <v>255</v>
      </c>
      <c r="Z13" s="140" t="s">
        <v>256</v>
      </c>
      <c r="AA13" s="20" t="s">
        <v>306</v>
      </c>
      <c r="AB13" s="21" t="s">
        <v>255</v>
      </c>
      <c r="AC13" s="22" t="s">
        <v>255</v>
      </c>
      <c r="AD13" s="158" t="s">
        <v>306</v>
      </c>
      <c r="AE13" s="21" t="s">
        <v>255</v>
      </c>
      <c r="AF13" s="22" t="s">
        <v>255</v>
      </c>
      <c r="AG13" s="158" t="s">
        <v>306</v>
      </c>
      <c r="AH13" s="543" t="s">
        <v>488</v>
      </c>
      <c r="AI13" s="22" t="s">
        <v>255</v>
      </c>
      <c r="AJ13" s="158" t="s">
        <v>306</v>
      </c>
      <c r="AK13" s="21" t="s">
        <v>255</v>
      </c>
      <c r="AL13" s="22" t="s">
        <v>255</v>
      </c>
      <c r="AM13" s="158" t="s">
        <v>306</v>
      </c>
      <c r="AN13" s="21" t="s">
        <v>255</v>
      </c>
      <c r="AO13" s="22" t="s">
        <v>255</v>
      </c>
      <c r="AP13" s="158" t="s">
        <v>306</v>
      </c>
      <c r="AQ13" s="21" t="s">
        <v>255</v>
      </c>
      <c r="AR13" s="22" t="s">
        <v>255</v>
      </c>
      <c r="AS13" s="1087" t="s">
        <v>306</v>
      </c>
      <c r="AT13" s="1090" t="s">
        <v>255</v>
      </c>
      <c r="AU13" s="22" t="s">
        <v>255</v>
      </c>
      <c r="AV13" s="158" t="s">
        <v>306</v>
      </c>
      <c r="AW13" s="21" t="s">
        <v>255</v>
      </c>
      <c r="AX13" s="22" t="s">
        <v>255</v>
      </c>
    </row>
    <row r="14" spans="1:50" x14ac:dyDescent="0.2">
      <c r="A14" s="1" t="s">
        <v>113</v>
      </c>
      <c r="B14" s="20">
        <v>13586189.510000002</v>
      </c>
      <c r="C14" s="21">
        <v>188029.75</v>
      </c>
      <c r="D14" s="22">
        <v>108.50299456736604</v>
      </c>
      <c r="E14" s="1"/>
      <c r="F14" s="20">
        <v>13814498.580000002</v>
      </c>
      <c r="G14" s="21">
        <v>174111.4483333333</v>
      </c>
      <c r="H14" s="22">
        <v>117.00020757470205</v>
      </c>
      <c r="I14" s="20">
        <v>13814498.580000002</v>
      </c>
      <c r="J14" s="21">
        <v>174105</v>
      </c>
      <c r="K14" s="22">
        <v>116.0089250041446</v>
      </c>
      <c r="L14" s="20">
        <v>14201185</v>
      </c>
      <c r="M14" s="21">
        <v>177144</v>
      </c>
      <c r="N14" s="22">
        <v>115.67889050323544</v>
      </c>
      <c r="O14" s="20">
        <v>15053552.92</v>
      </c>
      <c r="P14" s="21">
        <v>173736.04583333334</v>
      </c>
      <c r="Q14" s="22">
        <v>116.93221929879984</v>
      </c>
      <c r="R14" s="20">
        <v>16269860.390000001</v>
      </c>
      <c r="S14" s="21">
        <v>177677.43750000003</v>
      </c>
      <c r="T14" s="22">
        <v>132.8633312787793</v>
      </c>
      <c r="U14" s="20">
        <v>18421022.010000002</v>
      </c>
      <c r="V14" s="21">
        <v>172897</v>
      </c>
      <c r="W14" s="140">
        <v>147.59</v>
      </c>
      <c r="X14" s="147">
        <v>19526927.620000001</v>
      </c>
      <c r="Y14" s="21">
        <v>196419</v>
      </c>
      <c r="Z14" s="140">
        <v>139.76</v>
      </c>
      <c r="AA14" s="538">
        <v>19044803.41</v>
      </c>
      <c r="AB14" s="21">
        <v>195304</v>
      </c>
      <c r="AC14" s="30">
        <v>97.513637252693243</v>
      </c>
      <c r="AD14" s="159">
        <v>20860192.940000001</v>
      </c>
      <c r="AE14" s="21">
        <f>'Qtrly''s-Cntsht Book'!X239</f>
        <v>200418.15416666665</v>
      </c>
      <c r="AF14" s="30">
        <f t="shared" si="6"/>
        <v>104.08335026702611</v>
      </c>
      <c r="AG14" s="159">
        <v>21259252.710000001</v>
      </c>
      <c r="AH14" s="21">
        <f>'Qtrly''s-Cntsht Book'!X209</f>
        <v>200520.05</v>
      </c>
      <c r="AI14" s="30">
        <f>AG14/AH14</f>
        <v>106.02058352768215</v>
      </c>
      <c r="AJ14" s="159">
        <v>23701557.920000002</v>
      </c>
      <c r="AK14" s="21">
        <f>'Qtrly''s-Cntsht Book'!X180</f>
        <v>198029.48499999999</v>
      </c>
      <c r="AL14" s="30">
        <f>AJ14/AK14</f>
        <v>119.68701489073712</v>
      </c>
      <c r="AM14" s="382">
        <v>23895860.159999996</v>
      </c>
      <c r="AN14" s="466">
        <v>168351.07916666666</v>
      </c>
      <c r="AO14" s="30">
        <f>AM14/AN14</f>
        <v>141.94064141604477</v>
      </c>
      <c r="AP14" s="382">
        <v>21565441.68</v>
      </c>
      <c r="AQ14" s="466">
        <v>192632</v>
      </c>
      <c r="AR14" s="30">
        <f>AP14/AQ14</f>
        <v>111.95150172349349</v>
      </c>
      <c r="AS14" s="1088">
        <v>22390188.989999998</v>
      </c>
      <c r="AT14" s="1093">
        <v>187704.29166666666</v>
      </c>
      <c r="AU14" s="30">
        <f>AS14/AT14</f>
        <v>119.28437432726076</v>
      </c>
      <c r="AV14" s="159">
        <f>'BILLING RATE CALC'!C37</f>
        <v>22206670.48</v>
      </c>
      <c r="AW14" s="579">
        <f>'BILLING RATE CALC'!D37</f>
        <v>178512.375</v>
      </c>
      <c r="AX14" s="30">
        <f>AV14/AW14</f>
        <v>124.3984932697243</v>
      </c>
    </row>
    <row r="15" spans="1:50" x14ac:dyDescent="0.2">
      <c r="A15" s="1" t="s">
        <v>26</v>
      </c>
      <c r="B15" s="20">
        <v>8134816.5899999999</v>
      </c>
      <c r="C15" s="21">
        <v>130177.85833333335</v>
      </c>
      <c r="D15" s="22">
        <v>98.737480216869031</v>
      </c>
      <c r="E15" s="1"/>
      <c r="F15" s="20">
        <v>8641325.7200000007</v>
      </c>
      <c r="G15" s="21">
        <v>128241.29</v>
      </c>
      <c r="H15" s="22">
        <v>105.04069161625803</v>
      </c>
      <c r="I15" s="20">
        <v>8641325.7200000007</v>
      </c>
      <c r="J15" s="21">
        <v>128115</v>
      </c>
      <c r="K15" s="22">
        <v>104.11289387939597</v>
      </c>
      <c r="L15" s="20">
        <v>8271519.7600000007</v>
      </c>
      <c r="M15" s="21">
        <v>129930</v>
      </c>
      <c r="N15" s="22">
        <v>99.172782141644674</v>
      </c>
      <c r="O15" s="20">
        <v>8861688.3399999999</v>
      </c>
      <c r="P15" s="21">
        <v>129263.53333333334</v>
      </c>
      <c r="Q15" s="22">
        <v>98.841314525244101</v>
      </c>
      <c r="R15" s="20">
        <v>9695306.5999999996</v>
      </c>
      <c r="S15" s="21">
        <v>134469.34583333333</v>
      </c>
      <c r="T15" s="22">
        <v>113.39417989837223</v>
      </c>
      <c r="U15" s="20">
        <v>10448269.25</v>
      </c>
      <c r="V15" s="21">
        <v>133648</v>
      </c>
      <c r="W15" s="140">
        <v>119.22</v>
      </c>
      <c r="X15" s="147">
        <v>10982562.340000002</v>
      </c>
      <c r="Y15" s="21">
        <v>136916</v>
      </c>
      <c r="Z15" s="140">
        <v>120.56</v>
      </c>
      <c r="AA15" s="538">
        <v>12067388.890000001</v>
      </c>
      <c r="AB15" s="21">
        <v>132834</v>
      </c>
      <c r="AC15" s="30">
        <v>90.845633572729881</v>
      </c>
      <c r="AD15" s="159">
        <v>12779068.41</v>
      </c>
      <c r="AE15" s="21">
        <f>'Qtrly''s-Cntsht Book'!X240</f>
        <v>139381.94166666668</v>
      </c>
      <c r="AF15" s="30">
        <f t="shared" si="6"/>
        <v>91.683816835908857</v>
      </c>
      <c r="AG15" s="159">
        <v>12467851.560000001</v>
      </c>
      <c r="AH15" s="21">
        <f>'Qtrly''s-Cntsht Book'!X210</f>
        <v>146609.85416666669</v>
      </c>
      <c r="AI15" s="30">
        <f>AG15/AH15</f>
        <v>85.041020133793296</v>
      </c>
      <c r="AJ15" s="159">
        <v>14244441.1</v>
      </c>
      <c r="AK15" s="21">
        <f>'Qtrly''s-Cntsht Book'!X181</f>
        <v>157539.82</v>
      </c>
      <c r="AL15" s="30">
        <f>AJ15/AK15</f>
        <v>90.418035897209975</v>
      </c>
      <c r="AM15" s="382">
        <v>15292805.16</v>
      </c>
      <c r="AN15" s="466">
        <v>158056.86249999999</v>
      </c>
      <c r="AO15" s="30">
        <f>AM15/AN15</f>
        <v>96.755084961907315</v>
      </c>
      <c r="AP15" s="382">
        <v>15360566.380000001</v>
      </c>
      <c r="AQ15" s="466">
        <v>157342</v>
      </c>
      <c r="AR15" s="30">
        <f>AP15/AQ15</f>
        <v>97.625340849868451</v>
      </c>
      <c r="AS15" s="1088">
        <v>15004487</v>
      </c>
      <c r="AT15" s="1093">
        <v>146872.95833333334</v>
      </c>
      <c r="AU15" s="30">
        <f>AS15/AT15</f>
        <v>102.15962945300515</v>
      </c>
      <c r="AV15" s="159">
        <f>'BILLING RATE CALC'!C38</f>
        <v>14957571.449999999</v>
      </c>
      <c r="AW15" s="579">
        <f>'BILLING RATE CALC'!D38</f>
        <v>140722.70833333334</v>
      </c>
      <c r="AX15" s="30">
        <f>AV15/AW15</f>
        <v>106.29109990243815</v>
      </c>
    </row>
    <row r="16" spans="1:50" x14ac:dyDescent="0.2">
      <c r="A16" s="14" t="s">
        <v>91</v>
      </c>
      <c r="B16" s="20">
        <v>3868924.76</v>
      </c>
      <c r="C16" s="21">
        <v>35373.062499999993</v>
      </c>
      <c r="D16" s="22">
        <v>145.62235144875612</v>
      </c>
      <c r="E16" s="1"/>
      <c r="F16" s="20">
        <v>4147309.37</v>
      </c>
      <c r="G16" s="21">
        <v>39512.345000000001</v>
      </c>
      <c r="H16" s="22">
        <v>142.61972714018285</v>
      </c>
      <c r="I16" s="20">
        <v>4147309.37</v>
      </c>
      <c r="J16" s="21">
        <v>39420</v>
      </c>
      <c r="K16" s="22">
        <v>141.87139001567976</v>
      </c>
      <c r="L16" s="20">
        <v>4309167.79</v>
      </c>
      <c r="M16" s="21">
        <v>43920</v>
      </c>
      <c r="N16" s="22">
        <v>133.62544859345206</v>
      </c>
      <c r="O16" s="20">
        <v>4247216.13</v>
      </c>
      <c r="P16" s="21">
        <v>41160.776250000003</v>
      </c>
      <c r="Q16" s="22">
        <v>133.47211370645763</v>
      </c>
      <c r="R16" s="20">
        <v>4428785.87</v>
      </c>
      <c r="S16" s="21">
        <v>42733.59166666666</v>
      </c>
      <c r="T16" s="22">
        <v>144.93079174407586</v>
      </c>
      <c r="U16" s="20">
        <v>4844664.5</v>
      </c>
      <c r="V16" s="21">
        <v>40962</v>
      </c>
      <c r="W16" s="140">
        <v>159.31</v>
      </c>
      <c r="X16" s="147">
        <v>5212389.76</v>
      </c>
      <c r="Y16" s="21">
        <v>39962</v>
      </c>
      <c r="Z16" s="140">
        <v>170.78</v>
      </c>
      <c r="AA16" s="538">
        <v>5636452.7800000003</v>
      </c>
      <c r="AB16" s="21">
        <v>43264</v>
      </c>
      <c r="AC16" s="30">
        <v>130.28043592825443</v>
      </c>
      <c r="AD16" s="159">
        <v>5676041.6699999999</v>
      </c>
      <c r="AE16" s="21">
        <f>'Qtrly''s-Cntsht Book'!X241</f>
        <v>46919.837499999994</v>
      </c>
      <c r="AF16" s="30">
        <f t="shared" si="6"/>
        <v>120.97317408654709</v>
      </c>
      <c r="AG16" s="159">
        <v>5845331.9500000002</v>
      </c>
      <c r="AH16" s="21">
        <f>'Qtrly''s-Cntsht Book'!X211</f>
        <v>57401.420833333337</v>
      </c>
      <c r="AI16" s="30">
        <f>AG16/AH16</f>
        <v>101.83253071334398</v>
      </c>
      <c r="AJ16" s="159">
        <v>7724430.5899999999</v>
      </c>
      <c r="AK16" s="21">
        <f>'Qtrly''s-Cntsht Book'!X182</f>
        <v>56705.904999999999</v>
      </c>
      <c r="AL16" s="30">
        <f>AJ16/AK16</f>
        <v>136.21915724649841</v>
      </c>
      <c r="AM16" s="382">
        <v>8442685.8599999994</v>
      </c>
      <c r="AN16" s="468">
        <v>71491.029166666674</v>
      </c>
      <c r="AO16" s="30">
        <f>AM16/AN16</f>
        <v>118.09433936553926</v>
      </c>
      <c r="AP16" s="382">
        <v>8305514.0300000003</v>
      </c>
      <c r="AQ16" s="468">
        <v>70503</v>
      </c>
      <c r="AR16" s="30">
        <f>AP16/AQ16</f>
        <v>117.80369672212531</v>
      </c>
      <c r="AS16" s="1088">
        <v>8415108.7100000009</v>
      </c>
      <c r="AT16" s="1093">
        <v>67050.5</v>
      </c>
      <c r="AU16" s="30">
        <f>AS16/AT16</f>
        <v>125.50404113317576</v>
      </c>
      <c r="AV16" s="159">
        <f>'BILLING RATE CALC'!C39</f>
        <v>8388146.79</v>
      </c>
      <c r="AW16" s="579">
        <f>'BILLING RATE CALC'!D39</f>
        <v>59288.166666666672</v>
      </c>
      <c r="AX16" s="30">
        <f>AV16/AW16</f>
        <v>141.48096090001096</v>
      </c>
    </row>
    <row r="17" spans="1:50" ht="13.5" thickBot="1" x14ac:dyDescent="0.25">
      <c r="A17" s="15" t="s">
        <v>142</v>
      </c>
      <c r="B17" s="23">
        <v>165372.82999999999</v>
      </c>
      <c r="C17" s="24">
        <v>5900.8333333333339</v>
      </c>
      <c r="D17" s="25">
        <v>64.272797981864642</v>
      </c>
      <c r="E17" s="14"/>
      <c r="F17" s="23">
        <v>128974.18</v>
      </c>
      <c r="G17" s="24">
        <v>1520.8333333333335</v>
      </c>
      <c r="H17" s="25">
        <v>122.46229755228065</v>
      </c>
      <c r="I17" s="20" t="s">
        <v>254</v>
      </c>
      <c r="J17" s="21" t="s">
        <v>255</v>
      </c>
      <c r="K17" s="22" t="s">
        <v>256</v>
      </c>
      <c r="L17" t="s">
        <v>306</v>
      </c>
      <c r="M17" s="21" t="s">
        <v>307</v>
      </c>
      <c r="N17" s="22" t="s">
        <v>255</v>
      </c>
      <c r="O17" s="20" t="s">
        <v>306</v>
      </c>
      <c r="P17" s="21" t="s">
        <v>255</v>
      </c>
      <c r="Q17" s="22" t="s">
        <v>256</v>
      </c>
      <c r="R17" s="20" t="s">
        <v>306</v>
      </c>
      <c r="S17" s="21" t="s">
        <v>255</v>
      </c>
      <c r="T17" s="22" t="s">
        <v>255</v>
      </c>
      <c r="U17" s="20" t="s">
        <v>306</v>
      </c>
      <c r="V17" s="21" t="s">
        <v>255</v>
      </c>
      <c r="W17" s="140" t="s">
        <v>255</v>
      </c>
      <c r="X17" s="147" t="s">
        <v>306</v>
      </c>
      <c r="Y17" s="21" t="s">
        <v>255</v>
      </c>
      <c r="Z17" s="140" t="s">
        <v>255</v>
      </c>
      <c r="AA17" s="20" t="s">
        <v>306</v>
      </c>
      <c r="AB17" s="21" t="s">
        <v>255</v>
      </c>
      <c r="AC17" s="22" t="s">
        <v>255</v>
      </c>
      <c r="AD17" s="158" t="s">
        <v>306</v>
      </c>
      <c r="AE17" s="21" t="s">
        <v>255</v>
      </c>
      <c r="AF17" s="22" t="s">
        <v>255</v>
      </c>
      <c r="AG17" s="158" t="s">
        <v>306</v>
      </c>
      <c r="AH17" s="543" t="s">
        <v>488</v>
      </c>
      <c r="AI17" s="22" t="s">
        <v>255</v>
      </c>
      <c r="AJ17" s="158" t="s">
        <v>306</v>
      </c>
      <c r="AK17" s="21" t="s">
        <v>255</v>
      </c>
      <c r="AL17" s="22" t="s">
        <v>255</v>
      </c>
      <c r="AM17" s="158" t="s">
        <v>306</v>
      </c>
      <c r="AN17" s="21" t="s">
        <v>255</v>
      </c>
      <c r="AO17" s="22" t="s">
        <v>255</v>
      </c>
      <c r="AP17" s="158" t="s">
        <v>306</v>
      </c>
      <c r="AQ17" s="21" t="s">
        <v>255</v>
      </c>
      <c r="AR17" s="22" t="s">
        <v>255</v>
      </c>
      <c r="AS17" s="1087" t="s">
        <v>306</v>
      </c>
      <c r="AT17" s="1090" t="s">
        <v>255</v>
      </c>
      <c r="AU17" s="22" t="s">
        <v>255</v>
      </c>
      <c r="AV17" s="158" t="s">
        <v>306</v>
      </c>
      <c r="AW17" s="21" t="s">
        <v>255</v>
      </c>
      <c r="AX17" s="22" t="s">
        <v>255</v>
      </c>
    </row>
    <row r="18" spans="1:50" ht="14.25" thickTop="1" thickBot="1" x14ac:dyDescent="0.25">
      <c r="A18" s="16" t="s">
        <v>61</v>
      </c>
      <c r="B18" s="26">
        <v>80209969.890000015</v>
      </c>
      <c r="C18" s="27">
        <v>1040830.7454166668</v>
      </c>
      <c r="D18" s="150">
        <v>113.31</v>
      </c>
      <c r="E18" s="16"/>
      <c r="F18" s="26">
        <v>84520064.450000018</v>
      </c>
      <c r="G18" s="27">
        <v>1096697.1891666665</v>
      </c>
      <c r="H18" s="150">
        <v>114.96</v>
      </c>
      <c r="I18" s="26">
        <v>87100985.303000003</v>
      </c>
      <c r="J18" s="27">
        <v>1130770</v>
      </c>
      <c r="K18" s="150">
        <v>113.69</v>
      </c>
      <c r="L18" s="26">
        <v>86838486.000000015</v>
      </c>
      <c r="M18" s="27">
        <v>1164612</v>
      </c>
      <c r="N18" s="150">
        <v>110.08</v>
      </c>
      <c r="O18" s="26">
        <v>92104111.75999999</v>
      </c>
      <c r="P18" s="27">
        <v>1187552.5025000002</v>
      </c>
      <c r="Q18" s="150">
        <v>107.42</v>
      </c>
      <c r="R18" s="26">
        <v>101019978.05</v>
      </c>
      <c r="S18" s="27">
        <v>1257892.5649999997</v>
      </c>
      <c r="T18" s="150">
        <v>121.6</v>
      </c>
      <c r="U18" s="26">
        <v>112247971.41999999</v>
      </c>
      <c r="V18" s="27">
        <v>1274555</v>
      </c>
      <c r="W18" s="150">
        <v>129.11000000000001</v>
      </c>
      <c r="X18" s="148">
        <v>116257567.66000003</v>
      </c>
      <c r="Y18" s="149">
        <v>1356782</v>
      </c>
      <c r="Z18" s="537">
        <v>126.04</v>
      </c>
      <c r="AA18" s="26">
        <v>117625765.84999999</v>
      </c>
      <c r="AB18" s="27">
        <v>1290018</v>
      </c>
      <c r="AC18" s="150">
        <v>134.21</v>
      </c>
      <c r="AD18" s="160">
        <f>SUM(AD2:AD17)</f>
        <v>124375600.88</v>
      </c>
      <c r="AE18" s="27">
        <f>SUM(AE2:AE17)</f>
        <v>1369943.2458333331</v>
      </c>
      <c r="AF18" s="150">
        <v>136.44</v>
      </c>
      <c r="AG18" s="160">
        <f>SUM(AG2:AG17)</f>
        <v>123770220.69000001</v>
      </c>
      <c r="AH18" s="27">
        <f>SUM(AH2:AH17)</f>
        <v>1399615.6166666667</v>
      </c>
      <c r="AI18" s="150">
        <v>134.9</v>
      </c>
      <c r="AJ18" s="160">
        <f>SUM(AJ2:AJ17)</f>
        <v>137949523.11999997</v>
      </c>
      <c r="AK18" s="27">
        <f>SUM(AK2:AK17)</f>
        <v>1410128.1550000003</v>
      </c>
      <c r="AL18" s="150">
        <v>147.21</v>
      </c>
      <c r="AM18" s="160">
        <f>SUM(AM2:AM17)</f>
        <v>190608052.26999998</v>
      </c>
      <c r="AN18" s="27">
        <f>SUM(AN2:AN17)</f>
        <v>1838805.5166666661</v>
      </c>
      <c r="AO18" s="150">
        <v>142.66</v>
      </c>
      <c r="AP18" s="160">
        <f>SUM(AP2:AP17)</f>
        <v>188818230.76000002</v>
      </c>
      <c r="AQ18" s="27">
        <f>SUM(AQ2:AQ17)</f>
        <v>1869445</v>
      </c>
      <c r="AR18" s="150">
        <v>141.16999999999999</v>
      </c>
      <c r="AS18" s="1089">
        <v>184917172.89000002</v>
      </c>
      <c r="AT18" s="1091">
        <v>1757109.9999999998</v>
      </c>
      <c r="AU18" s="150">
        <v>149.62</v>
      </c>
      <c r="AV18" s="160">
        <f>SUM(AV2:AV17)</f>
        <v>177963493.48999995</v>
      </c>
      <c r="AW18" s="27">
        <f>SUM(AW2:AW17)</f>
        <v>1604160.1083333334</v>
      </c>
      <c r="AX18" s="691">
        <f>'BILLING RATE CALC'!J40</f>
        <v>162.48568937867071</v>
      </c>
    </row>
    <row r="19" spans="1:50" ht="13.5" thickTop="1" x14ac:dyDescent="0.2">
      <c r="AE19" s="161">
        <v>1369943</v>
      </c>
      <c r="AH19" s="497">
        <v>1399616</v>
      </c>
      <c r="AJ19" s="540">
        <v>137949523.12</v>
      </c>
      <c r="AK19" s="161">
        <v>1410128</v>
      </c>
      <c r="AM19" s="540">
        <v>190608052.27000001</v>
      </c>
      <c r="AN19" s="161">
        <v>1838806</v>
      </c>
      <c r="AP19" s="540">
        <v>188818230.75999999</v>
      </c>
      <c r="AQ19" s="161">
        <v>1869445</v>
      </c>
      <c r="AS19" s="540">
        <v>184917172.88999999</v>
      </c>
      <c r="AT19" s="161">
        <v>1757110</v>
      </c>
      <c r="AV19" s="540">
        <v>184917172.88999999</v>
      </c>
      <c r="AW19" s="161">
        <v>1757110</v>
      </c>
    </row>
    <row r="20" spans="1:50" x14ac:dyDescent="0.2">
      <c r="X20" s="142"/>
      <c r="Z20" s="143"/>
      <c r="AJ20" s="540"/>
      <c r="AK20" s="116"/>
      <c r="AM20" s="540"/>
      <c r="AP20" s="540"/>
      <c r="AS20" s="540"/>
      <c r="AV20" s="540"/>
    </row>
    <row r="21" spans="1:50" x14ac:dyDescent="0.2">
      <c r="A21" t="s">
        <v>351</v>
      </c>
      <c r="AJ21" s="540"/>
    </row>
    <row r="25" spans="1:50" x14ac:dyDescent="0.2">
      <c r="A25" s="162" t="s">
        <v>989</v>
      </c>
    </row>
    <row r="42" spans="29:32" x14ac:dyDescent="0.2">
      <c r="AC42" t="s">
        <v>348</v>
      </c>
      <c r="AF42" t="s">
        <v>348</v>
      </c>
    </row>
  </sheetData>
  <phoneticPr fontId="21" type="noConversion"/>
  <pageMargins left="0" right="0" top="1.5" bottom="1" header="0.33" footer="0.5"/>
  <pageSetup scale="79" fitToHeight="0" orientation="landscape" r:id="rId1"/>
  <headerFooter alignWithMargins="0">
    <oddHeader>&amp;C&amp;"Arial,Bold"&amp;12DEPARTMENT OF CORRECTIONS
 COST OF CARE Year 2018
(Based on Fiscal Year 2017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K25" sqref="K25"/>
    </sheetView>
  </sheetViews>
  <sheetFormatPr defaultRowHeight="12.75" x14ac:dyDescent="0.2"/>
  <cols>
    <col min="1" max="1" width="33.28515625" customWidth="1"/>
  </cols>
  <sheetData>
    <row r="4" spans="1:1" x14ac:dyDescent="0.2">
      <c r="A4" s="836"/>
    </row>
    <row r="5" spans="1:1" x14ac:dyDescent="0.2">
      <c r="A5" s="1057"/>
    </row>
    <row r="6" spans="1:1" x14ac:dyDescent="0.2">
      <c r="A6" s="1057"/>
    </row>
    <row r="7" spans="1:1" x14ac:dyDescent="0.2">
      <c r="A7" s="1057"/>
    </row>
    <row r="8" spans="1:1" x14ac:dyDescent="0.2">
      <c r="A8" s="1057"/>
    </row>
    <row r="9" spans="1:1" x14ac:dyDescent="0.2">
      <c r="A9" s="1057"/>
    </row>
    <row r="10" spans="1:1" x14ac:dyDescent="0.2">
      <c r="A10" s="1057"/>
    </row>
    <row r="11" spans="1:1" x14ac:dyDescent="0.2">
      <c r="A11" s="1057"/>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23</vt:i4>
      </vt:variant>
    </vt:vector>
  </HeadingPairs>
  <TitlesOfParts>
    <vt:vector size="45" baseType="lpstr">
      <vt:lpstr>Daily Cost Calc</vt:lpstr>
      <vt:lpstr>Sched-A</vt:lpstr>
      <vt:lpstr>Sched-B1</vt:lpstr>
      <vt:lpstr>Sched-B2</vt:lpstr>
      <vt:lpstr>Sched-C</vt:lpstr>
      <vt:lpstr>Sched-D1</vt:lpstr>
      <vt:lpstr>Sched-D2</vt:lpstr>
      <vt:lpstr>Sched-E</vt:lpstr>
      <vt:lpstr>Summary-Sched-E</vt:lpstr>
      <vt:lpstr>Sched-F-G</vt:lpstr>
      <vt:lpstr>Property Inventory</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2014-2017 COMPARISON</vt:lpstr>
      <vt:lpstr>Sheet1</vt:lpstr>
      <vt:lpstr>'Avg Daily Community Jails'!Print_Area</vt:lpstr>
      <vt:lpstr>'BILLING RATE CALC'!Print_Area</vt:lpstr>
      <vt:lpstr>'COC 2014-2017 COMPARISON'!Print_Area</vt:lpstr>
      <vt:lpstr>'COST ALLOCATION'!Print_Area</vt:lpstr>
      <vt:lpstr>CostReim!Print_Area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'Sched-B2'!Print_Area</vt:lpstr>
      <vt:lpstr>'Sched-C'!Print_Area</vt:lpstr>
      <vt:lpstr>'Sched-D1'!Print_Area</vt:lpstr>
      <vt:lpstr>'Sched-D2'!Print_Area</vt:lpstr>
      <vt:lpstr>'Sched-E'!Print_Area</vt:lpstr>
      <vt:lpstr>'Sched-F-G'!Print_Area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2025-12-31T20:30:19Z</cp:lastPrinted>
  <dcterms:created xsi:type="dcterms:W3CDTF">1998-10-01T18:59:57Z</dcterms:created>
  <dcterms:modified xsi:type="dcterms:W3CDTF">2025-12-31T20:30:33Z</dcterms:modified>
</cp:coreProperties>
</file>