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12091D4B-9560-436B-A126-4CAEFC64CB93}"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4-2017 COMPARISON" sheetId="23" r:id="rId21"/>
    <sheet name="Sheet1" sheetId="31" r:id="rId22"/>
  </sheets>
  <externalReferences>
    <externalReference r:id="rId23"/>
  </externalReferences>
  <definedNames>
    <definedName name="_xlnm._FilterDatabase" localSheetId="10" hidden="1">'Property Inventory'!$A$2:$G$55</definedName>
    <definedName name="_xlnm.Print_Area" localSheetId="15">'Avg Daily Community Jails'!$A$85:$Q$126</definedName>
    <definedName name="_xlnm.Print_Area" localSheetId="13">'BILLING RATE CALC'!$A$1:$K$40</definedName>
    <definedName name="_xlnm.Print_Area" localSheetId="20">'COC 2014-2017 COMPARISON'!$A$1:$BC$23</definedName>
    <definedName name="_xlnm.Print_Area" localSheetId="12">'COST ALLOCATION'!$A$1:$J$50</definedName>
    <definedName name="_xlnm.Print_Area" localSheetId="11">CostReim!$A$1:$F$31</definedName>
    <definedName name="_xlnm.Print_Area" localSheetId="0">'Daily Cost Calc'!$A$1:$B$41</definedName>
    <definedName name="_xlnm.Print_Area" localSheetId="16">'IADP-By Gender'!$A$3:$M$45</definedName>
    <definedName name="_xlnm.Print_Area" localSheetId="14">'Inmate Avg Daily Population'!$A$1:$O$28</definedName>
    <definedName name="_xlnm.Print_Area" localSheetId="17">'Monthly PO Workload Stats'!$A$262:$R$283</definedName>
    <definedName name="_xlnm.Print_Area" localSheetId="10">'Property Inventory'!$A$1:$G$53</definedName>
    <definedName name="_xlnm.Print_Area" localSheetId="18">'Qtrly''s-Cntsht Book'!$A$1:$Y$35</definedName>
    <definedName name="_xlnm.Print_Area" localSheetId="3">'Sched-B2'!$A$1:$E$225</definedName>
    <definedName name="_xlnm.Print_Area" localSheetId="4">'Sched-C'!$A$1:$D$25</definedName>
    <definedName name="_xlnm.Print_Area" localSheetId="5">'Sched-D1'!$A$1:$F$659</definedName>
    <definedName name="_xlnm.Print_Area" localSheetId="6">'Sched-D2'!$A$1:$F$114</definedName>
    <definedName name="_xlnm.Print_Area" localSheetId="7">'Sched-E'!$A$1:$E$8</definedName>
    <definedName name="_xlnm.Print_Area" localSheetId="9">'Sched-F-G'!$A$1:$E$41</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4" l="1"/>
  <c r="AU3" i="23" l="1"/>
  <c r="AU2" i="23"/>
  <c r="AU14" i="23"/>
  <c r="AQ18" i="23"/>
  <c r="AP18" i="23"/>
  <c r="AR16" i="23"/>
  <c r="AR15" i="23"/>
  <c r="AR14" i="23"/>
  <c r="AR12" i="23"/>
  <c r="AR11" i="23"/>
  <c r="AR10" i="23"/>
  <c r="AR9" i="23"/>
  <c r="AR8" i="23"/>
  <c r="AR7" i="23"/>
  <c r="AR6" i="23"/>
  <c r="AR5" i="23"/>
  <c r="AR3" i="23"/>
  <c r="AR2" i="23"/>
  <c r="L23" i="28" l="1"/>
  <c r="F29" i="19" s="1"/>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N280" i="30" l="1"/>
  <c r="M280" i="30"/>
  <c r="L280" i="30"/>
  <c r="K280" i="30"/>
  <c r="J280" i="30"/>
  <c r="I280" i="30"/>
  <c r="H280" i="30"/>
  <c r="G280" i="30"/>
  <c r="F280" i="30"/>
  <c r="E280" i="30"/>
  <c r="D280" i="30"/>
  <c r="C280" i="30"/>
  <c r="N279" i="30"/>
  <c r="M279" i="30"/>
  <c r="L279" i="30"/>
  <c r="K279" i="30"/>
  <c r="J279" i="30"/>
  <c r="I279" i="30"/>
  <c r="H279" i="30"/>
  <c r="G279" i="30"/>
  <c r="F279" i="30"/>
  <c r="E279" i="30"/>
  <c r="D279" i="30"/>
  <c r="C279" i="30"/>
  <c r="N278" i="30"/>
  <c r="M278" i="30"/>
  <c r="L278" i="30"/>
  <c r="K278" i="30"/>
  <c r="J278" i="30"/>
  <c r="I278" i="30"/>
  <c r="H278" i="30"/>
  <c r="G278" i="30"/>
  <c r="F278" i="30"/>
  <c r="E278" i="30"/>
  <c r="D278" i="30"/>
  <c r="C278" i="30"/>
  <c r="N277" i="30"/>
  <c r="M277" i="30"/>
  <c r="L277" i="30"/>
  <c r="K277" i="30"/>
  <c r="J277" i="30"/>
  <c r="I277" i="30"/>
  <c r="H277" i="30"/>
  <c r="G277" i="30"/>
  <c r="F277" i="30"/>
  <c r="E277" i="30"/>
  <c r="D277" i="30"/>
  <c r="C277" i="30"/>
  <c r="N276" i="30"/>
  <c r="M276" i="30"/>
  <c r="L276" i="30"/>
  <c r="K276" i="30"/>
  <c r="J276" i="30"/>
  <c r="I276" i="30"/>
  <c r="H276" i="30"/>
  <c r="G276" i="30"/>
  <c r="F276" i="30"/>
  <c r="E276" i="30"/>
  <c r="D276" i="30"/>
  <c r="C276" i="30"/>
  <c r="N275" i="30"/>
  <c r="M275" i="30"/>
  <c r="L275" i="30"/>
  <c r="K275" i="30"/>
  <c r="J275" i="30"/>
  <c r="I275" i="30"/>
  <c r="H275" i="30"/>
  <c r="G275" i="30"/>
  <c r="F275" i="30"/>
  <c r="E275" i="30"/>
  <c r="D275" i="30"/>
  <c r="C275" i="30"/>
  <c r="N274" i="30"/>
  <c r="M274" i="30"/>
  <c r="L274" i="30"/>
  <c r="K274" i="30"/>
  <c r="J274" i="30"/>
  <c r="I274" i="30"/>
  <c r="H274" i="30"/>
  <c r="G274" i="30"/>
  <c r="F274" i="30"/>
  <c r="E274" i="30"/>
  <c r="D274" i="30"/>
  <c r="C274" i="30"/>
  <c r="N273" i="30"/>
  <c r="M273" i="30"/>
  <c r="L273" i="30"/>
  <c r="K273" i="30"/>
  <c r="J273" i="30"/>
  <c r="I273" i="30"/>
  <c r="H273" i="30"/>
  <c r="G273" i="30"/>
  <c r="F273" i="30"/>
  <c r="E273" i="30"/>
  <c r="D273" i="30"/>
  <c r="C273" i="30"/>
  <c r="N272" i="30"/>
  <c r="M272" i="30"/>
  <c r="L272" i="30"/>
  <c r="K272" i="30"/>
  <c r="J272" i="30"/>
  <c r="I272" i="30"/>
  <c r="H272" i="30"/>
  <c r="G272" i="30"/>
  <c r="F272" i="30"/>
  <c r="E272" i="30"/>
  <c r="D272" i="30"/>
  <c r="C272" i="30"/>
  <c r="N271" i="30"/>
  <c r="M271" i="30"/>
  <c r="L271" i="30"/>
  <c r="K271" i="30"/>
  <c r="J271" i="30"/>
  <c r="I271" i="30"/>
  <c r="H271" i="30"/>
  <c r="G271" i="30"/>
  <c r="F271" i="30"/>
  <c r="E271" i="30"/>
  <c r="D271" i="30"/>
  <c r="C271" i="30"/>
  <c r="N270" i="30"/>
  <c r="M270" i="30"/>
  <c r="L270" i="30"/>
  <c r="K270" i="30"/>
  <c r="J270" i="30"/>
  <c r="I270" i="30"/>
  <c r="H270" i="30"/>
  <c r="G270" i="30"/>
  <c r="F270" i="30"/>
  <c r="E270" i="30"/>
  <c r="D270" i="30"/>
  <c r="C270" i="30"/>
  <c r="N269" i="30"/>
  <c r="M269" i="30"/>
  <c r="L269" i="30"/>
  <c r="K269" i="30"/>
  <c r="J269" i="30"/>
  <c r="I269" i="30"/>
  <c r="H269" i="30"/>
  <c r="G269" i="30"/>
  <c r="F269" i="30"/>
  <c r="E269" i="30"/>
  <c r="D269" i="30"/>
  <c r="C269" i="30"/>
  <c r="N268" i="30"/>
  <c r="M268" i="30"/>
  <c r="L268" i="30"/>
  <c r="K268" i="30"/>
  <c r="J268" i="30"/>
  <c r="I268" i="30"/>
  <c r="H268" i="30"/>
  <c r="G268" i="30"/>
  <c r="F268" i="30"/>
  <c r="E268" i="30"/>
  <c r="D268" i="30"/>
  <c r="C268" i="30"/>
  <c r="N267" i="30"/>
  <c r="M267" i="30"/>
  <c r="L267" i="30"/>
  <c r="K267" i="30"/>
  <c r="J267" i="30"/>
  <c r="I267" i="30"/>
  <c r="H267" i="30"/>
  <c r="G267" i="30"/>
  <c r="F267" i="30"/>
  <c r="E267" i="30"/>
  <c r="D267" i="30"/>
  <c r="C267" i="30"/>
  <c r="N266" i="30"/>
  <c r="M266" i="30"/>
  <c r="L266" i="30"/>
  <c r="K266" i="30"/>
  <c r="J266" i="30"/>
  <c r="I266" i="30"/>
  <c r="H266" i="30"/>
  <c r="G266" i="30"/>
  <c r="F266" i="30"/>
  <c r="E266" i="30"/>
  <c r="D266" i="30"/>
  <c r="C266" i="30"/>
  <c r="N265" i="30"/>
  <c r="M265" i="30"/>
  <c r="L265" i="30"/>
  <c r="K265" i="30"/>
  <c r="J265" i="30"/>
  <c r="I265" i="30"/>
  <c r="H265" i="30"/>
  <c r="G265" i="30"/>
  <c r="F265" i="30"/>
  <c r="E265" i="30"/>
  <c r="D265" i="30"/>
  <c r="C265" i="30"/>
  <c r="N264" i="30"/>
  <c r="M264" i="30"/>
  <c r="L264" i="30"/>
  <c r="K264" i="30"/>
  <c r="J264" i="30"/>
  <c r="I264" i="30"/>
  <c r="H264" i="30"/>
  <c r="G264" i="30"/>
  <c r="F264" i="30"/>
  <c r="E264" i="30"/>
  <c r="D264" i="30"/>
  <c r="C264" i="30"/>
  <c r="O260" i="30"/>
  <c r="O259" i="30"/>
  <c r="O258" i="30"/>
  <c r="P258" i="30" s="1"/>
  <c r="Q258" i="30" s="1"/>
  <c r="O257" i="30"/>
  <c r="O256" i="30"/>
  <c r="P256" i="30" s="1"/>
  <c r="Q256" i="30" s="1"/>
  <c r="O255" i="30"/>
  <c r="O254" i="30"/>
  <c r="O251" i="30"/>
  <c r="O250" i="30"/>
  <c r="O249" i="30"/>
  <c r="O248" i="30"/>
  <c r="P248" i="30" s="1"/>
  <c r="Q248" i="30" s="1"/>
  <c r="O247" i="30"/>
  <c r="P247" i="30" s="1"/>
  <c r="Q247" i="30" s="1"/>
  <c r="O246" i="30"/>
  <c r="O245" i="30"/>
  <c r="O244" i="30"/>
  <c r="O243" i="30"/>
  <c r="O242" i="30"/>
  <c r="P242" i="30" s="1"/>
  <c r="Q242" i="30" s="1"/>
  <c r="O241" i="30"/>
  <c r="O240" i="30"/>
  <c r="P240" i="30" s="1"/>
  <c r="Q240" i="30" s="1"/>
  <c r="O239" i="30"/>
  <c r="O238" i="30"/>
  <c r="O237" i="30"/>
  <c r="O236" i="30"/>
  <c r="O235" i="30"/>
  <c r="O231" i="30"/>
  <c r="P231" i="30" s="1"/>
  <c r="Q231" i="30" s="1"/>
  <c r="O230" i="30"/>
  <c r="P230" i="30" s="1"/>
  <c r="Q230" i="30" s="1"/>
  <c r="O229" i="30"/>
  <c r="O228" i="30"/>
  <c r="P229" i="30" s="1"/>
  <c r="Q229" i="30" s="1"/>
  <c r="O227" i="30"/>
  <c r="O226" i="30"/>
  <c r="O225" i="30"/>
  <c r="O224" i="30"/>
  <c r="O223" i="30"/>
  <c r="P223" i="30" s="1"/>
  <c r="Q223" i="30" s="1"/>
  <c r="O222" i="30"/>
  <c r="O221" i="30"/>
  <c r="O220" i="30"/>
  <c r="P221" i="30" s="1"/>
  <c r="Q221" i="30" s="1"/>
  <c r="O219" i="30"/>
  <c r="O218" i="30"/>
  <c r="O217" i="30"/>
  <c r="P216" i="30"/>
  <c r="Q216" i="30" s="1"/>
  <c r="O216" i="30"/>
  <c r="O215" i="30"/>
  <c r="O212" i="30"/>
  <c r="O211" i="30"/>
  <c r="O210" i="30"/>
  <c r="P210" i="30" s="1"/>
  <c r="Q210" i="30" s="1"/>
  <c r="O209" i="30"/>
  <c r="O208" i="30"/>
  <c r="P209" i="30" s="1"/>
  <c r="Q209" i="30" s="1"/>
  <c r="O207" i="30"/>
  <c r="O206" i="30"/>
  <c r="O205" i="30"/>
  <c r="O204" i="30"/>
  <c r="P205" i="30" s="1"/>
  <c r="Q205" i="30" s="1"/>
  <c r="O203" i="30"/>
  <c r="O202" i="30"/>
  <c r="P202" i="30" s="1"/>
  <c r="Q202" i="30" s="1"/>
  <c r="O201" i="30"/>
  <c r="O200" i="30"/>
  <c r="O199" i="30"/>
  <c r="P199" i="30" s="1"/>
  <c r="Q199" i="30" s="1"/>
  <c r="O198" i="30"/>
  <c r="O197" i="30"/>
  <c r="O196" i="30"/>
  <c r="P197" i="30" s="1"/>
  <c r="Q197" i="30" s="1"/>
  <c r="O193" i="30"/>
  <c r="O192" i="30"/>
  <c r="P193" i="30" s="1"/>
  <c r="Q193" i="30" s="1"/>
  <c r="O191" i="30"/>
  <c r="O190" i="30"/>
  <c r="O189" i="30"/>
  <c r="O188" i="30"/>
  <c r="P189" i="30" s="1"/>
  <c r="Q189" i="30" s="1"/>
  <c r="O187" i="30"/>
  <c r="O186" i="30"/>
  <c r="P186" i="30" s="1"/>
  <c r="Q186" i="30" s="1"/>
  <c r="O185" i="30"/>
  <c r="O184" i="30"/>
  <c r="O183" i="30"/>
  <c r="P183" i="30" s="1"/>
  <c r="Q183" i="30" s="1"/>
  <c r="O182" i="30"/>
  <c r="O181" i="30"/>
  <c r="O180" i="30"/>
  <c r="P181" i="30" s="1"/>
  <c r="Q181" i="30" s="1"/>
  <c r="O179" i="30"/>
  <c r="O178" i="30"/>
  <c r="P178" i="30" s="1"/>
  <c r="Q178" i="30" s="1"/>
  <c r="O177" i="30"/>
  <c r="O173" i="30"/>
  <c r="O172" i="30"/>
  <c r="O171" i="30"/>
  <c r="P172" i="30" s="1"/>
  <c r="Q172" i="30" s="1"/>
  <c r="O170" i="30"/>
  <c r="O169" i="30"/>
  <c r="P169" i="30" s="1"/>
  <c r="Q169" i="30" s="1"/>
  <c r="O168" i="30"/>
  <c r="O167" i="30"/>
  <c r="O166" i="30"/>
  <c r="P166" i="30" s="1"/>
  <c r="Q166" i="30" s="1"/>
  <c r="O165" i="30"/>
  <c r="O164" i="30"/>
  <c r="O163" i="30"/>
  <c r="P164" i="30" s="1"/>
  <c r="Q164" i="30" s="1"/>
  <c r="O162" i="30"/>
  <c r="O161" i="30"/>
  <c r="P161" i="30" s="1"/>
  <c r="Q161" i="30" s="1"/>
  <c r="O160" i="30"/>
  <c r="O159" i="30"/>
  <c r="P160" i="30" s="1"/>
  <c r="Q160" i="30" s="1"/>
  <c r="O158" i="30"/>
  <c r="O157" i="30"/>
  <c r="O154" i="30"/>
  <c r="O153" i="30"/>
  <c r="P153" i="30" s="1"/>
  <c r="Q153" i="30" s="1"/>
  <c r="O152" i="30"/>
  <c r="O151" i="30"/>
  <c r="O150" i="30"/>
  <c r="P150" i="30" s="1"/>
  <c r="Q150" i="30" s="1"/>
  <c r="O149" i="30"/>
  <c r="O148" i="30"/>
  <c r="O147" i="30"/>
  <c r="P148" i="30" s="1"/>
  <c r="Q148" i="30" s="1"/>
  <c r="O146" i="30"/>
  <c r="O145" i="30"/>
  <c r="P145" i="30" s="1"/>
  <c r="Q145" i="30" s="1"/>
  <c r="O144" i="30"/>
  <c r="O143" i="30"/>
  <c r="P144" i="30" s="1"/>
  <c r="Q144" i="30" s="1"/>
  <c r="O142" i="30"/>
  <c r="O141" i="30"/>
  <c r="O140" i="30"/>
  <c r="O139" i="30"/>
  <c r="O138" i="30"/>
  <c r="O135" i="30"/>
  <c r="P135" i="30" s="1"/>
  <c r="Q135" i="30" s="1"/>
  <c r="O134" i="30"/>
  <c r="O133" i="30"/>
  <c r="P133" i="30" s="1"/>
  <c r="Q133" i="30" s="1"/>
  <c r="O132" i="30"/>
  <c r="P132" i="30" s="1"/>
  <c r="Q132" i="30" s="1"/>
  <c r="O131" i="30"/>
  <c r="P131" i="30" s="1"/>
  <c r="Q131" i="30" s="1"/>
  <c r="O130" i="30"/>
  <c r="O129" i="30"/>
  <c r="P129" i="30" s="1"/>
  <c r="Q129" i="30" s="1"/>
  <c r="O128" i="30"/>
  <c r="O127" i="30"/>
  <c r="O126" i="30"/>
  <c r="P126" i="30" s="1"/>
  <c r="Q126" i="30" s="1"/>
  <c r="O125" i="30"/>
  <c r="O124" i="30"/>
  <c r="O123" i="30"/>
  <c r="P123" i="30" s="1"/>
  <c r="Q123" i="30" s="1"/>
  <c r="O122" i="30"/>
  <c r="O121" i="30"/>
  <c r="P121" i="30" s="1"/>
  <c r="Q121" i="30" s="1"/>
  <c r="O120" i="30"/>
  <c r="O119" i="30"/>
  <c r="P120" i="30" s="1"/>
  <c r="Q120" i="30" s="1"/>
  <c r="O115" i="30"/>
  <c r="O114" i="30"/>
  <c r="P115" i="30" s="1"/>
  <c r="Q115" i="30" s="1"/>
  <c r="O113" i="30"/>
  <c r="O112" i="30"/>
  <c r="P112" i="30" s="1"/>
  <c r="Q112" i="30" s="1"/>
  <c r="O111" i="30"/>
  <c r="O110" i="30"/>
  <c r="O109" i="30"/>
  <c r="P109" i="30" s="1"/>
  <c r="Q109" i="30" s="1"/>
  <c r="O108" i="30"/>
  <c r="O107" i="30"/>
  <c r="O106" i="30"/>
  <c r="P107" i="30" s="1"/>
  <c r="Q107" i="30" s="1"/>
  <c r="O105" i="30"/>
  <c r="O104" i="30"/>
  <c r="P104" i="30" s="1"/>
  <c r="Q104" i="30" s="1"/>
  <c r="O103" i="30"/>
  <c r="O102" i="30"/>
  <c r="O101" i="30"/>
  <c r="O100" i="30"/>
  <c r="O99" i="30"/>
  <c r="O96" i="30"/>
  <c r="P96" i="30" s="1"/>
  <c r="Q96" i="30" s="1"/>
  <c r="O95" i="30"/>
  <c r="P95" i="30" s="1"/>
  <c r="Q95" i="30" s="1"/>
  <c r="O94" i="30"/>
  <c r="O93" i="30"/>
  <c r="P93" i="30" s="1"/>
  <c r="Q93" i="30" s="1"/>
  <c r="O92" i="30"/>
  <c r="O91" i="30"/>
  <c r="O90" i="30"/>
  <c r="O89" i="30"/>
  <c r="O88" i="30"/>
  <c r="P88" i="30" s="1"/>
  <c r="Q88" i="30" s="1"/>
  <c r="O87" i="30"/>
  <c r="O86" i="30"/>
  <c r="P86" i="30" s="1"/>
  <c r="Q86" i="30" s="1"/>
  <c r="O85" i="30"/>
  <c r="O84" i="30"/>
  <c r="P84" i="30" s="1"/>
  <c r="Q84" i="30" s="1"/>
  <c r="O83" i="30"/>
  <c r="O82" i="30"/>
  <c r="O81" i="30"/>
  <c r="O80" i="30"/>
  <c r="O77" i="30"/>
  <c r="P77" i="30" s="1"/>
  <c r="Q77" i="30" s="1"/>
  <c r="O76" i="30"/>
  <c r="P76" i="30" s="1"/>
  <c r="Q76" i="30" s="1"/>
  <c r="O75" i="30"/>
  <c r="O74" i="30"/>
  <c r="O73" i="30"/>
  <c r="O72" i="30"/>
  <c r="O71" i="30"/>
  <c r="P71" i="30" s="1"/>
  <c r="Q71" i="30" s="1"/>
  <c r="P70" i="30"/>
  <c r="Q70" i="30" s="1"/>
  <c r="O70" i="30"/>
  <c r="O69" i="30"/>
  <c r="P69" i="30" s="1"/>
  <c r="Q69" i="30" s="1"/>
  <c r="O68" i="30"/>
  <c r="O67" i="30"/>
  <c r="P67" i="30" s="1"/>
  <c r="Q67" i="30" s="1"/>
  <c r="O66" i="30"/>
  <c r="O65" i="30"/>
  <c r="P65" i="30" s="1"/>
  <c r="Q65" i="30" s="1"/>
  <c r="O64" i="30"/>
  <c r="O63" i="30"/>
  <c r="O62" i="30"/>
  <c r="P62" i="30" s="1"/>
  <c r="Q62" i="30" s="1"/>
  <c r="O61" i="30"/>
  <c r="P57" i="30"/>
  <c r="Q57" i="30" s="1"/>
  <c r="O57" i="30"/>
  <c r="O56" i="30"/>
  <c r="P56" i="30" s="1"/>
  <c r="Q56" i="30" s="1"/>
  <c r="O55" i="30"/>
  <c r="O54" i="30"/>
  <c r="O53" i="30"/>
  <c r="O52" i="30"/>
  <c r="O51" i="30"/>
  <c r="P51" i="30" s="1"/>
  <c r="Q51" i="30" s="1"/>
  <c r="O50" i="30"/>
  <c r="O49" i="30"/>
  <c r="P49" i="30" s="1"/>
  <c r="Q49" i="30" s="1"/>
  <c r="O48" i="30"/>
  <c r="O47" i="30"/>
  <c r="O46" i="30"/>
  <c r="P46" i="30" s="1"/>
  <c r="Q46" i="30" s="1"/>
  <c r="O45" i="30"/>
  <c r="O44" i="30"/>
  <c r="O43" i="30"/>
  <c r="P43" i="30" s="1"/>
  <c r="Q43" i="30" s="1"/>
  <c r="O42" i="30"/>
  <c r="O41" i="30"/>
  <c r="O38" i="30"/>
  <c r="O37" i="30"/>
  <c r="O36" i="30"/>
  <c r="P36" i="30" s="1"/>
  <c r="Q36" i="30" s="1"/>
  <c r="O35" i="30"/>
  <c r="O34" i="30"/>
  <c r="O33" i="30"/>
  <c r="P33" i="30" s="1"/>
  <c r="Q33" i="30" s="1"/>
  <c r="O32" i="30"/>
  <c r="P32" i="30" s="1"/>
  <c r="Q32" i="30" s="1"/>
  <c r="O31" i="30"/>
  <c r="O30" i="30"/>
  <c r="O29" i="30"/>
  <c r="O28" i="30"/>
  <c r="P28" i="30" s="1"/>
  <c r="Q28" i="30" s="1"/>
  <c r="O27" i="30"/>
  <c r="P27" i="30" s="1"/>
  <c r="Q27" i="30" s="1"/>
  <c r="Q26" i="30"/>
  <c r="O26" i="30"/>
  <c r="P26" i="30" s="1"/>
  <c r="O25" i="30"/>
  <c r="O24" i="30"/>
  <c r="O23" i="30"/>
  <c r="O22" i="30"/>
  <c r="O19" i="30"/>
  <c r="O18" i="30"/>
  <c r="O17" i="30"/>
  <c r="O16" i="30"/>
  <c r="O15" i="30"/>
  <c r="O14" i="30"/>
  <c r="P14" i="30" s="1"/>
  <c r="Q14" i="30" s="1"/>
  <c r="O13" i="30"/>
  <c r="O12" i="30"/>
  <c r="P13" i="30" s="1"/>
  <c r="Q13" i="30" s="1"/>
  <c r="O11" i="30"/>
  <c r="O10" i="30"/>
  <c r="O9" i="30"/>
  <c r="O8" i="30"/>
  <c r="P9" i="30" s="1"/>
  <c r="Q9" i="30" s="1"/>
  <c r="O7" i="30"/>
  <c r="P7" i="30" s="1"/>
  <c r="Q7" i="30" s="1"/>
  <c r="O6" i="30"/>
  <c r="O5" i="30"/>
  <c r="O4" i="30"/>
  <c r="O3" i="30"/>
  <c r="P47" i="30" l="1"/>
  <c r="Q47" i="30" s="1"/>
  <c r="P154" i="30"/>
  <c r="Q154" i="30" s="1"/>
  <c r="P38" i="30"/>
  <c r="Q38" i="30" s="1"/>
  <c r="P52" i="30"/>
  <c r="Q52" i="30" s="1"/>
  <c r="P105" i="30"/>
  <c r="Q105" i="30" s="1"/>
  <c r="P122" i="30"/>
  <c r="Q122" i="30" s="1"/>
  <c r="P134" i="30"/>
  <c r="Q134" i="30" s="1"/>
  <c r="P162" i="30"/>
  <c r="Q162" i="30" s="1"/>
  <c r="P179" i="30"/>
  <c r="Q179" i="30" s="1"/>
  <c r="P225" i="30"/>
  <c r="Q225" i="30" s="1"/>
  <c r="O266" i="30"/>
  <c r="P266" i="30" s="1"/>
  <c r="O273" i="30"/>
  <c r="P273" i="30" s="1"/>
  <c r="Q273" i="30" s="1"/>
  <c r="P54" i="30"/>
  <c r="Q54" i="30" s="1"/>
  <c r="P211" i="30"/>
  <c r="Q211" i="30" s="1"/>
  <c r="P243" i="30"/>
  <c r="Q243" i="30" s="1"/>
  <c r="P259" i="30"/>
  <c r="Q259" i="30" s="1"/>
  <c r="O265" i="30"/>
  <c r="P265" i="30" s="1"/>
  <c r="O272" i="30"/>
  <c r="P5" i="30"/>
  <c r="Q5" i="30" s="1"/>
  <c r="P15" i="30"/>
  <c r="Q15" i="30" s="1"/>
  <c r="P30" i="30"/>
  <c r="Q30" i="30" s="1"/>
  <c r="P42" i="30"/>
  <c r="Q42" i="30" s="1"/>
  <c r="P55" i="30"/>
  <c r="Q55" i="30" s="1"/>
  <c r="P68" i="30"/>
  <c r="Q68" i="30" s="1"/>
  <c r="P81" i="30"/>
  <c r="Q81" i="30" s="1"/>
  <c r="P92" i="30"/>
  <c r="Q92" i="30" s="1"/>
  <c r="P108" i="30"/>
  <c r="Q108" i="30" s="1"/>
  <c r="P125" i="30"/>
  <c r="Q125" i="30" s="1"/>
  <c r="P149" i="30"/>
  <c r="Q149" i="30" s="1"/>
  <c r="P165" i="30"/>
  <c r="Q165" i="30" s="1"/>
  <c r="P182" i="30"/>
  <c r="Q182" i="30" s="1"/>
  <c r="P198" i="30"/>
  <c r="Q198" i="30" s="1"/>
  <c r="P227" i="30"/>
  <c r="Q227" i="30" s="1"/>
  <c r="P244" i="30"/>
  <c r="Q244" i="30" s="1"/>
  <c r="P260" i="30"/>
  <c r="Q260" i="30" s="1"/>
  <c r="P91" i="30"/>
  <c r="Q91" i="30" s="1"/>
  <c r="P226" i="30"/>
  <c r="Q226" i="30" s="1"/>
  <c r="O277" i="30"/>
  <c r="P277" i="30" s="1"/>
  <c r="Q277" i="30" s="1"/>
  <c r="P140" i="30"/>
  <c r="Q140" i="30" s="1"/>
  <c r="O264" i="30"/>
  <c r="O271" i="30"/>
  <c r="P271" i="30" s="1"/>
  <c r="Q271" i="30" s="1"/>
  <c r="P6" i="30"/>
  <c r="Q6" i="30" s="1"/>
  <c r="P31" i="30"/>
  <c r="Q31" i="30" s="1"/>
  <c r="P44" i="30"/>
  <c r="Q44" i="30" s="1"/>
  <c r="P83" i="30"/>
  <c r="Q83" i="30" s="1"/>
  <c r="P110" i="30"/>
  <c r="Q110" i="30" s="1"/>
  <c r="P128" i="30"/>
  <c r="Q128" i="30" s="1"/>
  <c r="P139" i="30"/>
  <c r="Q139" i="30" s="1"/>
  <c r="P152" i="30"/>
  <c r="Q152" i="30" s="1"/>
  <c r="P168" i="30"/>
  <c r="Q168" i="30" s="1"/>
  <c r="P185" i="30"/>
  <c r="Q185" i="30" s="1"/>
  <c r="P201" i="30"/>
  <c r="Q201" i="30" s="1"/>
  <c r="P217" i="30"/>
  <c r="Q217" i="30" s="1"/>
  <c r="P246" i="30"/>
  <c r="Q246" i="30" s="1"/>
  <c r="O270" i="30"/>
  <c r="P270" i="30" s="1"/>
  <c r="Q270" i="30" s="1"/>
  <c r="P85" i="30"/>
  <c r="Q85" i="30" s="1"/>
  <c r="P141" i="30"/>
  <c r="Q141" i="30" s="1"/>
  <c r="P187" i="30"/>
  <c r="Q187" i="30" s="1"/>
  <c r="P218" i="30"/>
  <c r="Q218" i="30" s="1"/>
  <c r="O276" i="30"/>
  <c r="P34" i="30"/>
  <c r="Q34" i="30" s="1"/>
  <c r="P236" i="30"/>
  <c r="Q236" i="30" s="1"/>
  <c r="P10" i="30"/>
  <c r="Q10" i="30" s="1"/>
  <c r="P73" i="30"/>
  <c r="Q73" i="30" s="1"/>
  <c r="O275" i="30"/>
  <c r="P35" i="30"/>
  <c r="Q35" i="30" s="1"/>
  <c r="P87" i="30"/>
  <c r="Q87" i="30" s="1"/>
  <c r="P102" i="30"/>
  <c r="Q102" i="30" s="1"/>
  <c r="P143" i="30"/>
  <c r="Q143" i="30" s="1"/>
  <c r="P173" i="30"/>
  <c r="Q173" i="30" s="1"/>
  <c r="P190" i="30"/>
  <c r="Q190" i="30" s="1"/>
  <c r="P206" i="30"/>
  <c r="Q206" i="30" s="1"/>
  <c r="P238" i="30"/>
  <c r="Q238" i="30" s="1"/>
  <c r="P113" i="30"/>
  <c r="Q113" i="30" s="1"/>
  <c r="P170" i="30"/>
  <c r="Q170" i="30" s="1"/>
  <c r="P203" i="30"/>
  <c r="Q203" i="30" s="1"/>
  <c r="O269" i="30"/>
  <c r="P269" i="30" s="1"/>
  <c r="Q269" i="30" s="1"/>
  <c r="P48" i="30"/>
  <c r="Q48" i="30" s="1"/>
  <c r="P72" i="30"/>
  <c r="Q72" i="30" s="1"/>
  <c r="P100" i="30"/>
  <c r="Q100" i="30" s="1"/>
  <c r="P142" i="30"/>
  <c r="Q142" i="30" s="1"/>
  <c r="P219" i="30"/>
  <c r="Q219" i="30" s="1"/>
  <c r="P250" i="30"/>
  <c r="Q250" i="30" s="1"/>
  <c r="P24" i="30"/>
  <c r="Q24" i="30" s="1"/>
  <c r="P63" i="30"/>
  <c r="Q63" i="30" s="1"/>
  <c r="P101" i="30"/>
  <c r="Q101" i="30" s="1"/>
  <c r="P158" i="30"/>
  <c r="Q158" i="30" s="1"/>
  <c r="P251" i="30"/>
  <c r="Q251" i="30" s="1"/>
  <c r="O268" i="30"/>
  <c r="P268" i="30" s="1"/>
  <c r="P11" i="30"/>
  <c r="Q11" i="30" s="1"/>
  <c r="P50" i="30"/>
  <c r="Q50" i="30" s="1"/>
  <c r="P64" i="30"/>
  <c r="Q64" i="30" s="1"/>
  <c r="P75" i="30"/>
  <c r="Q75" i="30" s="1"/>
  <c r="P191" i="30"/>
  <c r="Q191" i="30" s="1"/>
  <c r="P207" i="30"/>
  <c r="Q207" i="30" s="1"/>
  <c r="P222" i="30"/>
  <c r="Q222" i="30" s="1"/>
  <c r="P239" i="30"/>
  <c r="Q239" i="30" s="1"/>
  <c r="P255" i="30"/>
  <c r="Q255" i="30" s="1"/>
  <c r="O267" i="30"/>
  <c r="P267" i="30" s="1"/>
  <c r="O274" i="30"/>
  <c r="P275" i="30" s="1"/>
  <c r="Q275" i="30" s="1"/>
  <c r="P29" i="30"/>
  <c r="Q29" i="30" s="1"/>
  <c r="P37" i="30"/>
  <c r="Q37" i="30" s="1"/>
  <c r="P66" i="30"/>
  <c r="Q66" i="30" s="1"/>
  <c r="P74" i="30"/>
  <c r="Q74" i="30" s="1"/>
  <c r="P82" i="30"/>
  <c r="Q82" i="30" s="1"/>
  <c r="P4" i="30"/>
  <c r="Q4" i="30" s="1"/>
  <c r="P8" i="30"/>
  <c r="Q8" i="30" s="1"/>
  <c r="P12" i="30"/>
  <c r="Q12" i="30" s="1"/>
  <c r="P16" i="30"/>
  <c r="Q16" i="30" s="1"/>
  <c r="P23" i="30"/>
  <c r="Q23" i="30" s="1"/>
  <c r="P25" i="30"/>
  <c r="Q25" i="30" s="1"/>
  <c r="P45" i="30"/>
  <c r="Q45" i="30" s="1"/>
  <c r="P53" i="30"/>
  <c r="Q53" i="30" s="1"/>
  <c r="P89" i="30"/>
  <c r="Q89" i="30" s="1"/>
  <c r="P90" i="30"/>
  <c r="Q90" i="30" s="1"/>
  <c r="P17" i="30"/>
  <c r="Q17" i="30" s="1"/>
  <c r="O280" i="30"/>
  <c r="P19" i="30"/>
  <c r="Q19" i="30" s="1"/>
  <c r="O279" i="30"/>
  <c r="O278" i="30"/>
  <c r="P18" i="30"/>
  <c r="Q18" i="30" s="1"/>
  <c r="P106" i="30"/>
  <c r="Q106" i="30" s="1"/>
  <c r="P114" i="30"/>
  <c r="Q114" i="30" s="1"/>
  <c r="P127" i="30"/>
  <c r="Q127" i="30" s="1"/>
  <c r="Q265" i="30"/>
  <c r="Q266" i="30"/>
  <c r="Q268" i="30"/>
  <c r="P276" i="30"/>
  <c r="Q276" i="30" s="1"/>
  <c r="P94" i="30"/>
  <c r="Q94" i="30" s="1"/>
  <c r="P103" i="30"/>
  <c r="Q103" i="30" s="1"/>
  <c r="P111" i="30"/>
  <c r="Q111" i="30" s="1"/>
  <c r="P124" i="30"/>
  <c r="Q124" i="30" s="1"/>
  <c r="P146" i="30"/>
  <c r="Q146" i="30" s="1"/>
  <c r="P147" i="30"/>
  <c r="Q147" i="30" s="1"/>
  <c r="P130" i="30"/>
  <c r="Q130" i="30" s="1"/>
  <c r="P151" i="30"/>
  <c r="Q151" i="30" s="1"/>
  <c r="P159" i="30"/>
  <c r="Q159" i="30" s="1"/>
  <c r="P163" i="30"/>
  <c r="Q163" i="30" s="1"/>
  <c r="P167" i="30"/>
  <c r="Q167" i="30" s="1"/>
  <c r="P171" i="30"/>
  <c r="Q171" i="30" s="1"/>
  <c r="P180" i="30"/>
  <c r="Q180" i="30" s="1"/>
  <c r="P184" i="30"/>
  <c r="Q184" i="30" s="1"/>
  <c r="P188" i="30"/>
  <c r="Q188" i="30" s="1"/>
  <c r="P192" i="30"/>
  <c r="Q192" i="30" s="1"/>
  <c r="P200" i="30"/>
  <c r="Q200" i="30" s="1"/>
  <c r="P204" i="30"/>
  <c r="Q204" i="30" s="1"/>
  <c r="P208" i="30"/>
  <c r="Q208" i="30" s="1"/>
  <c r="P212" i="30"/>
  <c r="Q212" i="30" s="1"/>
  <c r="P220" i="30"/>
  <c r="Q220" i="30" s="1"/>
  <c r="P224" i="30"/>
  <c r="Q224" i="30" s="1"/>
  <c r="P228" i="30"/>
  <c r="Q228" i="30" s="1"/>
  <c r="P237" i="30"/>
  <c r="Q237" i="30" s="1"/>
  <c r="P241" i="30"/>
  <c r="Q241" i="30" s="1"/>
  <c r="P245" i="30"/>
  <c r="Q245" i="30" s="1"/>
  <c r="P249" i="30"/>
  <c r="Q249" i="30" s="1"/>
  <c r="P257" i="30"/>
  <c r="Q257" i="30" s="1"/>
  <c r="P274" i="30" l="1"/>
  <c r="Q274" i="30" s="1"/>
  <c r="P280" i="30"/>
  <c r="Q280" i="30" s="1"/>
  <c r="B18" i="18"/>
  <c r="G282" i="30"/>
  <c r="P272" i="30"/>
  <c r="Q272" i="30" s="1"/>
  <c r="R275" i="30" s="1"/>
  <c r="P278" i="30"/>
  <c r="Q278" i="30" s="1"/>
  <c r="R279" i="30" s="1"/>
  <c r="Q267" i="30"/>
  <c r="R272" i="30" s="1"/>
  <c r="R278" i="30"/>
  <c r="R274" i="30"/>
  <c r="R277" i="30"/>
  <c r="R273" i="30"/>
  <c r="P279" i="30"/>
  <c r="Q279" i="30" s="1"/>
  <c r="R280" i="30"/>
  <c r="R276" i="30"/>
  <c r="R268" i="30"/>
  <c r="R267" i="30"/>
  <c r="R266" i="30"/>
  <c r="R269" i="30" l="1"/>
  <c r="R270" i="30"/>
  <c r="R271" i="30"/>
  <c r="V14" i="24"/>
  <c r="X5" i="24"/>
  <c r="F19" i="11"/>
  <c r="F45" i="11"/>
  <c r="E41" i="11" l="1"/>
  <c r="F25" i="11"/>
  <c r="F16" i="11"/>
  <c r="F48" i="11" s="1"/>
  <c r="F15" i="11"/>
  <c r="F47" i="11" s="1"/>
  <c r="F14" i="11"/>
  <c r="E10" i="16" s="1"/>
  <c r="F11" i="11"/>
  <c r="F9" i="11"/>
  <c r="D28" i="8"/>
  <c r="D23" i="8"/>
  <c r="D18" i="8"/>
  <c r="D15" i="8"/>
  <c r="D11" i="8"/>
  <c r="F11" i="8" s="1"/>
  <c r="D10" i="8"/>
  <c r="F10" i="8" s="1"/>
  <c r="D9" i="8"/>
  <c r="F46" i="11" l="1"/>
  <c r="F33" i="10"/>
  <c r="F7" i="10"/>
  <c r="F3" i="10"/>
  <c r="D17" i="3"/>
  <c r="D13" i="3"/>
  <c r="C8" i="3"/>
  <c r="C3" i="3"/>
  <c r="C13" i="3"/>
  <c r="H59" i="21" l="1"/>
  <c r="E99" i="21"/>
  <c r="E100" i="21"/>
  <c r="E103" i="21"/>
  <c r="E102" i="21"/>
  <c r="E97" i="21"/>
  <c r="E85" i="21"/>
  <c r="E79" i="21"/>
  <c r="E75" i="21"/>
  <c r="E65" i="21"/>
  <c r="E69" i="21"/>
  <c r="E49" i="21"/>
  <c r="E57" i="21"/>
  <c r="H43" i="21"/>
  <c r="H112" i="21" s="1"/>
  <c r="E47" i="21"/>
  <c r="E48" i="21"/>
  <c r="E33" i="21"/>
  <c r="E32" i="21"/>
  <c r="E31" i="21"/>
  <c r="E20" i="21"/>
  <c r="E18" i="21"/>
  <c r="F676" i="4"/>
  <c r="E602" i="4"/>
  <c r="E594" i="4"/>
  <c r="E593" i="4"/>
  <c r="E555" i="4"/>
  <c r="D456" i="4"/>
  <c r="D406" i="4"/>
  <c r="E398" i="4" s="1"/>
  <c r="D435" i="4"/>
  <c r="E435" i="4" s="1"/>
  <c r="E444" i="4"/>
  <c r="E436" i="4"/>
  <c r="E387" i="4"/>
  <c r="H299" i="4"/>
  <c r="E333" i="4"/>
  <c r="E342" i="4"/>
  <c r="E334" i="4"/>
  <c r="D12" i="8" l="1"/>
  <c r="F18" i="11"/>
  <c r="E9" i="16" s="1"/>
  <c r="F80" i="21"/>
  <c r="F603" i="4"/>
  <c r="F445" i="4"/>
  <c r="E297" i="4"/>
  <c r="E243" i="4"/>
  <c r="E286" i="4"/>
  <c r="E88" i="4"/>
  <c r="E80" i="4"/>
  <c r="E46" i="4"/>
  <c r="H46" i="4" s="1"/>
  <c r="H80" i="21" l="1"/>
  <c r="F23" i="11"/>
  <c r="F343" i="4"/>
  <c r="E43" i="4" l="1"/>
  <c r="E656" i="4"/>
  <c r="E648" i="4"/>
  <c r="E647" i="4"/>
  <c r="E605" i="4"/>
  <c r="F657" i="4" l="1"/>
  <c r="E446" i="4"/>
  <c r="E552" i="4"/>
  <c r="E544" i="4"/>
  <c r="E543" i="4"/>
  <c r="E501" i="4"/>
  <c r="E498" i="4"/>
  <c r="E490" i="4"/>
  <c r="E489" i="4"/>
  <c r="E447" i="4"/>
  <c r="E395" i="4"/>
  <c r="E386" i="4"/>
  <c r="E345" i="4"/>
  <c r="F553" i="4" l="1"/>
  <c r="F499" i="4"/>
  <c r="F396" i="4"/>
  <c r="D240" i="4"/>
  <c r="E240" i="4"/>
  <c r="E232" i="4"/>
  <c r="E231" i="4"/>
  <c r="E192" i="4"/>
  <c r="E189" i="4"/>
  <c r="E181" i="4"/>
  <c r="E180" i="4"/>
  <c r="E140" i="4"/>
  <c r="E91" i="4"/>
  <c r="E137" i="4"/>
  <c r="E129" i="4"/>
  <c r="E128" i="4"/>
  <c r="E35" i="4"/>
  <c r="F241" i="4" l="1"/>
  <c r="F138" i="4"/>
  <c r="F190" i="4"/>
  <c r="G14" i="2"/>
  <c r="G5" i="10" l="1"/>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4" i="10"/>
  <c r="G3" i="10"/>
  <c r="P122" i="32"/>
  <c r="O122" i="32"/>
  <c r="N122" i="32"/>
  <c r="M122" i="32"/>
  <c r="L122" i="32"/>
  <c r="K122" i="32"/>
  <c r="J122" i="32"/>
  <c r="I122" i="32"/>
  <c r="H122" i="32"/>
  <c r="G122" i="32"/>
  <c r="F122" i="32"/>
  <c r="E122" i="32"/>
  <c r="D122" i="32"/>
  <c r="C122" i="32"/>
  <c r="B122" i="32"/>
  <c r="P121" i="32"/>
  <c r="O121" i="32"/>
  <c r="N121" i="32"/>
  <c r="M121" i="32"/>
  <c r="L121" i="32"/>
  <c r="K121" i="32"/>
  <c r="J121" i="32"/>
  <c r="I121" i="32"/>
  <c r="H121" i="32"/>
  <c r="G121" i="32"/>
  <c r="F121" i="32"/>
  <c r="E121" i="32"/>
  <c r="D121" i="32"/>
  <c r="C121" i="32"/>
  <c r="B121" i="32"/>
  <c r="P103" i="32"/>
  <c r="O103" i="32"/>
  <c r="N103" i="32"/>
  <c r="M103" i="32"/>
  <c r="L103" i="32"/>
  <c r="K103" i="32"/>
  <c r="J103" i="32"/>
  <c r="I103" i="32"/>
  <c r="H103" i="32"/>
  <c r="G103" i="32"/>
  <c r="F103" i="32"/>
  <c r="E103" i="32"/>
  <c r="D103" i="32"/>
  <c r="C103" i="32"/>
  <c r="B103" i="32"/>
  <c r="P102" i="32"/>
  <c r="O102" i="32"/>
  <c r="N102" i="32"/>
  <c r="M102" i="32"/>
  <c r="L102" i="32"/>
  <c r="K102" i="32"/>
  <c r="J102" i="32"/>
  <c r="I102" i="32"/>
  <c r="H102" i="32"/>
  <c r="G102" i="32"/>
  <c r="F102" i="32"/>
  <c r="E102" i="32"/>
  <c r="D102" i="32"/>
  <c r="C102" i="32"/>
  <c r="B102" i="32"/>
  <c r="Q103" i="32" s="1"/>
  <c r="Q88" i="32"/>
  <c r="Q122" i="32" l="1"/>
  <c r="B124" i="32" l="1"/>
  <c r="H125" i="32" s="1"/>
  <c r="B25" i="18" s="1"/>
  <c r="H14" i="24"/>
  <c r="G14" i="24"/>
  <c r="X14" i="24"/>
  <c r="W14" i="24"/>
  <c r="B21" i="12"/>
  <c r="C21" i="12"/>
  <c r="D21" i="12"/>
  <c r="E21" i="12"/>
  <c r="F21" i="12"/>
  <c r="B22" i="12"/>
  <c r="C22" i="12"/>
  <c r="D22" i="12"/>
  <c r="E22" i="12"/>
  <c r="F22" i="12"/>
  <c r="G22" i="12"/>
  <c r="H22" i="12"/>
  <c r="I22" i="12"/>
  <c r="J22" i="12"/>
  <c r="K22" i="12"/>
  <c r="L22" i="12"/>
  <c r="M22" i="12"/>
  <c r="B23" i="12"/>
  <c r="C23" i="12"/>
  <c r="D23" i="12"/>
  <c r="E23" i="12"/>
  <c r="F23" i="12"/>
  <c r="G23" i="12"/>
  <c r="H23" i="12"/>
  <c r="I23" i="12"/>
  <c r="J23" i="12"/>
  <c r="K23" i="12"/>
  <c r="L23" i="12"/>
  <c r="M23" i="12"/>
  <c r="B24" i="12"/>
  <c r="C24" i="12"/>
  <c r="D24" i="12"/>
  <c r="E24" i="12"/>
  <c r="F24" i="12"/>
  <c r="G24" i="12"/>
  <c r="H24" i="12"/>
  <c r="I24" i="12"/>
  <c r="J24" i="12"/>
  <c r="K24" i="12"/>
  <c r="L24" i="12"/>
  <c r="M24" i="12"/>
  <c r="B25" i="12"/>
  <c r="C25" i="12"/>
  <c r="D25" i="12"/>
  <c r="E25" i="12"/>
  <c r="F25" i="12"/>
  <c r="G25" i="12"/>
  <c r="H25" i="12"/>
  <c r="I25" i="12"/>
  <c r="J25" i="12"/>
  <c r="K25" i="12"/>
  <c r="L25" i="12"/>
  <c r="M25" i="12"/>
  <c r="L20" i="12"/>
  <c r="I20" i="12"/>
  <c r="J20" i="12"/>
  <c r="F20" i="12"/>
  <c r="G20" i="12"/>
  <c r="E20" i="12"/>
  <c r="C20" i="12"/>
  <c r="D20" i="12"/>
  <c r="B20" i="12"/>
  <c r="B5" i="12"/>
  <c r="C5" i="12"/>
  <c r="D5" i="12"/>
  <c r="E5" i="12"/>
  <c r="F5" i="12"/>
  <c r="G5" i="12"/>
  <c r="H5" i="12"/>
  <c r="I5" i="12"/>
  <c r="J5" i="12"/>
  <c r="K5" i="12"/>
  <c r="L5" i="12"/>
  <c r="M5" i="12"/>
  <c r="B6" i="12"/>
  <c r="C6" i="12"/>
  <c r="D6" i="12"/>
  <c r="E6" i="12"/>
  <c r="F6" i="12"/>
  <c r="G6" i="12"/>
  <c r="H6" i="12"/>
  <c r="I6" i="12"/>
  <c r="J6" i="12"/>
  <c r="K6" i="12"/>
  <c r="L6" i="12"/>
  <c r="M6" i="12"/>
  <c r="B7" i="12"/>
  <c r="C7" i="12"/>
  <c r="D7" i="12"/>
  <c r="E7" i="12"/>
  <c r="F7" i="12"/>
  <c r="G7" i="12"/>
  <c r="H7" i="12"/>
  <c r="I7" i="12"/>
  <c r="J7" i="12"/>
  <c r="K7" i="12"/>
  <c r="L7" i="12"/>
  <c r="M7" i="12"/>
  <c r="B8" i="12"/>
  <c r="C8" i="12"/>
  <c r="D8" i="12"/>
  <c r="E8" i="12"/>
  <c r="F8" i="12"/>
  <c r="G8" i="12"/>
  <c r="H8" i="12"/>
  <c r="I8" i="12"/>
  <c r="J8" i="12"/>
  <c r="K8" i="12"/>
  <c r="L8" i="12"/>
  <c r="M8" i="12"/>
  <c r="B9" i="12"/>
  <c r="C9" i="12"/>
  <c r="D9" i="12"/>
  <c r="E9" i="12"/>
  <c r="F9" i="12"/>
  <c r="G9" i="12"/>
  <c r="H9" i="12"/>
  <c r="I9" i="12"/>
  <c r="J9" i="12"/>
  <c r="K9" i="12"/>
  <c r="L9" i="12"/>
  <c r="M9" i="12"/>
  <c r="B10" i="12"/>
  <c r="C10" i="12"/>
  <c r="D10" i="12"/>
  <c r="E10" i="12"/>
  <c r="F10" i="12"/>
  <c r="G10" i="12"/>
  <c r="H10" i="12"/>
  <c r="I10" i="12"/>
  <c r="J10" i="12"/>
  <c r="K10" i="12"/>
  <c r="L10" i="12"/>
  <c r="M10" i="12"/>
  <c r="B11" i="12"/>
  <c r="C11" i="12"/>
  <c r="D11" i="12"/>
  <c r="E11" i="12"/>
  <c r="F11" i="12"/>
  <c r="G11" i="12"/>
  <c r="H11" i="12"/>
  <c r="I11" i="12"/>
  <c r="J11" i="12"/>
  <c r="K11" i="12"/>
  <c r="L11" i="12"/>
  <c r="M11" i="12"/>
  <c r="B12" i="12"/>
  <c r="D12" i="12"/>
  <c r="B13" i="12"/>
  <c r="C13" i="12"/>
  <c r="D13" i="12"/>
  <c r="E13" i="12"/>
  <c r="F13" i="12"/>
  <c r="G13" i="12"/>
  <c r="H13" i="12"/>
  <c r="I13" i="12"/>
  <c r="J13" i="12"/>
  <c r="K13" i="12"/>
  <c r="L13" i="12"/>
  <c r="M13" i="12"/>
  <c r="B14" i="12"/>
  <c r="C14" i="12"/>
  <c r="D14" i="12"/>
  <c r="E14" i="12"/>
  <c r="F14" i="12"/>
  <c r="G14" i="12"/>
  <c r="H14" i="12"/>
  <c r="I14" i="12"/>
  <c r="J14" i="12"/>
  <c r="K14" i="12"/>
  <c r="L14" i="12"/>
  <c r="M14" i="12"/>
  <c r="E15" i="12"/>
  <c r="F15" i="12"/>
  <c r="G15" i="12"/>
  <c r="H15" i="12"/>
  <c r="J15" i="12"/>
  <c r="B16" i="12"/>
  <c r="C16" i="12"/>
  <c r="D16" i="12"/>
  <c r="E16" i="12"/>
  <c r="F16" i="12"/>
  <c r="G16" i="12"/>
  <c r="H16" i="12"/>
  <c r="I16" i="12"/>
  <c r="J16" i="12"/>
  <c r="K16" i="12"/>
  <c r="L16" i="12"/>
  <c r="M16" i="12"/>
  <c r="B17" i="12"/>
  <c r="C17" i="12"/>
  <c r="D17" i="12"/>
  <c r="E17" i="12"/>
  <c r="F17" i="12"/>
  <c r="G17" i="12"/>
  <c r="H17" i="12"/>
  <c r="I17" i="12"/>
  <c r="J17" i="12"/>
  <c r="K17" i="12"/>
  <c r="L17" i="12"/>
  <c r="M17" i="12"/>
  <c r="L4" i="12"/>
  <c r="M4" i="12"/>
  <c r="K4" i="12"/>
  <c r="I4" i="12"/>
  <c r="J4" i="12"/>
  <c r="H4" i="12"/>
  <c r="F4" i="12"/>
  <c r="G4" i="12"/>
  <c r="E4" i="12"/>
  <c r="C4" i="12"/>
  <c r="D4" i="12"/>
  <c r="B4" i="12"/>
  <c r="N4" i="12" s="1"/>
  <c r="L3" i="26"/>
  <c r="I3" i="26"/>
  <c r="J3" i="26"/>
  <c r="F3" i="26"/>
  <c r="G3" i="26"/>
  <c r="E3" i="26"/>
  <c r="C3" i="26"/>
  <c r="D3" i="26"/>
  <c r="B3" i="26"/>
  <c r="N27" i="24"/>
  <c r="J27" i="24"/>
  <c r="F27" i="24"/>
  <c r="E27" i="24"/>
  <c r="D27" i="24"/>
  <c r="X26" i="24"/>
  <c r="Y26" i="24" s="1"/>
  <c r="V26" i="24"/>
  <c r="W26" i="24" s="1"/>
  <c r="Q26" i="24"/>
  <c r="R26" i="24" s="1"/>
  <c r="L26" i="24"/>
  <c r="M26" i="24" s="1"/>
  <c r="G26" i="24"/>
  <c r="H26" i="24" s="1"/>
  <c r="Y25" i="24"/>
  <c r="V25" i="24"/>
  <c r="W25" i="24" s="1"/>
  <c r="Q25" i="24"/>
  <c r="R25" i="24" s="1"/>
  <c r="L25" i="24"/>
  <c r="M25" i="24" s="1"/>
  <c r="G25" i="24"/>
  <c r="H25" i="24" s="1"/>
  <c r="X24" i="24"/>
  <c r="Y24" i="24" s="1"/>
  <c r="V24" i="24"/>
  <c r="W24" i="24" s="1"/>
  <c r="R24" i="24"/>
  <c r="Q24" i="24"/>
  <c r="L24" i="24"/>
  <c r="M24" i="24" s="1"/>
  <c r="G24" i="24"/>
  <c r="H24" i="24" s="1"/>
  <c r="X23" i="24"/>
  <c r="Y23" i="24" s="1"/>
  <c r="V23" i="24"/>
  <c r="W23" i="24" s="1"/>
  <c r="Q23" i="24"/>
  <c r="R23" i="24" s="1"/>
  <c r="L23" i="24"/>
  <c r="M23" i="24" s="1"/>
  <c r="H23" i="24"/>
  <c r="G23" i="24"/>
  <c r="U22" i="24"/>
  <c r="M21" i="12" s="1"/>
  <c r="T22" i="24"/>
  <c r="T27" i="24" s="1"/>
  <c r="S22" i="24"/>
  <c r="V22" i="24" s="1"/>
  <c r="W22" i="24" s="1"/>
  <c r="P22" i="24"/>
  <c r="J21" i="12" s="1"/>
  <c r="O22" i="24"/>
  <c r="O27" i="24" s="1"/>
  <c r="N22" i="24"/>
  <c r="H21" i="12" s="1"/>
  <c r="K22" i="24"/>
  <c r="K27" i="24" s="1"/>
  <c r="J22" i="24"/>
  <c r="I22" i="24"/>
  <c r="G22" i="24"/>
  <c r="H22" i="24" s="1"/>
  <c r="F22" i="24"/>
  <c r="U21" i="24"/>
  <c r="U27" i="24" s="1"/>
  <c r="S21" i="24"/>
  <c r="P21" i="24"/>
  <c r="N21" i="24"/>
  <c r="L21" i="24"/>
  <c r="M21" i="24" s="1"/>
  <c r="H21" i="24"/>
  <c r="G21" i="24"/>
  <c r="Y18" i="24"/>
  <c r="V18" i="24"/>
  <c r="W18" i="24" s="1"/>
  <c r="Q18" i="24"/>
  <c r="R18" i="24" s="1"/>
  <c r="L18" i="24"/>
  <c r="M18" i="24" s="1"/>
  <c r="G18" i="24"/>
  <c r="H18" i="24" s="1"/>
  <c r="X17" i="24"/>
  <c r="Y17" i="24" s="1"/>
  <c r="V17" i="24"/>
  <c r="W17" i="24" s="1"/>
  <c r="Q17" i="24"/>
  <c r="R17" i="24" s="1"/>
  <c r="L17" i="24"/>
  <c r="M17" i="24" s="1"/>
  <c r="G17" i="24"/>
  <c r="H17" i="24" s="1"/>
  <c r="U16" i="24"/>
  <c r="M15" i="12" s="1"/>
  <c r="T16" i="24"/>
  <c r="L15" i="12" s="1"/>
  <c r="S16" i="24"/>
  <c r="K15" i="12" s="1"/>
  <c r="P16" i="24"/>
  <c r="O16" i="24"/>
  <c r="I15" i="12" s="1"/>
  <c r="N16" i="24"/>
  <c r="K16" i="24"/>
  <c r="J16" i="24"/>
  <c r="I16" i="24"/>
  <c r="F16" i="24"/>
  <c r="D15" i="12" s="1"/>
  <c r="E16" i="24"/>
  <c r="C15" i="12" s="1"/>
  <c r="D16" i="24"/>
  <c r="G16" i="24" s="1"/>
  <c r="H16" i="24" s="1"/>
  <c r="C16" i="24"/>
  <c r="B16" i="24"/>
  <c r="X15" i="24"/>
  <c r="Y15" i="24" s="1"/>
  <c r="V15" i="24"/>
  <c r="W15" i="24" s="1"/>
  <c r="Q15" i="24"/>
  <c r="R15" i="24" s="1"/>
  <c r="L15" i="24"/>
  <c r="M15" i="24" s="1"/>
  <c r="G15" i="24"/>
  <c r="H15" i="24" s="1"/>
  <c r="Q14" i="24"/>
  <c r="R14" i="24" s="1"/>
  <c r="L14" i="24"/>
  <c r="M14" i="24" s="1"/>
  <c r="U13" i="24"/>
  <c r="M12" i="12" s="1"/>
  <c r="T13" i="24"/>
  <c r="T19" i="24" s="1"/>
  <c r="S13" i="24"/>
  <c r="V13" i="24" s="1"/>
  <c r="W13" i="24" s="1"/>
  <c r="P13" i="24"/>
  <c r="P19" i="24" s="1"/>
  <c r="O13" i="24"/>
  <c r="O19" i="24" s="1"/>
  <c r="O28" i="24" s="1"/>
  <c r="N13" i="24"/>
  <c r="N19" i="24" s="1"/>
  <c r="K13" i="24"/>
  <c r="K19" i="24" s="1"/>
  <c r="K28" i="24" s="1"/>
  <c r="J13" i="24"/>
  <c r="J19" i="24" s="1"/>
  <c r="J28" i="24" s="1"/>
  <c r="I13" i="24"/>
  <c r="F13" i="24"/>
  <c r="E13" i="24"/>
  <c r="E19" i="24" s="1"/>
  <c r="E28" i="24" s="1"/>
  <c r="D13" i="24"/>
  <c r="X13" i="24" s="1"/>
  <c r="C13" i="24"/>
  <c r="B13" i="24"/>
  <c r="X12" i="24"/>
  <c r="Y12" i="24" s="1"/>
  <c r="V12" i="24"/>
  <c r="W12" i="24" s="1"/>
  <c r="R12" i="24"/>
  <c r="Q12" i="24"/>
  <c r="M12" i="24"/>
  <c r="L12" i="24"/>
  <c r="G12" i="24"/>
  <c r="H12" i="24" s="1"/>
  <c r="Y11" i="24"/>
  <c r="X11" i="24"/>
  <c r="W11" i="24"/>
  <c r="V11" i="24"/>
  <c r="Q11" i="24"/>
  <c r="R11" i="24" s="1"/>
  <c r="L11" i="24"/>
  <c r="M11" i="24" s="1"/>
  <c r="H11" i="24"/>
  <c r="G11" i="24"/>
  <c r="Y10" i="24"/>
  <c r="X10" i="24"/>
  <c r="V10" i="24"/>
  <c r="W10" i="24" s="1"/>
  <c r="R10" i="24"/>
  <c r="Q10" i="24"/>
  <c r="M10" i="24"/>
  <c r="L10" i="24"/>
  <c r="G10" i="24"/>
  <c r="H10" i="24" s="1"/>
  <c r="X9" i="24"/>
  <c r="Y9" i="24" s="1"/>
  <c r="W9" i="24"/>
  <c r="V9" i="24"/>
  <c r="R9" i="24"/>
  <c r="Q9" i="24"/>
  <c r="L9" i="24"/>
  <c r="M9" i="24" s="1"/>
  <c r="H9" i="24"/>
  <c r="G9" i="24"/>
  <c r="X8" i="24"/>
  <c r="Y8" i="24" s="1"/>
  <c r="V8" i="24"/>
  <c r="W8" i="24" s="1"/>
  <c r="Q8" i="24"/>
  <c r="R8" i="24" s="1"/>
  <c r="M8" i="24"/>
  <c r="L8" i="24"/>
  <c r="H8" i="24"/>
  <c r="G8" i="24"/>
  <c r="X7" i="24"/>
  <c r="Y7" i="24" s="1"/>
  <c r="W7" i="24"/>
  <c r="V7" i="24"/>
  <c r="Q7" i="24"/>
  <c r="R7" i="24" s="1"/>
  <c r="L7" i="24"/>
  <c r="M7" i="24" s="1"/>
  <c r="G7" i="24"/>
  <c r="H7" i="24" s="1"/>
  <c r="Y6" i="24"/>
  <c r="X6" i="24"/>
  <c r="W6" i="24"/>
  <c r="V6" i="24"/>
  <c r="Q6" i="24"/>
  <c r="R6" i="24" s="1"/>
  <c r="M6" i="24"/>
  <c r="L6" i="24"/>
  <c r="G6" i="24"/>
  <c r="H6" i="24" s="1"/>
  <c r="Y5" i="24"/>
  <c r="V5" i="24"/>
  <c r="W5" i="24" s="1"/>
  <c r="Q5" i="24"/>
  <c r="R5" i="24" s="1"/>
  <c r="L5" i="24"/>
  <c r="M5" i="24" s="1"/>
  <c r="H5" i="24"/>
  <c r="G5" i="24"/>
  <c r="F41" i="24"/>
  <c r="G41" i="24"/>
  <c r="K41" i="24"/>
  <c r="L41" i="24" s="1"/>
  <c r="P41" i="24"/>
  <c r="Q41" i="24"/>
  <c r="U41" i="24"/>
  <c r="V41" i="24" s="1"/>
  <c r="W41" i="24"/>
  <c r="X41" i="24"/>
  <c r="F42" i="24"/>
  <c r="G42" i="24" s="1"/>
  <c r="K42" i="24"/>
  <c r="L42" i="24" s="1"/>
  <c r="P42" i="24"/>
  <c r="Q42" i="24" s="1"/>
  <c r="U42" i="24"/>
  <c r="V42" i="24" s="1"/>
  <c r="W42" i="24"/>
  <c r="X42" i="24" s="1"/>
  <c r="F43" i="24"/>
  <c r="G43" i="24" s="1"/>
  <c r="K43" i="24"/>
  <c r="L43" i="24" s="1"/>
  <c r="P43" i="24"/>
  <c r="Q43" i="24" s="1"/>
  <c r="U43" i="24"/>
  <c r="V43" i="24" s="1"/>
  <c r="W43" i="24"/>
  <c r="X43" i="24"/>
  <c r="F44" i="24"/>
  <c r="G44" i="24" s="1"/>
  <c r="K44" i="24"/>
  <c r="L44" i="24"/>
  <c r="P44" i="24"/>
  <c r="Q44" i="24" s="1"/>
  <c r="U44" i="24"/>
  <c r="V44" i="24"/>
  <c r="W44" i="24"/>
  <c r="X44" i="24" s="1"/>
  <c r="F45" i="24"/>
  <c r="G45" i="24"/>
  <c r="K45" i="24"/>
  <c r="L45" i="24" s="1"/>
  <c r="P45" i="24"/>
  <c r="Q45" i="24"/>
  <c r="U45" i="24"/>
  <c r="V45" i="24" s="1"/>
  <c r="W45" i="24"/>
  <c r="X45" i="24"/>
  <c r="F46" i="24"/>
  <c r="G46" i="24" s="1"/>
  <c r="K46" i="24"/>
  <c r="L46" i="24" s="1"/>
  <c r="P46" i="24"/>
  <c r="Q46" i="24" s="1"/>
  <c r="U46" i="24"/>
  <c r="V46" i="24"/>
  <c r="W46" i="24"/>
  <c r="X46" i="24" s="1"/>
  <c r="F47" i="24"/>
  <c r="G47" i="24"/>
  <c r="K47" i="24"/>
  <c r="L47" i="24" s="1"/>
  <c r="P47" i="24"/>
  <c r="Q47" i="24"/>
  <c r="U47" i="24"/>
  <c r="V47" i="24" s="1"/>
  <c r="W47" i="24"/>
  <c r="X47" i="24" s="1"/>
  <c r="F48" i="24"/>
  <c r="G48" i="24" s="1"/>
  <c r="K48" i="24"/>
  <c r="L48" i="24" s="1"/>
  <c r="P48" i="24"/>
  <c r="Q48" i="24" s="1"/>
  <c r="U48" i="24"/>
  <c r="V48" i="24" s="1"/>
  <c r="W48" i="24"/>
  <c r="X48" i="24" s="1"/>
  <c r="C49" i="24"/>
  <c r="D49" i="24"/>
  <c r="E49" i="24"/>
  <c r="H49" i="24"/>
  <c r="I49" i="24"/>
  <c r="I55" i="24" s="1"/>
  <c r="I64" i="24" s="1"/>
  <c r="J49" i="24"/>
  <c r="J55" i="24" s="1"/>
  <c r="J64" i="24" s="1"/>
  <c r="M49" i="24"/>
  <c r="N49" i="24"/>
  <c r="N55" i="24" s="1"/>
  <c r="N64" i="24" s="1"/>
  <c r="O49" i="24"/>
  <c r="R49" i="24"/>
  <c r="S49" i="24"/>
  <c r="T49" i="24"/>
  <c r="T55" i="24" s="1"/>
  <c r="G50" i="24"/>
  <c r="K50" i="24"/>
  <c r="L50" i="24" s="1"/>
  <c r="P50" i="24"/>
  <c r="Q50" i="24"/>
  <c r="U50" i="24"/>
  <c r="V50" i="24"/>
  <c r="W50" i="24"/>
  <c r="X50" i="24"/>
  <c r="F51" i="24"/>
  <c r="G51" i="24" s="1"/>
  <c r="K51" i="24"/>
  <c r="L51" i="24"/>
  <c r="P51" i="24"/>
  <c r="Q51" i="24"/>
  <c r="U51" i="24"/>
  <c r="V51" i="24" s="1"/>
  <c r="W51" i="24"/>
  <c r="X51" i="24"/>
  <c r="C52" i="24"/>
  <c r="D52" i="24"/>
  <c r="W52" i="24" s="1"/>
  <c r="X52" i="24" s="1"/>
  <c r="E52" i="24"/>
  <c r="H52" i="24"/>
  <c r="K52" i="24" s="1"/>
  <c r="L52" i="24" s="1"/>
  <c r="I52" i="24"/>
  <c r="J52" i="24"/>
  <c r="M52" i="24"/>
  <c r="N52" i="24"/>
  <c r="P52" i="24" s="1"/>
  <c r="Q52" i="24" s="1"/>
  <c r="O52" i="24"/>
  <c r="R52" i="24"/>
  <c r="S52" i="24"/>
  <c r="T52" i="24"/>
  <c r="F53" i="24"/>
  <c r="G53" i="24"/>
  <c r="K53" i="24"/>
  <c r="L53" i="24" s="1"/>
  <c r="P53" i="24"/>
  <c r="Q53" i="24" s="1"/>
  <c r="U53" i="24"/>
  <c r="V53" i="24" s="1"/>
  <c r="W53" i="24"/>
  <c r="X53" i="24" s="1"/>
  <c r="F54" i="24"/>
  <c r="G54" i="24"/>
  <c r="K54" i="24"/>
  <c r="L54" i="24"/>
  <c r="P54" i="24"/>
  <c r="Q54" i="24"/>
  <c r="U54" i="24"/>
  <c r="V54" i="24" s="1"/>
  <c r="X54" i="24"/>
  <c r="O55" i="24"/>
  <c r="O64" i="24" s="1"/>
  <c r="S55" i="24"/>
  <c r="F57" i="24"/>
  <c r="G57" i="24" s="1"/>
  <c r="H57" i="24"/>
  <c r="W57" i="24" s="1"/>
  <c r="P57" i="24"/>
  <c r="Q57" i="24"/>
  <c r="U57" i="24"/>
  <c r="V57" i="24" s="1"/>
  <c r="F58" i="24"/>
  <c r="G58" i="24" s="1"/>
  <c r="K58" i="24"/>
  <c r="L58" i="24" s="1"/>
  <c r="P58" i="24"/>
  <c r="Q58" i="24" s="1"/>
  <c r="U58" i="24"/>
  <c r="V58" i="24"/>
  <c r="W58" i="24"/>
  <c r="X58" i="24"/>
  <c r="F59" i="24"/>
  <c r="G59" i="24"/>
  <c r="K59" i="24"/>
  <c r="L59" i="24" s="1"/>
  <c r="P59" i="24"/>
  <c r="Q59" i="24" s="1"/>
  <c r="U59" i="24"/>
  <c r="V59" i="24" s="1"/>
  <c r="W59" i="24"/>
  <c r="X59" i="24" s="1"/>
  <c r="F60" i="24"/>
  <c r="G60" i="24"/>
  <c r="K60" i="24"/>
  <c r="L60" i="24"/>
  <c r="P60" i="24"/>
  <c r="Q60" i="24"/>
  <c r="U60" i="24"/>
  <c r="V60" i="24" s="1"/>
  <c r="W60" i="24"/>
  <c r="X60" i="24" s="1"/>
  <c r="F61" i="24"/>
  <c r="G61" i="24" s="1"/>
  <c r="K61" i="24"/>
  <c r="L61" i="24" s="1"/>
  <c r="P61" i="24"/>
  <c r="Q61" i="24"/>
  <c r="U61" i="24"/>
  <c r="V61" i="24"/>
  <c r="X61" i="24"/>
  <c r="F62" i="24"/>
  <c r="G62" i="24" s="1"/>
  <c r="K62" i="24"/>
  <c r="L62" i="24" s="1"/>
  <c r="P62" i="24"/>
  <c r="Q62" i="24" s="1"/>
  <c r="U62" i="24"/>
  <c r="V62" i="24"/>
  <c r="W62" i="24"/>
  <c r="X62" i="24" s="1"/>
  <c r="C63" i="24"/>
  <c r="F63" i="24" s="1"/>
  <c r="G63" i="24" s="1"/>
  <c r="D63" i="24"/>
  <c r="E63" i="24"/>
  <c r="I63" i="24"/>
  <c r="J63" i="24"/>
  <c r="M63" i="24"/>
  <c r="N63" i="24"/>
  <c r="O63" i="24"/>
  <c r="R63" i="24"/>
  <c r="U63" i="24" s="1"/>
  <c r="V63" i="24" s="1"/>
  <c r="S63" i="24"/>
  <c r="S64" i="24" s="1"/>
  <c r="T63" i="24"/>
  <c r="U19" i="24" l="1"/>
  <c r="U28" i="24" s="1"/>
  <c r="P49" i="24"/>
  <c r="Q49" i="24" s="1"/>
  <c r="V16" i="24"/>
  <c r="W16" i="24" s="1"/>
  <c r="C12" i="12"/>
  <c r="X21" i="24"/>
  <c r="E55" i="24"/>
  <c r="E64" i="24" s="1"/>
  <c r="W49" i="24"/>
  <c r="X49" i="24" s="1"/>
  <c r="X55" i="24" s="1"/>
  <c r="X64" i="24" s="1"/>
  <c r="T28" i="24"/>
  <c r="P27" i="24"/>
  <c r="Q27" i="24" s="1"/>
  <c r="R27" i="24" s="1"/>
  <c r="L12" i="12"/>
  <c r="U52" i="24"/>
  <c r="V52" i="24" s="1"/>
  <c r="F49" i="24"/>
  <c r="G49" i="24" s="1"/>
  <c r="L16" i="24"/>
  <c r="M16" i="24" s="1"/>
  <c r="S27" i="24"/>
  <c r="K12" i="12"/>
  <c r="P63" i="24"/>
  <c r="Q63" i="24" s="1"/>
  <c r="B15" i="12"/>
  <c r="J12" i="12"/>
  <c r="L21" i="12"/>
  <c r="R55" i="24"/>
  <c r="U49" i="24"/>
  <c r="V49" i="24" s="1"/>
  <c r="Y13" i="24"/>
  <c r="Q16" i="24"/>
  <c r="R16" i="24" s="1"/>
  <c r="H3" i="26"/>
  <c r="N3" i="26" s="1"/>
  <c r="I12" i="12"/>
  <c r="H20" i="12"/>
  <c r="K21" i="12"/>
  <c r="T64" i="24"/>
  <c r="H12" i="12"/>
  <c r="F19" i="24"/>
  <c r="F28" i="24" s="1"/>
  <c r="X22" i="24"/>
  <c r="Y22" i="24" s="1"/>
  <c r="G12" i="12"/>
  <c r="I21" i="12"/>
  <c r="F52" i="24"/>
  <c r="G52" i="24" s="1"/>
  <c r="G13" i="24"/>
  <c r="H13" i="24" s="1"/>
  <c r="G27" i="24"/>
  <c r="H27" i="24" s="1"/>
  <c r="K3" i="26"/>
  <c r="F12" i="12"/>
  <c r="K20" i="12"/>
  <c r="K49" i="24"/>
  <c r="L49" i="24" s="1"/>
  <c r="C55" i="24"/>
  <c r="C64" i="24" s="1"/>
  <c r="L13" i="24"/>
  <c r="M13" i="24" s="1"/>
  <c r="I19" i="24"/>
  <c r="M3" i="26"/>
  <c r="E12" i="12"/>
  <c r="M20" i="12"/>
  <c r="G21" i="12"/>
  <c r="Y14" i="24"/>
  <c r="Y19" i="24" s="1"/>
  <c r="E2" i="16" s="1"/>
  <c r="V27" i="24"/>
  <c r="W27" i="24" s="1"/>
  <c r="X27" i="24"/>
  <c r="Y21" i="24"/>
  <c r="Q19" i="24"/>
  <c r="R19" i="24" s="1"/>
  <c r="N28" i="24"/>
  <c r="Q13" i="24"/>
  <c r="R13" i="24" s="1"/>
  <c r="X16" i="24"/>
  <c r="Y16" i="24" s="1"/>
  <c r="S19" i="24"/>
  <c r="Q22" i="24"/>
  <c r="R22" i="24" s="1"/>
  <c r="D19" i="24"/>
  <c r="L19" i="24"/>
  <c r="M19" i="24" s="1"/>
  <c r="Q21" i="24"/>
  <c r="R21" i="24" s="1"/>
  <c r="V21" i="24"/>
  <c r="W21" i="24" s="1"/>
  <c r="I27" i="24"/>
  <c r="L27" i="24" s="1"/>
  <c r="M27" i="24" s="1"/>
  <c r="L22" i="24"/>
  <c r="M22" i="24" s="1"/>
  <c r="X57" i="24"/>
  <c r="X63" i="24" s="1"/>
  <c r="W63" i="24"/>
  <c r="M55" i="24"/>
  <c r="K57" i="24"/>
  <c r="L57" i="24" s="1"/>
  <c r="H55" i="24"/>
  <c r="D55" i="24"/>
  <c r="H63" i="24"/>
  <c r="K63" i="24" s="1"/>
  <c r="L63" i="24" s="1"/>
  <c r="F41" i="11"/>
  <c r="C11" i="27"/>
  <c r="F42" i="11"/>
  <c r="F40" i="11"/>
  <c r="E4" i="2"/>
  <c r="F37" i="8"/>
  <c r="F23" i="8"/>
  <c r="F9" i="8"/>
  <c r="F12" i="8"/>
  <c r="AT18" i="23"/>
  <c r="AS18" i="23"/>
  <c r="N564" i="30"/>
  <c r="M564" i="30"/>
  <c r="L564" i="30"/>
  <c r="K564" i="30"/>
  <c r="J564" i="30"/>
  <c r="I564" i="30"/>
  <c r="H564" i="30"/>
  <c r="G564" i="30"/>
  <c r="F564" i="30"/>
  <c r="E564" i="30"/>
  <c r="D564" i="30"/>
  <c r="C564" i="30"/>
  <c r="N563" i="30"/>
  <c r="M563" i="30"/>
  <c r="L563" i="30"/>
  <c r="K563" i="30"/>
  <c r="J563" i="30"/>
  <c r="I563" i="30"/>
  <c r="H563" i="30"/>
  <c r="G563" i="30"/>
  <c r="F563" i="30"/>
  <c r="E563" i="30"/>
  <c r="D563" i="30"/>
  <c r="C563" i="30"/>
  <c r="N562" i="30"/>
  <c r="M562" i="30"/>
  <c r="L562" i="30"/>
  <c r="K562" i="30"/>
  <c r="J562" i="30"/>
  <c r="I562" i="30"/>
  <c r="H562" i="30"/>
  <c r="G562" i="30"/>
  <c r="F562" i="30"/>
  <c r="E562" i="30"/>
  <c r="D562" i="30"/>
  <c r="C562" i="30"/>
  <c r="N561" i="30"/>
  <c r="M561" i="30"/>
  <c r="L561" i="30"/>
  <c r="K561" i="30"/>
  <c r="J561" i="30"/>
  <c r="I561" i="30"/>
  <c r="H561" i="30"/>
  <c r="G561" i="30"/>
  <c r="F561" i="30"/>
  <c r="E561" i="30"/>
  <c r="D561" i="30"/>
  <c r="C561" i="30"/>
  <c r="N560" i="30"/>
  <c r="M560" i="30"/>
  <c r="L560" i="30"/>
  <c r="K560" i="30"/>
  <c r="J560" i="30"/>
  <c r="I560" i="30"/>
  <c r="H560" i="30"/>
  <c r="G560" i="30"/>
  <c r="F560" i="30"/>
  <c r="E560" i="30"/>
  <c r="D560" i="30"/>
  <c r="C560" i="30"/>
  <c r="N559" i="30"/>
  <c r="M559" i="30"/>
  <c r="L559" i="30"/>
  <c r="K559" i="30"/>
  <c r="J559" i="30"/>
  <c r="I559" i="30"/>
  <c r="H559" i="30"/>
  <c r="G559" i="30"/>
  <c r="F559" i="30"/>
  <c r="E559" i="30"/>
  <c r="D559" i="30"/>
  <c r="C559" i="30"/>
  <c r="N558" i="30"/>
  <c r="M558" i="30"/>
  <c r="L558" i="30"/>
  <c r="K558" i="30"/>
  <c r="J558" i="30"/>
  <c r="I558" i="30"/>
  <c r="H558" i="30"/>
  <c r="G558" i="30"/>
  <c r="F558" i="30"/>
  <c r="E558" i="30"/>
  <c r="D558" i="30"/>
  <c r="C558" i="30"/>
  <c r="N557" i="30"/>
  <c r="M557" i="30"/>
  <c r="L557" i="30"/>
  <c r="K557" i="30"/>
  <c r="J557" i="30"/>
  <c r="I557" i="30"/>
  <c r="H557" i="30"/>
  <c r="G557" i="30"/>
  <c r="F557" i="30"/>
  <c r="E557" i="30"/>
  <c r="D557" i="30"/>
  <c r="C557" i="30"/>
  <c r="N556" i="30"/>
  <c r="M556" i="30"/>
  <c r="L556" i="30"/>
  <c r="K556" i="30"/>
  <c r="J556" i="30"/>
  <c r="I556" i="30"/>
  <c r="H556" i="30"/>
  <c r="G556" i="30"/>
  <c r="F556" i="30"/>
  <c r="E556" i="30"/>
  <c r="D556" i="30"/>
  <c r="C556" i="30"/>
  <c r="N555" i="30"/>
  <c r="M555" i="30"/>
  <c r="L555" i="30"/>
  <c r="K555" i="30"/>
  <c r="J555" i="30"/>
  <c r="I555" i="30"/>
  <c r="H555" i="30"/>
  <c r="G555" i="30"/>
  <c r="F555" i="30"/>
  <c r="E555" i="30"/>
  <c r="D555" i="30"/>
  <c r="C555" i="30"/>
  <c r="N554" i="30"/>
  <c r="M554" i="30"/>
  <c r="L554" i="30"/>
  <c r="K554" i="30"/>
  <c r="J554" i="30"/>
  <c r="I554" i="30"/>
  <c r="H554" i="30"/>
  <c r="G554" i="30"/>
  <c r="F554" i="30"/>
  <c r="E554" i="30"/>
  <c r="D554" i="30"/>
  <c r="C554" i="30"/>
  <c r="N553" i="30"/>
  <c r="M553" i="30"/>
  <c r="L553" i="30"/>
  <c r="K553" i="30"/>
  <c r="J553" i="30"/>
  <c r="I553" i="30"/>
  <c r="H553" i="30"/>
  <c r="G553" i="30"/>
  <c r="F553" i="30"/>
  <c r="E553" i="30"/>
  <c r="D553" i="30"/>
  <c r="C553" i="30"/>
  <c r="N552" i="30"/>
  <c r="M552" i="30"/>
  <c r="L552" i="30"/>
  <c r="K552" i="30"/>
  <c r="J552" i="30"/>
  <c r="I552" i="30"/>
  <c r="H552" i="30"/>
  <c r="G552" i="30"/>
  <c r="F552" i="30"/>
  <c r="E552" i="30"/>
  <c r="D552" i="30"/>
  <c r="C552" i="30"/>
  <c r="N551" i="30"/>
  <c r="M551" i="30"/>
  <c r="L551" i="30"/>
  <c r="K551" i="30"/>
  <c r="J551" i="30"/>
  <c r="I551" i="30"/>
  <c r="H551" i="30"/>
  <c r="G551" i="30"/>
  <c r="F551" i="30"/>
  <c r="E551" i="30"/>
  <c r="D551" i="30"/>
  <c r="C551" i="30"/>
  <c r="N550" i="30"/>
  <c r="M550" i="30"/>
  <c r="L550" i="30"/>
  <c r="K550" i="30"/>
  <c r="J550" i="30"/>
  <c r="I550" i="30"/>
  <c r="H550" i="30"/>
  <c r="G550" i="30"/>
  <c r="F550" i="30"/>
  <c r="E550" i="30"/>
  <c r="D550" i="30"/>
  <c r="C550" i="30"/>
  <c r="N549" i="30"/>
  <c r="M549" i="30"/>
  <c r="L549" i="30"/>
  <c r="K549" i="30"/>
  <c r="J549" i="30"/>
  <c r="I549" i="30"/>
  <c r="H549" i="30"/>
  <c r="G549" i="30"/>
  <c r="F549" i="30"/>
  <c r="E549" i="30"/>
  <c r="D549" i="30"/>
  <c r="C549" i="30"/>
  <c r="O544" i="30"/>
  <c r="O543" i="30"/>
  <c r="O542" i="30"/>
  <c r="O541" i="30"/>
  <c r="O540" i="30"/>
  <c r="O539" i="30"/>
  <c r="O535" i="30"/>
  <c r="O534" i="30"/>
  <c r="O533" i="30"/>
  <c r="O532" i="30"/>
  <c r="O531" i="30"/>
  <c r="O530" i="30"/>
  <c r="O529" i="30"/>
  <c r="O528" i="30"/>
  <c r="O527" i="30"/>
  <c r="O526" i="30"/>
  <c r="O525" i="30"/>
  <c r="O524" i="30"/>
  <c r="O523" i="30"/>
  <c r="O522" i="30"/>
  <c r="O521" i="30"/>
  <c r="O520" i="30"/>
  <c r="O515" i="30"/>
  <c r="O514" i="30"/>
  <c r="O513" i="30"/>
  <c r="O512" i="30"/>
  <c r="O511" i="30"/>
  <c r="O510" i="30"/>
  <c r="O509" i="30"/>
  <c r="O508" i="30"/>
  <c r="O507" i="30"/>
  <c r="O506" i="30"/>
  <c r="O505" i="30"/>
  <c r="O504" i="30"/>
  <c r="O503" i="30"/>
  <c r="O502" i="30"/>
  <c r="O501" i="30"/>
  <c r="O500" i="30"/>
  <c r="O496" i="30"/>
  <c r="O495" i="30"/>
  <c r="O494" i="30"/>
  <c r="O493" i="30"/>
  <c r="O492" i="30"/>
  <c r="O491" i="30"/>
  <c r="O490" i="30"/>
  <c r="O489" i="30"/>
  <c r="O488" i="30"/>
  <c r="O487" i="30"/>
  <c r="O486" i="30"/>
  <c r="O485" i="30"/>
  <c r="O484" i="30"/>
  <c r="O483" i="30"/>
  <c r="O482" i="30"/>
  <c r="O481" i="30"/>
  <c r="O477" i="30"/>
  <c r="O476" i="30"/>
  <c r="O475" i="30"/>
  <c r="O474" i="30"/>
  <c r="O473" i="30"/>
  <c r="O472" i="30"/>
  <c r="O471" i="30"/>
  <c r="O470" i="30"/>
  <c r="O469" i="30"/>
  <c r="O468" i="30"/>
  <c r="O467" i="30"/>
  <c r="O466" i="30"/>
  <c r="O465" i="30"/>
  <c r="O464" i="30"/>
  <c r="O463" i="30"/>
  <c r="O462" i="30"/>
  <c r="O457" i="30"/>
  <c r="O456" i="30"/>
  <c r="O455" i="30"/>
  <c r="O454" i="30"/>
  <c r="O453" i="30"/>
  <c r="O452" i="30"/>
  <c r="O451" i="30"/>
  <c r="O450" i="30"/>
  <c r="O449" i="30"/>
  <c r="O448" i="30"/>
  <c r="O447" i="30"/>
  <c r="O446" i="30"/>
  <c r="O445" i="30"/>
  <c r="O444" i="30"/>
  <c r="O443" i="30"/>
  <c r="O442" i="30"/>
  <c r="O438" i="30"/>
  <c r="O437" i="30"/>
  <c r="O436" i="30"/>
  <c r="O435" i="30"/>
  <c r="O434" i="30"/>
  <c r="O433" i="30"/>
  <c r="O432" i="30"/>
  <c r="O431" i="30"/>
  <c r="O430" i="30"/>
  <c r="O429" i="30"/>
  <c r="O428" i="30"/>
  <c r="O427" i="30"/>
  <c r="O426" i="30"/>
  <c r="O425" i="30"/>
  <c r="O424" i="30"/>
  <c r="O423" i="30"/>
  <c r="O419" i="30"/>
  <c r="O418" i="30"/>
  <c r="O417" i="30"/>
  <c r="O416" i="30"/>
  <c r="O415" i="30"/>
  <c r="O414" i="30"/>
  <c r="O413" i="30"/>
  <c r="O412" i="30"/>
  <c r="O411" i="30"/>
  <c r="O410" i="30"/>
  <c r="O409" i="30"/>
  <c r="O408" i="30"/>
  <c r="O407" i="30"/>
  <c r="P407" i="30" s="1"/>
  <c r="Q407" i="30" s="1"/>
  <c r="O406" i="30"/>
  <c r="O405" i="30"/>
  <c r="O404" i="30"/>
  <c r="O399" i="30"/>
  <c r="O398" i="30"/>
  <c r="O397" i="30"/>
  <c r="P397" i="30" s="1"/>
  <c r="Q397" i="30" s="1"/>
  <c r="O396" i="30"/>
  <c r="O395" i="30"/>
  <c r="O394" i="30"/>
  <c r="O393" i="30"/>
  <c r="O392" i="30"/>
  <c r="O391" i="30"/>
  <c r="O390" i="30"/>
  <c r="O389" i="30"/>
  <c r="O388" i="30"/>
  <c r="O387" i="30"/>
  <c r="O386" i="30"/>
  <c r="O385" i="30"/>
  <c r="O384" i="30"/>
  <c r="O380" i="30"/>
  <c r="O379" i="30"/>
  <c r="O378" i="30"/>
  <c r="O377" i="30"/>
  <c r="O376" i="30"/>
  <c r="O375" i="30"/>
  <c r="O374" i="30"/>
  <c r="O373" i="30"/>
  <c r="O372" i="30"/>
  <c r="O371" i="30"/>
  <c r="O370" i="30"/>
  <c r="O369" i="30"/>
  <c r="O368" i="30"/>
  <c r="O367" i="30"/>
  <c r="O366" i="30"/>
  <c r="O365" i="30"/>
  <c r="P366" i="30"/>
  <c r="Q366" i="30" s="1"/>
  <c r="O361" i="30"/>
  <c r="O360" i="30"/>
  <c r="O359" i="30"/>
  <c r="O358" i="30"/>
  <c r="O357" i="30"/>
  <c r="O356" i="30"/>
  <c r="O355" i="30"/>
  <c r="O354" i="30"/>
  <c r="P355" i="30"/>
  <c r="Q355" i="30" s="1"/>
  <c r="O353" i="30"/>
  <c r="O352" i="30"/>
  <c r="O351" i="30"/>
  <c r="P351" i="30" s="1"/>
  <c r="Q351" i="30" s="1"/>
  <c r="O350" i="30"/>
  <c r="O349" i="30"/>
  <c r="O348" i="30"/>
  <c r="O347" i="30"/>
  <c r="P347" i="30" s="1"/>
  <c r="Q347" i="30" s="1"/>
  <c r="O346" i="30"/>
  <c r="O341" i="30"/>
  <c r="O340" i="30"/>
  <c r="O339" i="30"/>
  <c r="P339" i="30" s="1"/>
  <c r="Q339" i="30" s="1"/>
  <c r="O338" i="30"/>
  <c r="O337" i="30"/>
  <c r="O336" i="30"/>
  <c r="O335" i="30"/>
  <c r="O334" i="30"/>
  <c r="P335" i="30" s="1"/>
  <c r="Q335" i="30" s="1"/>
  <c r="O333" i="30"/>
  <c r="O332" i="30"/>
  <c r="O331" i="30"/>
  <c r="O330" i="30"/>
  <c r="O329" i="30"/>
  <c r="P330" i="30" s="1"/>
  <c r="Q330" i="30" s="1"/>
  <c r="O328" i="30"/>
  <c r="O327" i="30"/>
  <c r="O326" i="30"/>
  <c r="O322" i="30"/>
  <c r="O321" i="30"/>
  <c r="O320" i="30"/>
  <c r="O319" i="30"/>
  <c r="O318" i="30"/>
  <c r="O317" i="30"/>
  <c r="O316" i="30"/>
  <c r="O315" i="30"/>
  <c r="O314" i="30"/>
  <c r="O313" i="30"/>
  <c r="O312" i="30"/>
  <c r="O311" i="30"/>
  <c r="O310" i="30"/>
  <c r="O309" i="30"/>
  <c r="O308" i="30"/>
  <c r="O307" i="30"/>
  <c r="O303" i="30"/>
  <c r="O302" i="30"/>
  <c r="O301" i="30"/>
  <c r="O300" i="30"/>
  <c r="O299" i="30"/>
  <c r="O298" i="30"/>
  <c r="O297" i="30"/>
  <c r="O296" i="30"/>
  <c r="O295" i="30"/>
  <c r="O294" i="30"/>
  <c r="O293" i="30"/>
  <c r="O292" i="30"/>
  <c r="O291" i="30"/>
  <c r="O290" i="30"/>
  <c r="O289" i="30"/>
  <c r="P290" i="30" s="1"/>
  <c r="Q290" i="30" s="1"/>
  <c r="O288" i="30"/>
  <c r="B16" i="6"/>
  <c r="B15" i="6"/>
  <c r="B14" i="6"/>
  <c r="C14" i="6" s="1"/>
  <c r="B13" i="6"/>
  <c r="C13" i="6" s="1"/>
  <c r="B12" i="6"/>
  <c r="C12" i="6" s="1"/>
  <c r="B11" i="6"/>
  <c r="C11" i="6" s="1"/>
  <c r="B10" i="6"/>
  <c r="B9" i="6"/>
  <c r="B8" i="6"/>
  <c r="B7" i="6"/>
  <c r="B6" i="6"/>
  <c r="B5" i="6"/>
  <c r="B4" i="6"/>
  <c r="F53" i="10"/>
  <c r="F56" i="10" s="1"/>
  <c r="I26" i="12"/>
  <c r="J26" i="12"/>
  <c r="H26" i="12"/>
  <c r="D26" i="12"/>
  <c r="P80" i="32"/>
  <c r="O80" i="32"/>
  <c r="N80" i="32"/>
  <c r="M80" i="32"/>
  <c r="L80" i="32"/>
  <c r="K80" i="32"/>
  <c r="J80" i="32"/>
  <c r="I80" i="32"/>
  <c r="H80" i="32"/>
  <c r="G80" i="32"/>
  <c r="F80" i="32"/>
  <c r="E80" i="32"/>
  <c r="D80" i="32"/>
  <c r="C80" i="32"/>
  <c r="B80" i="32"/>
  <c r="P79" i="32"/>
  <c r="O79" i="32"/>
  <c r="N79" i="32"/>
  <c r="M79" i="32"/>
  <c r="L79" i="32"/>
  <c r="K79" i="32"/>
  <c r="J79" i="32"/>
  <c r="I79" i="32"/>
  <c r="H79" i="32"/>
  <c r="G79" i="32"/>
  <c r="F79" i="32"/>
  <c r="E79" i="32"/>
  <c r="D79" i="32"/>
  <c r="C79" i="32"/>
  <c r="B79" i="32"/>
  <c r="O67" i="28"/>
  <c r="L99" i="28"/>
  <c r="L100" i="28"/>
  <c r="L101" i="28"/>
  <c r="L102" i="28"/>
  <c r="L103" i="28"/>
  <c r="L104" i="28"/>
  <c r="L105" i="28"/>
  <c r="L106" i="28"/>
  <c r="L107" i="28"/>
  <c r="L108" i="28"/>
  <c r="L109" i="28"/>
  <c r="L110" i="28"/>
  <c r="L111" i="28"/>
  <c r="L112" i="28"/>
  <c r="L113" i="28"/>
  <c r="L114" i="28"/>
  <c r="L115" i="28"/>
  <c r="B116" i="28"/>
  <c r="C116" i="28"/>
  <c r="D116" i="28"/>
  <c r="E116" i="28"/>
  <c r="F116" i="28"/>
  <c r="G116" i="28"/>
  <c r="H116" i="28"/>
  <c r="I116" i="28"/>
  <c r="J116" i="28"/>
  <c r="K116" i="28"/>
  <c r="L117" i="28"/>
  <c r="L118" i="28"/>
  <c r="L119" i="28"/>
  <c r="L120" i="28"/>
  <c r="L121" i="28"/>
  <c r="L122" i="28"/>
  <c r="L123" i="28"/>
  <c r="L124" i="28"/>
  <c r="L125" i="28"/>
  <c r="L126" i="28"/>
  <c r="L127" i="28"/>
  <c r="L128" i="28"/>
  <c r="L129" i="28"/>
  <c r="L130" i="28"/>
  <c r="L131" i="28"/>
  <c r="L132" i="28"/>
  <c r="L133" i="28"/>
  <c r="L134" i="28"/>
  <c r="L135" i="28"/>
  <c r="L136" i="28"/>
  <c r="L137" i="28"/>
  <c r="L138" i="28"/>
  <c r="L139" i="28"/>
  <c r="L140" i="28"/>
  <c r="D24" i="3"/>
  <c r="F113" i="21" s="1"/>
  <c r="H47" i="4"/>
  <c r="G20" i="1"/>
  <c r="F17" i="2"/>
  <c r="G12" i="2"/>
  <c r="L7" i="26"/>
  <c r="M7" i="26"/>
  <c r="K7" i="26"/>
  <c r="I7" i="26"/>
  <c r="J7" i="26"/>
  <c r="H7" i="26"/>
  <c r="F7" i="26"/>
  <c r="G7" i="26"/>
  <c r="C7" i="26"/>
  <c r="D7" i="26"/>
  <c r="B7" i="26"/>
  <c r="B57" i="32"/>
  <c r="B58" i="32" s="1"/>
  <c r="AN19" i="23"/>
  <c r="AM19" i="23"/>
  <c r="AO18" i="23"/>
  <c r="AN16" i="23"/>
  <c r="AM16" i="23"/>
  <c r="AN15" i="23"/>
  <c r="AM15" i="23"/>
  <c r="AN14" i="23"/>
  <c r="AM14" i="23"/>
  <c r="AN12" i="23"/>
  <c r="AM12" i="23"/>
  <c r="AN11" i="23"/>
  <c r="AM11" i="23"/>
  <c r="AN10" i="23"/>
  <c r="AM10" i="23"/>
  <c r="AN9" i="23"/>
  <c r="AM9" i="23"/>
  <c r="AN8" i="23"/>
  <c r="AM8" i="23"/>
  <c r="AN7" i="23"/>
  <c r="AM7" i="23"/>
  <c r="AO7" i="23" s="1"/>
  <c r="AN6" i="23"/>
  <c r="AM6" i="23"/>
  <c r="AN5" i="23"/>
  <c r="AM5" i="23"/>
  <c r="AN3" i="23"/>
  <c r="AM3" i="23"/>
  <c r="AN2" i="23"/>
  <c r="AM2" i="23"/>
  <c r="D53" i="10"/>
  <c r="E53" i="10"/>
  <c r="G52" i="10"/>
  <c r="S101" i="28"/>
  <c r="N166" i="28"/>
  <c r="P57" i="32"/>
  <c r="P58" i="32" s="1"/>
  <c r="O57" i="32"/>
  <c r="O58" i="32" s="1"/>
  <c r="N57" i="32"/>
  <c r="N58" i="32" s="1"/>
  <c r="M57" i="32"/>
  <c r="M58" i="32" s="1"/>
  <c r="L57" i="32"/>
  <c r="L58" i="32" s="1"/>
  <c r="K57" i="32"/>
  <c r="K58" i="32" s="1"/>
  <c r="J57" i="32"/>
  <c r="J58" i="32" s="1"/>
  <c r="I57" i="32"/>
  <c r="I58" i="32" s="1"/>
  <c r="H57" i="32"/>
  <c r="H58" i="32" s="1"/>
  <c r="G57" i="32"/>
  <c r="G58" i="32" s="1"/>
  <c r="F57" i="32"/>
  <c r="F58" i="32" s="1"/>
  <c r="E57" i="32"/>
  <c r="E58" i="32" s="1"/>
  <c r="D57" i="32"/>
  <c r="D58" i="32" s="1"/>
  <c r="C57" i="32"/>
  <c r="E106" i="21"/>
  <c r="E207" i="1"/>
  <c r="E20" i="1"/>
  <c r="C220" i="1"/>
  <c r="C219" i="1"/>
  <c r="C218" i="1"/>
  <c r="C216" i="1"/>
  <c r="G17" i="2"/>
  <c r="N820" i="30"/>
  <c r="M820" i="30"/>
  <c r="L820" i="30"/>
  <c r="K820" i="30"/>
  <c r="J820" i="30"/>
  <c r="I820" i="30"/>
  <c r="H820" i="30"/>
  <c r="G820" i="30"/>
  <c r="F820" i="30"/>
  <c r="E820" i="30"/>
  <c r="D820" i="30"/>
  <c r="C820" i="30"/>
  <c r="N819" i="30"/>
  <c r="M819" i="30"/>
  <c r="L819" i="30"/>
  <c r="K819" i="30"/>
  <c r="J819" i="30"/>
  <c r="I819" i="30"/>
  <c r="H819" i="30"/>
  <c r="G819" i="30"/>
  <c r="F819" i="30"/>
  <c r="E819" i="30"/>
  <c r="D819" i="30"/>
  <c r="C819" i="30"/>
  <c r="N818" i="30"/>
  <c r="M818" i="30"/>
  <c r="L818" i="30"/>
  <c r="K818" i="30"/>
  <c r="J818" i="30"/>
  <c r="I818" i="30"/>
  <c r="H818" i="30"/>
  <c r="G818" i="30"/>
  <c r="F818" i="30"/>
  <c r="E818" i="30"/>
  <c r="D818" i="30"/>
  <c r="C818" i="30"/>
  <c r="N817" i="30"/>
  <c r="M817" i="30"/>
  <c r="L817" i="30"/>
  <c r="K817" i="30"/>
  <c r="J817" i="30"/>
  <c r="I817" i="30"/>
  <c r="H817" i="30"/>
  <c r="G817" i="30"/>
  <c r="F817" i="30"/>
  <c r="E817" i="30"/>
  <c r="D817" i="30"/>
  <c r="C817" i="30"/>
  <c r="N816" i="30"/>
  <c r="M816" i="30"/>
  <c r="L816" i="30"/>
  <c r="K816" i="30"/>
  <c r="J816" i="30"/>
  <c r="I816" i="30"/>
  <c r="H816" i="30"/>
  <c r="G816" i="30"/>
  <c r="F816" i="30"/>
  <c r="E816" i="30"/>
  <c r="D816" i="30"/>
  <c r="C816" i="30"/>
  <c r="N815" i="30"/>
  <c r="M815" i="30"/>
  <c r="L815" i="30"/>
  <c r="K815" i="30"/>
  <c r="J815" i="30"/>
  <c r="I815" i="30"/>
  <c r="H815" i="30"/>
  <c r="G815" i="30"/>
  <c r="F815" i="30"/>
  <c r="E815" i="30"/>
  <c r="D815" i="30"/>
  <c r="C815" i="30"/>
  <c r="N814" i="30"/>
  <c r="M814" i="30"/>
  <c r="L814" i="30"/>
  <c r="K814" i="30"/>
  <c r="J814" i="30"/>
  <c r="I814" i="30"/>
  <c r="H814" i="30"/>
  <c r="G814" i="30"/>
  <c r="F814" i="30"/>
  <c r="E814" i="30"/>
  <c r="D814" i="30"/>
  <c r="C814" i="30"/>
  <c r="N813" i="30"/>
  <c r="M813" i="30"/>
  <c r="L813" i="30"/>
  <c r="K813" i="30"/>
  <c r="J813" i="30"/>
  <c r="I813" i="30"/>
  <c r="H813" i="30"/>
  <c r="G813" i="30"/>
  <c r="F813" i="30"/>
  <c r="E813" i="30"/>
  <c r="D813" i="30"/>
  <c r="C813" i="30"/>
  <c r="N812" i="30"/>
  <c r="M812" i="30"/>
  <c r="L812" i="30"/>
  <c r="K812" i="30"/>
  <c r="J812" i="30"/>
  <c r="I812" i="30"/>
  <c r="H812" i="30"/>
  <c r="G812" i="30"/>
  <c r="F812" i="30"/>
  <c r="E812" i="30"/>
  <c r="D812" i="30"/>
  <c r="C812" i="30"/>
  <c r="N811" i="30"/>
  <c r="M811" i="30"/>
  <c r="L811" i="30"/>
  <c r="K811" i="30"/>
  <c r="J811" i="30"/>
  <c r="I811" i="30"/>
  <c r="H811" i="30"/>
  <c r="G811" i="30"/>
  <c r="F811" i="30"/>
  <c r="E811" i="30"/>
  <c r="D811" i="30"/>
  <c r="C811" i="30"/>
  <c r="N810" i="30"/>
  <c r="M810" i="30"/>
  <c r="L810" i="30"/>
  <c r="K810" i="30"/>
  <c r="J810" i="30"/>
  <c r="I810" i="30"/>
  <c r="H810" i="30"/>
  <c r="G810" i="30"/>
  <c r="F810" i="30"/>
  <c r="E810" i="30"/>
  <c r="D810" i="30"/>
  <c r="C810" i="30"/>
  <c r="N809" i="30"/>
  <c r="M809" i="30"/>
  <c r="L809" i="30"/>
  <c r="K809" i="30"/>
  <c r="J809" i="30"/>
  <c r="I809" i="30"/>
  <c r="H809" i="30"/>
  <c r="G809" i="30"/>
  <c r="F809" i="30"/>
  <c r="E809" i="30"/>
  <c r="D809" i="30"/>
  <c r="C809" i="30"/>
  <c r="N808" i="30"/>
  <c r="M808" i="30"/>
  <c r="L808" i="30"/>
  <c r="K808" i="30"/>
  <c r="J808" i="30"/>
  <c r="I808" i="30"/>
  <c r="H808" i="30"/>
  <c r="G808" i="30"/>
  <c r="F808" i="30"/>
  <c r="E808" i="30"/>
  <c r="D808" i="30"/>
  <c r="C808" i="30"/>
  <c r="N807" i="30"/>
  <c r="M807" i="30"/>
  <c r="L807" i="30"/>
  <c r="K807" i="30"/>
  <c r="J807" i="30"/>
  <c r="I807" i="30"/>
  <c r="H807" i="30"/>
  <c r="G807" i="30"/>
  <c r="F807" i="30"/>
  <c r="E807" i="30"/>
  <c r="D807" i="30"/>
  <c r="C807" i="30"/>
  <c r="N806" i="30"/>
  <c r="M806" i="30"/>
  <c r="L806" i="30"/>
  <c r="K806" i="30"/>
  <c r="J806" i="30"/>
  <c r="I806" i="30"/>
  <c r="H806" i="30"/>
  <c r="G806" i="30"/>
  <c r="F806" i="30"/>
  <c r="E806" i="30"/>
  <c r="D806" i="30"/>
  <c r="C806" i="30"/>
  <c r="O800" i="30"/>
  <c r="O799" i="30"/>
  <c r="O798" i="30"/>
  <c r="O797" i="30"/>
  <c r="P797" i="30" s="1"/>
  <c r="Q797" i="30" s="1"/>
  <c r="O796" i="30"/>
  <c r="O793" i="30"/>
  <c r="O792" i="30"/>
  <c r="O791" i="30"/>
  <c r="O790" i="30"/>
  <c r="O789" i="30"/>
  <c r="O788" i="30"/>
  <c r="O787" i="30"/>
  <c r="P787" i="30" s="1"/>
  <c r="Q787" i="30" s="1"/>
  <c r="O786" i="30"/>
  <c r="O785" i="30"/>
  <c r="O784" i="30"/>
  <c r="O783" i="30"/>
  <c r="O782" i="30"/>
  <c r="O781" i="30"/>
  <c r="O780" i="30"/>
  <c r="O779" i="30"/>
  <c r="O775" i="30"/>
  <c r="O774" i="30"/>
  <c r="O773" i="30"/>
  <c r="O772" i="30"/>
  <c r="O771" i="30"/>
  <c r="O770" i="30"/>
  <c r="O769" i="30"/>
  <c r="O768" i="30"/>
  <c r="O767" i="30"/>
  <c r="O766" i="30"/>
  <c r="O765" i="30"/>
  <c r="O764" i="30"/>
  <c r="P764" i="30" s="1"/>
  <c r="Q764" i="30" s="1"/>
  <c r="O763" i="30"/>
  <c r="O762" i="30"/>
  <c r="O761" i="30"/>
  <c r="O758" i="30"/>
  <c r="O757" i="30"/>
  <c r="O756" i="30"/>
  <c r="O755" i="30"/>
  <c r="O754" i="30"/>
  <c r="O753" i="30"/>
  <c r="O752" i="30"/>
  <c r="O751" i="30"/>
  <c r="O750" i="30"/>
  <c r="O749" i="30"/>
  <c r="O748" i="30"/>
  <c r="O747" i="30"/>
  <c r="O746" i="30"/>
  <c r="O745" i="30"/>
  <c r="O744" i="30"/>
  <c r="O741" i="30"/>
  <c r="O740" i="30"/>
  <c r="O739" i="30"/>
  <c r="O738" i="30"/>
  <c r="O737" i="30"/>
  <c r="O736" i="30"/>
  <c r="O735" i="30"/>
  <c r="O734" i="30"/>
  <c r="O733" i="30"/>
  <c r="O732" i="30"/>
  <c r="O731" i="30"/>
  <c r="O730" i="30"/>
  <c r="O729" i="30"/>
  <c r="O728" i="30"/>
  <c r="O727" i="30"/>
  <c r="O723" i="30"/>
  <c r="O722" i="30"/>
  <c r="O721" i="30"/>
  <c r="O720" i="30"/>
  <c r="O719" i="30"/>
  <c r="O718" i="30"/>
  <c r="O717" i="30"/>
  <c r="O716" i="30"/>
  <c r="O715" i="30"/>
  <c r="O714" i="30"/>
  <c r="O713" i="30"/>
  <c r="O712" i="30"/>
  <c r="O711" i="30"/>
  <c r="O710" i="30"/>
  <c r="O709" i="30"/>
  <c r="O706" i="30"/>
  <c r="O705" i="30"/>
  <c r="O704" i="30"/>
  <c r="O703" i="30"/>
  <c r="O702" i="30"/>
  <c r="O701" i="30"/>
  <c r="O700" i="30"/>
  <c r="O699" i="30"/>
  <c r="O698" i="30"/>
  <c r="O697" i="30"/>
  <c r="O696" i="30"/>
  <c r="O695" i="30"/>
  <c r="O694" i="30"/>
  <c r="O693" i="30"/>
  <c r="O692" i="30"/>
  <c r="O689" i="30"/>
  <c r="O688" i="30"/>
  <c r="O687" i="30"/>
  <c r="O686" i="30"/>
  <c r="O685" i="30"/>
  <c r="O684" i="30"/>
  <c r="O683" i="30"/>
  <c r="O682" i="30"/>
  <c r="O681" i="30"/>
  <c r="O680" i="30"/>
  <c r="O679" i="30"/>
  <c r="O678" i="30"/>
  <c r="O677" i="30"/>
  <c r="O676" i="30"/>
  <c r="O675" i="30"/>
  <c r="O671" i="30"/>
  <c r="O670" i="30"/>
  <c r="O669" i="30"/>
  <c r="O668" i="30"/>
  <c r="O667" i="30"/>
  <c r="O666" i="30"/>
  <c r="O665" i="30"/>
  <c r="O664" i="30"/>
  <c r="O663" i="30"/>
  <c r="O662" i="30"/>
  <c r="O661" i="30"/>
  <c r="O660" i="30"/>
  <c r="O659" i="30"/>
  <c r="O658" i="30"/>
  <c r="O657" i="30"/>
  <c r="O654" i="30"/>
  <c r="O653" i="30"/>
  <c r="O652" i="30"/>
  <c r="O651" i="30"/>
  <c r="O650" i="30"/>
  <c r="O649" i="30"/>
  <c r="O648" i="30"/>
  <c r="O647" i="30"/>
  <c r="P648" i="30" s="1"/>
  <c r="Q648" i="30" s="1"/>
  <c r="O646" i="30"/>
  <c r="O645" i="30"/>
  <c r="O644" i="30"/>
  <c r="O643" i="30"/>
  <c r="O642" i="30"/>
  <c r="O641" i="30"/>
  <c r="O640" i="30"/>
  <c r="O637" i="30"/>
  <c r="O636" i="30"/>
  <c r="O635" i="30"/>
  <c r="O634" i="30"/>
  <c r="O633" i="30"/>
  <c r="O632" i="30"/>
  <c r="O631" i="30"/>
  <c r="O630" i="30"/>
  <c r="O629" i="30"/>
  <c r="O628" i="30"/>
  <c r="O627" i="30"/>
  <c r="O626" i="30"/>
  <c r="O625" i="30"/>
  <c r="O624" i="30"/>
  <c r="O623" i="30"/>
  <c r="O619" i="30"/>
  <c r="O618" i="30"/>
  <c r="O617" i="30"/>
  <c r="O616" i="30"/>
  <c r="O615" i="30"/>
  <c r="O614" i="30"/>
  <c r="O613" i="30"/>
  <c r="O612" i="30"/>
  <c r="O611" i="30"/>
  <c r="O610" i="30"/>
  <c r="O609" i="30"/>
  <c r="O608" i="30"/>
  <c r="O607" i="30"/>
  <c r="O606" i="30"/>
  <c r="O605" i="30"/>
  <c r="O602" i="30"/>
  <c r="O601" i="30"/>
  <c r="O600" i="30"/>
  <c r="O599" i="30"/>
  <c r="O598" i="30"/>
  <c r="O597" i="30"/>
  <c r="O596" i="30"/>
  <c r="O595" i="30"/>
  <c r="O594" i="30"/>
  <c r="O593" i="30"/>
  <c r="O592" i="30"/>
  <c r="O591" i="30"/>
  <c r="O590" i="30"/>
  <c r="O589" i="30"/>
  <c r="O588" i="30"/>
  <c r="O585" i="30"/>
  <c r="O584" i="30"/>
  <c r="O583" i="30"/>
  <c r="O582" i="30"/>
  <c r="O581" i="30"/>
  <c r="O580" i="30"/>
  <c r="O579" i="30"/>
  <c r="O578" i="30"/>
  <c r="O577" i="30"/>
  <c r="O576" i="30"/>
  <c r="O575" i="30"/>
  <c r="O574" i="30"/>
  <c r="O573" i="30"/>
  <c r="O572" i="30"/>
  <c r="P572" i="30" s="1"/>
  <c r="Q572" i="30" s="1"/>
  <c r="O571" i="30"/>
  <c r="N7" i="12"/>
  <c r="O7" i="12" s="1"/>
  <c r="D29" i="16" s="1"/>
  <c r="AW6" i="23" s="1"/>
  <c r="N9" i="12"/>
  <c r="O9" i="12" s="1"/>
  <c r="D31" i="16" s="1"/>
  <c r="N17" i="12"/>
  <c r="O17" i="12" s="1"/>
  <c r="N16" i="12"/>
  <c r="O16" i="12" s="1"/>
  <c r="D38" i="16" s="1"/>
  <c r="AW16" i="23" s="1"/>
  <c r="L11" i="26"/>
  <c r="M11" i="26"/>
  <c r="K11" i="26"/>
  <c r="I11" i="26"/>
  <c r="J11" i="26"/>
  <c r="H11" i="26"/>
  <c r="F11" i="26"/>
  <c r="G11" i="26"/>
  <c r="E11" i="26"/>
  <c r="C11" i="26"/>
  <c r="D11" i="26"/>
  <c r="B11" i="26"/>
  <c r="H97" i="24"/>
  <c r="E97" i="24"/>
  <c r="D97" i="24"/>
  <c r="C97" i="24"/>
  <c r="F97" i="24" s="1"/>
  <c r="G97" i="24" s="1"/>
  <c r="W96" i="24"/>
  <c r="X96" i="24" s="1"/>
  <c r="V96" i="24"/>
  <c r="U96" i="24"/>
  <c r="P96" i="24"/>
  <c r="Q96" i="24" s="1"/>
  <c r="L96" i="24"/>
  <c r="K96" i="24"/>
  <c r="F96" i="24"/>
  <c r="G96" i="24"/>
  <c r="X95" i="24"/>
  <c r="W95" i="24"/>
  <c r="U95" i="24"/>
  <c r="V95" i="24" s="1"/>
  <c r="P95" i="24"/>
  <c r="Q95" i="24" s="1"/>
  <c r="K95" i="24"/>
  <c r="L95" i="24" s="1"/>
  <c r="G95" i="24"/>
  <c r="F95" i="24"/>
  <c r="W94" i="24"/>
  <c r="X94" i="24" s="1"/>
  <c r="U94" i="24"/>
  <c r="V94" i="24" s="1"/>
  <c r="P94" i="24"/>
  <c r="Q94" i="24" s="1"/>
  <c r="K94" i="24"/>
  <c r="L94" i="24" s="1"/>
  <c r="F94" i="24"/>
  <c r="G94" i="24" s="1"/>
  <c r="W93" i="24"/>
  <c r="X93" i="24" s="1"/>
  <c r="U93" i="24"/>
  <c r="V93" i="24" s="1"/>
  <c r="Q93" i="24"/>
  <c r="P93" i="24"/>
  <c r="K93" i="24"/>
  <c r="L93" i="24" s="1"/>
  <c r="F93" i="24"/>
  <c r="G93" i="24" s="1"/>
  <c r="T92" i="24"/>
  <c r="T97" i="24" s="1"/>
  <c r="S92" i="24"/>
  <c r="S97" i="24" s="1"/>
  <c r="R92" i="24"/>
  <c r="R97" i="24"/>
  <c r="O92" i="24"/>
  <c r="N92" i="24"/>
  <c r="N97" i="24" s="1"/>
  <c r="M92" i="24"/>
  <c r="M97" i="24" s="1"/>
  <c r="J92" i="24"/>
  <c r="J97" i="24"/>
  <c r="I92" i="24"/>
  <c r="I97" i="24" s="1"/>
  <c r="F92" i="24"/>
  <c r="G92" i="24" s="1"/>
  <c r="W91" i="24"/>
  <c r="X91" i="24" s="1"/>
  <c r="O11" i="26" s="1"/>
  <c r="U91" i="24"/>
  <c r="V91" i="24"/>
  <c r="P91" i="24"/>
  <c r="Q91" i="24" s="1"/>
  <c r="K91" i="24"/>
  <c r="L91" i="24"/>
  <c r="F91" i="24"/>
  <c r="G91" i="24" s="1"/>
  <c r="W88" i="24"/>
  <c r="X88" i="24" s="1"/>
  <c r="U88" i="24"/>
  <c r="V88" i="24" s="1"/>
  <c r="P88" i="24"/>
  <c r="Q88" i="24" s="1"/>
  <c r="K88" i="24"/>
  <c r="L88" i="24"/>
  <c r="F88" i="24"/>
  <c r="G88" i="24" s="1"/>
  <c r="W87" i="24"/>
  <c r="X87" i="24" s="1"/>
  <c r="U87" i="24"/>
  <c r="V87" i="24" s="1"/>
  <c r="P87" i="24"/>
  <c r="Q87" i="24" s="1"/>
  <c r="K87" i="24"/>
  <c r="L87" i="24" s="1"/>
  <c r="F87" i="24"/>
  <c r="G87" i="24" s="1"/>
  <c r="T86" i="24"/>
  <c r="S86" i="24"/>
  <c r="R86" i="24"/>
  <c r="O86" i="24"/>
  <c r="N86" i="24"/>
  <c r="M86" i="24"/>
  <c r="M89" i="24" s="1"/>
  <c r="J86" i="24"/>
  <c r="I86" i="24"/>
  <c r="H86" i="24"/>
  <c r="K86" i="24"/>
  <c r="L86" i="24" s="1"/>
  <c r="E86" i="24"/>
  <c r="D86" i="24"/>
  <c r="C86" i="24"/>
  <c r="F86" i="24" s="1"/>
  <c r="G86" i="24" s="1"/>
  <c r="R85" i="24"/>
  <c r="W85" i="24" s="1"/>
  <c r="X85" i="24" s="1"/>
  <c r="P85" i="24"/>
  <c r="Q85" i="24" s="1"/>
  <c r="K85" i="24"/>
  <c r="L85" i="24" s="1"/>
  <c r="F85" i="24"/>
  <c r="G85" i="24" s="1"/>
  <c r="W84" i="24"/>
  <c r="X84" i="24" s="1"/>
  <c r="U84" i="24"/>
  <c r="V84" i="24" s="1"/>
  <c r="P84" i="24"/>
  <c r="Q84" i="24" s="1"/>
  <c r="K84" i="24"/>
  <c r="L84" i="24" s="1"/>
  <c r="F84" i="24"/>
  <c r="G84" i="24" s="1"/>
  <c r="T83" i="24"/>
  <c r="T89" i="24" s="1"/>
  <c r="T98" i="24" s="1"/>
  <c r="S83" i="24"/>
  <c r="R83" i="24"/>
  <c r="R89" i="24" s="1"/>
  <c r="R98" i="24" s="1"/>
  <c r="O83" i="24"/>
  <c r="N83" i="24"/>
  <c r="N89" i="24" s="1"/>
  <c r="M83" i="24"/>
  <c r="J83" i="24"/>
  <c r="I83" i="24"/>
  <c r="I89" i="24" s="1"/>
  <c r="H83" i="24"/>
  <c r="H89" i="24"/>
  <c r="E83" i="24"/>
  <c r="E89" i="24"/>
  <c r="E98" i="24" s="1"/>
  <c r="D83" i="24"/>
  <c r="C83" i="24"/>
  <c r="C89" i="24" s="1"/>
  <c r="W82" i="24"/>
  <c r="X82" i="24" s="1"/>
  <c r="U82" i="24"/>
  <c r="V82" i="24" s="1"/>
  <c r="P82" i="24"/>
  <c r="Q82" i="24" s="1"/>
  <c r="K82" i="24"/>
  <c r="L82" i="24" s="1"/>
  <c r="F82" i="24"/>
  <c r="G82" i="24" s="1"/>
  <c r="W81" i="24"/>
  <c r="X81" i="24" s="1"/>
  <c r="U81" i="24"/>
  <c r="V81" i="24" s="1"/>
  <c r="P81" i="24"/>
  <c r="Q81" i="24" s="1"/>
  <c r="K81" i="24"/>
  <c r="L81" i="24" s="1"/>
  <c r="F81" i="24"/>
  <c r="G81" i="24" s="1"/>
  <c r="W80" i="24"/>
  <c r="X80" i="24" s="1"/>
  <c r="U80" i="24"/>
  <c r="V80" i="24" s="1"/>
  <c r="P80" i="24"/>
  <c r="Q80" i="24" s="1"/>
  <c r="K80" i="24"/>
  <c r="L80" i="24" s="1"/>
  <c r="F80" i="24"/>
  <c r="G80" i="24" s="1"/>
  <c r="W79" i="24"/>
  <c r="X79" i="24" s="1"/>
  <c r="U79" i="24"/>
  <c r="V79" i="24" s="1"/>
  <c r="P79" i="24"/>
  <c r="Q79" i="24" s="1"/>
  <c r="K79" i="24"/>
  <c r="L79" i="24" s="1"/>
  <c r="F79" i="24"/>
  <c r="G79" i="24" s="1"/>
  <c r="W78" i="24"/>
  <c r="X78" i="24" s="1"/>
  <c r="U78" i="24"/>
  <c r="V78" i="24" s="1"/>
  <c r="P78" i="24"/>
  <c r="Q78" i="24" s="1"/>
  <c r="K78" i="24"/>
  <c r="L78" i="24" s="1"/>
  <c r="F78" i="24"/>
  <c r="G78" i="24" s="1"/>
  <c r="W77" i="24"/>
  <c r="X77" i="24" s="1"/>
  <c r="U77" i="24"/>
  <c r="V77" i="24" s="1"/>
  <c r="P77" i="24"/>
  <c r="Q77" i="24" s="1"/>
  <c r="K77" i="24"/>
  <c r="L77" i="24" s="1"/>
  <c r="F77" i="24"/>
  <c r="G77" i="24" s="1"/>
  <c r="W76" i="24"/>
  <c r="X76" i="24" s="1"/>
  <c r="U76" i="24"/>
  <c r="V76" i="24" s="1"/>
  <c r="P76" i="24"/>
  <c r="Q76" i="24" s="1"/>
  <c r="K76" i="24"/>
  <c r="L76" i="24" s="1"/>
  <c r="F76" i="24"/>
  <c r="G76" i="24" s="1"/>
  <c r="W75" i="24"/>
  <c r="X75" i="24"/>
  <c r="U75" i="24"/>
  <c r="V75" i="24" s="1"/>
  <c r="P75" i="24"/>
  <c r="Q75" i="24" s="1"/>
  <c r="K75" i="24"/>
  <c r="L75" i="24" s="1"/>
  <c r="F75" i="24"/>
  <c r="G75" i="24" s="1"/>
  <c r="AJ18" i="23"/>
  <c r="N1061" i="30"/>
  <c r="M1061" i="30"/>
  <c r="L1061" i="30"/>
  <c r="K1061" i="30"/>
  <c r="J1061" i="30"/>
  <c r="I1061" i="30"/>
  <c r="H1061" i="30"/>
  <c r="G1061" i="30"/>
  <c r="F1061" i="30"/>
  <c r="E1061" i="30"/>
  <c r="D1061" i="30"/>
  <c r="C1061" i="30"/>
  <c r="N1060" i="30"/>
  <c r="M1060" i="30"/>
  <c r="L1060" i="30"/>
  <c r="K1060" i="30"/>
  <c r="J1060" i="30"/>
  <c r="I1060" i="30"/>
  <c r="H1060" i="30"/>
  <c r="G1060" i="30"/>
  <c r="F1060" i="30"/>
  <c r="E1060" i="30"/>
  <c r="D1060" i="30"/>
  <c r="O1060" i="30" s="1"/>
  <c r="P1060" i="30" s="1"/>
  <c r="Q1060" i="30" s="1"/>
  <c r="C1060" i="30"/>
  <c r="N1059" i="30"/>
  <c r="M1059" i="30"/>
  <c r="L1059" i="30"/>
  <c r="K1059" i="30"/>
  <c r="J1059" i="30"/>
  <c r="I1059" i="30"/>
  <c r="H1059" i="30"/>
  <c r="G1059" i="30"/>
  <c r="F1059" i="30"/>
  <c r="E1059" i="30"/>
  <c r="D1059" i="30"/>
  <c r="C1059" i="30"/>
  <c r="N1058" i="30"/>
  <c r="O1058" i="30" s="1"/>
  <c r="M1058" i="30"/>
  <c r="L1058" i="30"/>
  <c r="K1058" i="30"/>
  <c r="J1058" i="30"/>
  <c r="I1058" i="30"/>
  <c r="H1058" i="30"/>
  <c r="G1058" i="30"/>
  <c r="F1058" i="30"/>
  <c r="E1058" i="30"/>
  <c r="D1058" i="30"/>
  <c r="C1058" i="30"/>
  <c r="N1057" i="30"/>
  <c r="M1057" i="30"/>
  <c r="L1057" i="30"/>
  <c r="O1057" i="30" s="1"/>
  <c r="P1057" i="30" s="1"/>
  <c r="Q1057" i="30" s="1"/>
  <c r="K1057" i="30"/>
  <c r="J1057" i="30"/>
  <c r="I1057" i="30"/>
  <c r="H1057" i="30"/>
  <c r="G1057" i="30"/>
  <c r="F1057" i="30"/>
  <c r="E1057" i="30"/>
  <c r="D1057" i="30"/>
  <c r="C1057" i="30"/>
  <c r="N1056" i="30"/>
  <c r="M1056" i="30"/>
  <c r="L1056" i="30"/>
  <c r="K1056" i="30"/>
  <c r="J1056" i="30"/>
  <c r="I1056" i="30"/>
  <c r="H1056" i="30"/>
  <c r="G1056" i="30"/>
  <c r="F1056" i="30"/>
  <c r="E1056" i="30"/>
  <c r="D1056" i="30"/>
  <c r="C1056" i="30"/>
  <c r="N1055" i="30"/>
  <c r="M1055" i="30"/>
  <c r="L1055" i="30"/>
  <c r="K1055" i="30"/>
  <c r="J1055" i="30"/>
  <c r="I1055" i="30"/>
  <c r="H1055" i="30"/>
  <c r="O1055" i="30" s="1"/>
  <c r="P1055" i="30" s="1"/>
  <c r="G1055" i="30"/>
  <c r="F1055" i="30"/>
  <c r="E1055" i="30"/>
  <c r="D1055" i="30"/>
  <c r="C1055" i="30"/>
  <c r="N1054" i="30"/>
  <c r="M1054" i="30"/>
  <c r="L1054" i="30"/>
  <c r="K1054" i="30"/>
  <c r="J1054" i="30"/>
  <c r="I1054" i="30"/>
  <c r="H1054" i="30"/>
  <c r="G1054" i="30"/>
  <c r="F1054" i="30"/>
  <c r="O1054" i="30" s="1"/>
  <c r="P1054" i="30" s="1"/>
  <c r="E1054" i="30"/>
  <c r="D1054" i="30"/>
  <c r="C1054" i="30"/>
  <c r="N1053" i="30"/>
  <c r="M1053" i="30"/>
  <c r="L1053" i="30"/>
  <c r="K1053" i="30"/>
  <c r="J1053" i="30"/>
  <c r="I1053" i="30"/>
  <c r="H1053" i="30"/>
  <c r="G1053" i="30"/>
  <c r="F1053" i="30"/>
  <c r="E1053" i="30"/>
  <c r="D1053" i="30"/>
  <c r="O1053" i="30" s="1"/>
  <c r="P1053" i="30" s="1"/>
  <c r="Q1053" i="30" s="1"/>
  <c r="C1053" i="30"/>
  <c r="N1052" i="30"/>
  <c r="M1052" i="30"/>
  <c r="L1052" i="30"/>
  <c r="K1052" i="30"/>
  <c r="J1052" i="30"/>
  <c r="I1052" i="30"/>
  <c r="H1052" i="30"/>
  <c r="G1052" i="30"/>
  <c r="F1052" i="30"/>
  <c r="E1052" i="30"/>
  <c r="D1052" i="30"/>
  <c r="C1052" i="30"/>
  <c r="N1051" i="30"/>
  <c r="O1051" i="30" s="1"/>
  <c r="P1051" i="30" s="1"/>
  <c r="Q1051" i="30" s="1"/>
  <c r="M1051" i="30"/>
  <c r="L1051" i="30"/>
  <c r="K1051" i="30"/>
  <c r="J1051" i="30"/>
  <c r="I1051" i="30"/>
  <c r="H1051" i="30"/>
  <c r="G1051" i="30"/>
  <c r="F1051" i="30"/>
  <c r="E1051" i="30"/>
  <c r="D1051" i="30"/>
  <c r="C1051" i="30"/>
  <c r="N1050" i="30"/>
  <c r="M1050" i="30"/>
  <c r="L1050" i="30"/>
  <c r="O1050" i="30" s="1"/>
  <c r="P1050" i="30" s="1"/>
  <c r="K1050" i="30"/>
  <c r="J1050" i="30"/>
  <c r="I1050" i="30"/>
  <c r="H1050" i="30"/>
  <c r="G1050" i="30"/>
  <c r="F1050" i="30"/>
  <c r="E1050" i="30"/>
  <c r="D1050" i="30"/>
  <c r="C1050" i="30"/>
  <c r="N1049" i="30"/>
  <c r="M1049" i="30"/>
  <c r="L1049" i="30"/>
  <c r="K1049" i="30"/>
  <c r="J1049" i="30"/>
  <c r="O1049" i="30" s="1"/>
  <c r="P1049" i="30" s="1"/>
  <c r="I1049" i="30"/>
  <c r="H1049" i="30"/>
  <c r="G1049" i="30"/>
  <c r="F1049" i="30"/>
  <c r="E1049" i="30"/>
  <c r="D1049" i="30"/>
  <c r="C1049" i="30"/>
  <c r="N1048" i="30"/>
  <c r="M1048" i="30"/>
  <c r="L1048" i="30"/>
  <c r="K1048" i="30"/>
  <c r="J1048" i="30"/>
  <c r="I1048" i="30"/>
  <c r="H1048" i="30"/>
  <c r="O1048" i="30" s="1"/>
  <c r="G1048" i="30"/>
  <c r="F1048" i="30"/>
  <c r="E1048" i="30"/>
  <c r="D1048" i="30"/>
  <c r="C1048" i="30"/>
  <c r="O1041" i="30"/>
  <c r="O1040" i="30"/>
  <c r="O1039" i="30"/>
  <c r="O1038" i="30"/>
  <c r="O1035" i="30"/>
  <c r="O1034" i="30"/>
  <c r="O1033" i="30"/>
  <c r="P1034" i="30" s="1"/>
  <c r="Q1034" i="30" s="1"/>
  <c r="O1032" i="30"/>
  <c r="O1031" i="30"/>
  <c r="P1032" i="30" s="1"/>
  <c r="Q1032" i="30" s="1"/>
  <c r="O1030" i="30"/>
  <c r="O1029" i="30"/>
  <c r="O1028" i="30"/>
  <c r="O1027" i="30"/>
  <c r="O1026" i="30"/>
  <c r="O1025" i="30"/>
  <c r="O1024" i="30"/>
  <c r="O1023" i="30"/>
  <c r="O1022" i="30"/>
  <c r="O1018" i="30"/>
  <c r="O1017" i="30"/>
  <c r="O1016" i="30"/>
  <c r="P1016" i="30" s="1"/>
  <c r="Q1016" i="30" s="1"/>
  <c r="O1015" i="30"/>
  <c r="O1014" i="30"/>
  <c r="P1014" i="30" s="1"/>
  <c r="Q1014" i="30" s="1"/>
  <c r="O1013" i="30"/>
  <c r="O1012" i="30"/>
  <c r="O1011" i="30"/>
  <c r="O1010" i="30"/>
  <c r="O1009" i="30"/>
  <c r="O1008" i="30"/>
  <c r="O1007" i="30"/>
  <c r="O1006" i="30"/>
  <c r="O1005" i="30"/>
  <c r="O1002" i="30"/>
  <c r="O1001" i="30"/>
  <c r="O1000" i="30"/>
  <c r="P1000" i="30" s="1"/>
  <c r="Q1000" i="30" s="1"/>
  <c r="O999" i="30"/>
  <c r="O998" i="30"/>
  <c r="P999" i="30" s="1"/>
  <c r="Q999" i="30" s="1"/>
  <c r="O997" i="30"/>
  <c r="O996" i="30"/>
  <c r="O995" i="30"/>
  <c r="O994" i="30"/>
  <c r="O993" i="30"/>
  <c r="O992" i="30"/>
  <c r="O991" i="30"/>
  <c r="O990" i="30"/>
  <c r="O989" i="30"/>
  <c r="O986" i="30"/>
  <c r="P986" i="30" s="1"/>
  <c r="Q986" i="30" s="1"/>
  <c r="O985" i="30"/>
  <c r="O984" i="30"/>
  <c r="P984" i="30" s="1"/>
  <c r="O983" i="30"/>
  <c r="O982" i="30"/>
  <c r="P982" i="30" s="1"/>
  <c r="Q982" i="30" s="1"/>
  <c r="O981" i="30"/>
  <c r="O980" i="30"/>
  <c r="O979" i="30"/>
  <c r="O978" i="30"/>
  <c r="O977" i="30"/>
  <c r="O976" i="30"/>
  <c r="O975" i="30"/>
  <c r="O974" i="30"/>
  <c r="O973" i="30"/>
  <c r="O969" i="30"/>
  <c r="O968" i="30"/>
  <c r="O967" i="30"/>
  <c r="O966" i="30"/>
  <c r="O965" i="30"/>
  <c r="P965" i="30" s="1"/>
  <c r="Q965" i="30" s="1"/>
  <c r="O964" i="30"/>
  <c r="O963" i="30"/>
  <c r="O962" i="30"/>
  <c r="O961" i="30"/>
  <c r="O960" i="30"/>
  <c r="P961" i="30" s="1"/>
  <c r="Q961" i="30" s="1"/>
  <c r="O959" i="30"/>
  <c r="O958" i="30"/>
  <c r="O957" i="30"/>
  <c r="O956" i="30"/>
  <c r="O953" i="30"/>
  <c r="P953" i="30" s="1"/>
  <c r="Q953" i="30" s="1"/>
  <c r="O952" i="30"/>
  <c r="O951" i="30"/>
  <c r="P951" i="30" s="1"/>
  <c r="Q951" i="30" s="1"/>
  <c r="O950" i="30"/>
  <c r="O949" i="30"/>
  <c r="P950" i="30" s="1"/>
  <c r="Q950" i="30" s="1"/>
  <c r="O948" i="30"/>
  <c r="O947" i="30"/>
  <c r="P948" i="30"/>
  <c r="Q948" i="30" s="1"/>
  <c r="O946" i="30"/>
  <c r="O945" i="30"/>
  <c r="O944" i="30"/>
  <c r="O943" i="30"/>
  <c r="O942" i="30"/>
  <c r="O941" i="30"/>
  <c r="O940" i="30"/>
  <c r="O937" i="30"/>
  <c r="O936" i="30"/>
  <c r="O935" i="30"/>
  <c r="O934" i="30"/>
  <c r="P935" i="30" s="1"/>
  <c r="Q935" i="30" s="1"/>
  <c r="O933" i="30"/>
  <c r="O932" i="30"/>
  <c r="O931" i="30"/>
  <c r="O930" i="30"/>
  <c r="O929" i="30"/>
  <c r="O928" i="30"/>
  <c r="O927" i="30"/>
  <c r="O926" i="30"/>
  <c r="O925" i="30"/>
  <c r="O924" i="30"/>
  <c r="O920" i="30"/>
  <c r="O919" i="30"/>
  <c r="P920" i="30" s="1"/>
  <c r="Q920" i="30" s="1"/>
  <c r="O918" i="30"/>
  <c r="O917" i="30"/>
  <c r="P917" i="30" s="1"/>
  <c r="Q917" i="30" s="1"/>
  <c r="O916" i="30"/>
  <c r="O915" i="30"/>
  <c r="O914" i="30"/>
  <c r="P914" i="30" s="1"/>
  <c r="Q914" i="30" s="1"/>
  <c r="O913" i="30"/>
  <c r="O912" i="30"/>
  <c r="O911" i="30"/>
  <c r="O910" i="30"/>
  <c r="O909" i="30"/>
  <c r="O908" i="30"/>
  <c r="O907" i="30"/>
  <c r="P908" i="30" s="1"/>
  <c r="Q908" i="30" s="1"/>
  <c r="O904" i="30"/>
  <c r="O903" i="30"/>
  <c r="P903" i="30" s="1"/>
  <c r="Q903" i="30" s="1"/>
  <c r="O902" i="30"/>
  <c r="O901" i="30"/>
  <c r="P901" i="30" s="1"/>
  <c r="Q901" i="30" s="1"/>
  <c r="O900" i="30"/>
  <c r="O899" i="30"/>
  <c r="O898" i="30"/>
  <c r="O897" i="30"/>
  <c r="O896" i="30"/>
  <c r="O895" i="30"/>
  <c r="O894" i="30"/>
  <c r="O893" i="30"/>
  <c r="P893" i="30" s="1"/>
  <c r="Q893" i="30" s="1"/>
  <c r="O892" i="30"/>
  <c r="O891" i="30"/>
  <c r="P892" i="30" s="1"/>
  <c r="O888" i="30"/>
  <c r="O887" i="30"/>
  <c r="P887" i="30" s="1"/>
  <c r="Q887" i="30" s="1"/>
  <c r="O886" i="30"/>
  <c r="O885" i="30"/>
  <c r="O884" i="30"/>
  <c r="O883" i="30"/>
  <c r="P884" i="30" s="1"/>
  <c r="Q884" i="30" s="1"/>
  <c r="O882" i="30"/>
  <c r="O881" i="30"/>
  <c r="O880" i="30"/>
  <c r="O879" i="30"/>
  <c r="O878" i="30"/>
  <c r="O877" i="30"/>
  <c r="O876" i="30"/>
  <c r="O875" i="30"/>
  <c r="P876" i="30" s="1"/>
  <c r="Q876" i="30" s="1"/>
  <c r="O871" i="30"/>
  <c r="O870" i="30"/>
  <c r="P870" i="30" s="1"/>
  <c r="Q870" i="30" s="1"/>
  <c r="O869" i="30"/>
  <c r="O868" i="30"/>
  <c r="P869" i="30" s="1"/>
  <c r="Q869" i="30" s="1"/>
  <c r="O867" i="30"/>
  <c r="O866" i="30"/>
  <c r="O865" i="30"/>
  <c r="O864" i="30"/>
  <c r="O863" i="30"/>
  <c r="O862" i="30"/>
  <c r="O861" i="30"/>
  <c r="O860" i="30"/>
  <c r="O859" i="30"/>
  <c r="O858" i="30"/>
  <c r="O855" i="30"/>
  <c r="O854" i="30"/>
  <c r="P854" i="30" s="1"/>
  <c r="Q854" i="30" s="1"/>
  <c r="O853" i="30"/>
  <c r="O852" i="30"/>
  <c r="P852" i="30" s="1"/>
  <c r="Q852" i="30" s="1"/>
  <c r="O851" i="30"/>
  <c r="O850" i="30"/>
  <c r="P851" i="30" s="1"/>
  <c r="Q851" i="30" s="1"/>
  <c r="O849" i="30"/>
  <c r="O848" i="30"/>
  <c r="O847" i="30"/>
  <c r="O846" i="30"/>
  <c r="O845" i="30"/>
  <c r="O844" i="30"/>
  <c r="O843" i="30"/>
  <c r="O842" i="30"/>
  <c r="P843" i="30" s="1"/>
  <c r="Q843" i="30" s="1"/>
  <c r="O839" i="30"/>
  <c r="O838" i="30"/>
  <c r="O837" i="30"/>
  <c r="O836" i="30"/>
  <c r="P837" i="30" s="1"/>
  <c r="Q837" i="30" s="1"/>
  <c r="O835" i="30"/>
  <c r="O834" i="30"/>
  <c r="O833" i="30"/>
  <c r="O832" i="30"/>
  <c r="O831" i="30"/>
  <c r="O830" i="30"/>
  <c r="O829" i="30"/>
  <c r="O828" i="30"/>
  <c r="O827" i="30"/>
  <c r="O826" i="30"/>
  <c r="P35" i="32"/>
  <c r="O35" i="32"/>
  <c r="N35" i="32"/>
  <c r="M35" i="32"/>
  <c r="L35" i="32"/>
  <c r="K35" i="32"/>
  <c r="J35" i="32"/>
  <c r="I35" i="32"/>
  <c r="H35" i="32"/>
  <c r="G35" i="32"/>
  <c r="F35" i="32"/>
  <c r="E35" i="32"/>
  <c r="D35" i="32"/>
  <c r="C35" i="32"/>
  <c r="B35" i="32"/>
  <c r="P17" i="32"/>
  <c r="O17" i="32"/>
  <c r="N17" i="32"/>
  <c r="M17" i="32"/>
  <c r="L17" i="32"/>
  <c r="K17" i="32"/>
  <c r="J17" i="32"/>
  <c r="I17" i="32"/>
  <c r="H17" i="32"/>
  <c r="G17" i="32"/>
  <c r="F17" i="32"/>
  <c r="E17" i="32"/>
  <c r="D17" i="32"/>
  <c r="C17" i="32"/>
  <c r="B17" i="32"/>
  <c r="Q3" i="32"/>
  <c r="O150" i="28"/>
  <c r="O151" i="28"/>
  <c r="O152" i="28"/>
  <c r="O153" i="28"/>
  <c r="O154" i="28"/>
  <c r="O155" i="28"/>
  <c r="O156" i="28"/>
  <c r="O157" i="28"/>
  <c r="O158" i="28"/>
  <c r="O159" i="28"/>
  <c r="O160" i="28"/>
  <c r="O161" i="28"/>
  <c r="O162" i="28"/>
  <c r="O163" i="28"/>
  <c r="O164" i="28"/>
  <c r="O165" i="28"/>
  <c r="O149" i="28"/>
  <c r="N195" i="28"/>
  <c r="L195" i="28"/>
  <c r="K195" i="28"/>
  <c r="J195" i="28"/>
  <c r="I195" i="28"/>
  <c r="H195" i="28"/>
  <c r="F195" i="28"/>
  <c r="E195" i="28"/>
  <c r="D195" i="28"/>
  <c r="C195" i="28"/>
  <c r="B195" i="28"/>
  <c r="N189" i="28"/>
  <c r="L189" i="28"/>
  <c r="K189" i="28"/>
  <c r="J189" i="28"/>
  <c r="I189" i="28"/>
  <c r="H189" i="28"/>
  <c r="F189" i="28"/>
  <c r="E189" i="28"/>
  <c r="D189" i="28"/>
  <c r="C189" i="28"/>
  <c r="B189" i="28"/>
  <c r="N180" i="28"/>
  <c r="L180" i="28"/>
  <c r="K180" i="28"/>
  <c r="J180" i="28"/>
  <c r="I180" i="28"/>
  <c r="H180" i="28"/>
  <c r="F180" i="28"/>
  <c r="E180" i="28"/>
  <c r="D180" i="28"/>
  <c r="C180" i="28"/>
  <c r="B180" i="28"/>
  <c r="L166" i="28"/>
  <c r="K166" i="28"/>
  <c r="J166" i="28"/>
  <c r="I166" i="28"/>
  <c r="H166" i="28"/>
  <c r="F166" i="28"/>
  <c r="E166" i="28"/>
  <c r="O166" i="28" s="1"/>
  <c r="D166" i="28"/>
  <c r="C166" i="28"/>
  <c r="B166" i="28"/>
  <c r="D21" i="8"/>
  <c r="F21" i="8" s="1"/>
  <c r="E101" i="21"/>
  <c r="F104" i="21" s="1"/>
  <c r="E25" i="21"/>
  <c r="E5" i="21"/>
  <c r="G37" i="1"/>
  <c r="G54" i="1"/>
  <c r="G71" i="1"/>
  <c r="G88" i="1"/>
  <c r="G105" i="1"/>
  <c r="G122" i="1"/>
  <c r="G225" i="1" s="1"/>
  <c r="G139" i="1"/>
  <c r="G156" i="1"/>
  <c r="G173" i="1"/>
  <c r="G190" i="1"/>
  <c r="G207" i="1"/>
  <c r="G224" i="1"/>
  <c r="E8" i="2"/>
  <c r="C29" i="16" s="1"/>
  <c r="E9" i="2"/>
  <c r="L15" i="26"/>
  <c r="M15" i="26"/>
  <c r="K15" i="26"/>
  <c r="I15" i="26"/>
  <c r="J15" i="26"/>
  <c r="H15" i="26"/>
  <c r="F15" i="26"/>
  <c r="G15" i="26"/>
  <c r="E15" i="26"/>
  <c r="C15" i="26"/>
  <c r="D15" i="26"/>
  <c r="B15" i="26"/>
  <c r="T128" i="24"/>
  <c r="S128" i="24"/>
  <c r="R128" i="24"/>
  <c r="O128" i="24"/>
  <c r="M128" i="24"/>
  <c r="J128" i="24"/>
  <c r="I128" i="24"/>
  <c r="W127" i="24"/>
  <c r="X127" i="24" s="1"/>
  <c r="U127" i="24"/>
  <c r="V127" i="24" s="1"/>
  <c r="P127" i="24"/>
  <c r="Q127" i="24" s="1"/>
  <c r="K127" i="24"/>
  <c r="L127" i="24" s="1"/>
  <c r="F127" i="24"/>
  <c r="G127" i="24" s="1"/>
  <c r="W126" i="24"/>
  <c r="X126" i="24" s="1"/>
  <c r="U126" i="24"/>
  <c r="V126" i="24" s="1"/>
  <c r="P126" i="24"/>
  <c r="Q126" i="24" s="1"/>
  <c r="K126" i="24"/>
  <c r="L126" i="24" s="1"/>
  <c r="F126" i="24"/>
  <c r="G126" i="24" s="1"/>
  <c r="W125" i="24"/>
  <c r="X125" i="24" s="1"/>
  <c r="U125" i="24"/>
  <c r="V125" i="24" s="1"/>
  <c r="P125" i="24"/>
  <c r="Q125" i="24" s="1"/>
  <c r="K125" i="24"/>
  <c r="L125" i="24" s="1"/>
  <c r="F125" i="24"/>
  <c r="G125" i="24"/>
  <c r="W124" i="24"/>
  <c r="X124" i="24" s="1"/>
  <c r="U124" i="24"/>
  <c r="V124" i="24" s="1"/>
  <c r="P124" i="24"/>
  <c r="Q124" i="24" s="1"/>
  <c r="K124" i="24"/>
  <c r="L124" i="24" s="1"/>
  <c r="F124" i="24"/>
  <c r="G124" i="24" s="1"/>
  <c r="U123" i="24"/>
  <c r="V123" i="24" s="1"/>
  <c r="N123" i="24"/>
  <c r="H123" i="24"/>
  <c r="H128" i="24" s="1"/>
  <c r="K128" i="24" s="1"/>
  <c r="E123" i="24"/>
  <c r="D123" i="24"/>
  <c r="C123" i="24"/>
  <c r="W122" i="24"/>
  <c r="X122" i="24" s="1"/>
  <c r="O15" i="26" s="1"/>
  <c r="U122" i="24"/>
  <c r="V122" i="24" s="1"/>
  <c r="P122" i="24"/>
  <c r="Q122" i="24" s="1"/>
  <c r="K122" i="24"/>
  <c r="L122" i="24" s="1"/>
  <c r="F122" i="24"/>
  <c r="G122" i="24" s="1"/>
  <c r="W119" i="24"/>
  <c r="X119" i="24" s="1"/>
  <c r="U119" i="24"/>
  <c r="V119" i="24" s="1"/>
  <c r="P119" i="24"/>
  <c r="Q119" i="24" s="1"/>
  <c r="K119" i="24"/>
  <c r="L119" i="24" s="1"/>
  <c r="F119" i="24"/>
  <c r="G119" i="24" s="1"/>
  <c r="W118" i="24"/>
  <c r="X118" i="24" s="1"/>
  <c r="U118" i="24"/>
  <c r="V118" i="24" s="1"/>
  <c r="P118" i="24"/>
  <c r="Q118" i="24" s="1"/>
  <c r="K118" i="24"/>
  <c r="L118" i="24" s="1"/>
  <c r="F118" i="24"/>
  <c r="G118" i="24" s="1"/>
  <c r="T117" i="24"/>
  <c r="S117" i="24"/>
  <c r="U117" i="24" s="1"/>
  <c r="R117" i="24"/>
  <c r="O117" i="24"/>
  <c r="N117" i="24"/>
  <c r="M117" i="24"/>
  <c r="J117" i="24"/>
  <c r="I117" i="24"/>
  <c r="H117" i="24"/>
  <c r="E117" i="24"/>
  <c r="D117" i="24"/>
  <c r="C117" i="24"/>
  <c r="W116" i="24"/>
  <c r="X116" i="24" s="1"/>
  <c r="U116" i="24"/>
  <c r="V116" i="24" s="1"/>
  <c r="P116" i="24"/>
  <c r="Q116" i="24" s="1"/>
  <c r="K116" i="24"/>
  <c r="L116" i="24" s="1"/>
  <c r="F116" i="24"/>
  <c r="G116" i="24" s="1"/>
  <c r="W115" i="24"/>
  <c r="X115" i="24" s="1"/>
  <c r="U115" i="24"/>
  <c r="V115" i="24" s="1"/>
  <c r="P115" i="24"/>
  <c r="Q115" i="24" s="1"/>
  <c r="K115" i="24"/>
  <c r="L115" i="24" s="1"/>
  <c r="F115" i="24"/>
  <c r="G115" i="24" s="1"/>
  <c r="T114" i="24"/>
  <c r="T120" i="24" s="1"/>
  <c r="T129" i="24" s="1"/>
  <c r="S114" i="24"/>
  <c r="R114" i="24"/>
  <c r="O114" i="24"/>
  <c r="N114" i="24"/>
  <c r="M114" i="24"/>
  <c r="J114" i="24"/>
  <c r="K114" i="24" s="1"/>
  <c r="L114" i="24" s="1"/>
  <c r="I114" i="24"/>
  <c r="H114" i="24"/>
  <c r="E114" i="24"/>
  <c r="D114" i="24"/>
  <c r="C114" i="24"/>
  <c r="W113" i="24"/>
  <c r="X113" i="24" s="1"/>
  <c r="U113" i="24"/>
  <c r="V113" i="24" s="1"/>
  <c r="P113" i="24"/>
  <c r="Q113" i="24" s="1"/>
  <c r="K113" i="24"/>
  <c r="L113" i="24"/>
  <c r="G113" i="24"/>
  <c r="F113" i="24"/>
  <c r="W112" i="24"/>
  <c r="X112" i="24" s="1"/>
  <c r="V112" i="24"/>
  <c r="U112" i="24"/>
  <c r="P112" i="24"/>
  <c r="Q112" i="24" s="1"/>
  <c r="K112" i="24"/>
  <c r="L112" i="24" s="1"/>
  <c r="F112" i="24"/>
  <c r="G112" i="24" s="1"/>
  <c r="W111" i="24"/>
  <c r="X111" i="24" s="1"/>
  <c r="U111" i="24"/>
  <c r="V111" i="24" s="1"/>
  <c r="P111" i="24"/>
  <c r="Q111" i="24" s="1"/>
  <c r="K111" i="24"/>
  <c r="L111" i="24" s="1"/>
  <c r="G111" i="24"/>
  <c r="F111" i="24"/>
  <c r="W110" i="24"/>
  <c r="X110" i="24" s="1"/>
  <c r="U110" i="24"/>
  <c r="V110" i="24" s="1"/>
  <c r="P110" i="24"/>
  <c r="Q110" i="24" s="1"/>
  <c r="K110" i="24"/>
  <c r="L110" i="24" s="1"/>
  <c r="F110" i="24"/>
  <c r="G110" i="24" s="1"/>
  <c r="W109" i="24"/>
  <c r="X109" i="24" s="1"/>
  <c r="U109" i="24"/>
  <c r="V109" i="24" s="1"/>
  <c r="P109" i="24"/>
  <c r="Q109" i="24" s="1"/>
  <c r="K109" i="24"/>
  <c r="L109" i="24" s="1"/>
  <c r="F109" i="24"/>
  <c r="G109" i="24" s="1"/>
  <c r="W108" i="24"/>
  <c r="X108" i="24" s="1"/>
  <c r="U108" i="24"/>
  <c r="V108" i="24" s="1"/>
  <c r="P108" i="24"/>
  <c r="Q108" i="24" s="1"/>
  <c r="K108" i="24"/>
  <c r="L108" i="24" s="1"/>
  <c r="F108" i="24"/>
  <c r="G108" i="24" s="1"/>
  <c r="W107" i="24"/>
  <c r="X107" i="24" s="1"/>
  <c r="U107" i="24"/>
  <c r="V107" i="24" s="1"/>
  <c r="P107" i="24"/>
  <c r="Q107" i="24" s="1"/>
  <c r="K107" i="24"/>
  <c r="L107" i="24" s="1"/>
  <c r="F107" i="24"/>
  <c r="G107" i="24"/>
  <c r="W106" i="24"/>
  <c r="X106" i="24" s="1"/>
  <c r="U106" i="24"/>
  <c r="V106" i="24" s="1"/>
  <c r="P106" i="24"/>
  <c r="Q106" i="24" s="1"/>
  <c r="K106" i="24"/>
  <c r="L106" i="24" s="1"/>
  <c r="F106" i="24"/>
  <c r="G106" i="24" s="1"/>
  <c r="E5" i="2"/>
  <c r="E6" i="2"/>
  <c r="C30" i="16" s="1"/>
  <c r="E7" i="2"/>
  <c r="C28" i="16" s="1"/>
  <c r="E10" i="2"/>
  <c r="C32" i="16" s="1"/>
  <c r="E11" i="2"/>
  <c r="C33" i="16" s="1"/>
  <c r="E12" i="2"/>
  <c r="C34" i="16" s="1"/>
  <c r="E13" i="2"/>
  <c r="C36" i="16" s="1"/>
  <c r="AV14" i="23" s="1"/>
  <c r="E14" i="2"/>
  <c r="C37" i="16" s="1"/>
  <c r="E15" i="2"/>
  <c r="C38" i="16" s="1"/>
  <c r="E16" i="2"/>
  <c r="C35" i="16" s="1"/>
  <c r="C155" i="24"/>
  <c r="D155" i="24"/>
  <c r="E155" i="24"/>
  <c r="H155" i="24"/>
  <c r="I155" i="24"/>
  <c r="J155" i="24"/>
  <c r="M155" i="24"/>
  <c r="M160" i="24" s="1"/>
  <c r="N155" i="24"/>
  <c r="O155" i="24"/>
  <c r="R155" i="24"/>
  <c r="S155" i="24"/>
  <c r="U155" i="24" s="1"/>
  <c r="V155" i="24" s="1"/>
  <c r="T155" i="24"/>
  <c r="F112" i="21"/>
  <c r="F15" i="8"/>
  <c r="F18" i="8"/>
  <c r="F28" i="8"/>
  <c r="C17" i="2"/>
  <c r="D17" i="2"/>
  <c r="E55" i="21"/>
  <c r="F60" i="21" s="1"/>
  <c r="F17" i="11" s="1"/>
  <c r="E38" i="21"/>
  <c r="F44" i="21" s="1"/>
  <c r="E24" i="21"/>
  <c r="E11" i="21"/>
  <c r="E12" i="21"/>
  <c r="E16" i="21"/>
  <c r="E91" i="21"/>
  <c r="E96" i="21"/>
  <c r="F98" i="21" s="1"/>
  <c r="C16" i="6"/>
  <c r="C8" i="6"/>
  <c r="N1291" i="30"/>
  <c r="M1291" i="30"/>
  <c r="L1291" i="30"/>
  <c r="K1291" i="30"/>
  <c r="J1291" i="30"/>
  <c r="I1291" i="30"/>
  <c r="H1291" i="30"/>
  <c r="G1291" i="30"/>
  <c r="F1291" i="30"/>
  <c r="E1291" i="30"/>
  <c r="D1291" i="30"/>
  <c r="O1291" i="30" s="1"/>
  <c r="P1291" i="30" s="1"/>
  <c r="Q1291" i="30" s="1"/>
  <c r="C1291" i="30"/>
  <c r="N1290" i="30"/>
  <c r="M1290" i="30"/>
  <c r="L1290" i="30"/>
  <c r="K1290" i="30"/>
  <c r="J1290" i="30"/>
  <c r="I1290" i="30"/>
  <c r="H1290" i="30"/>
  <c r="G1290" i="30"/>
  <c r="F1290" i="30"/>
  <c r="E1290" i="30"/>
  <c r="D1290" i="30"/>
  <c r="O1290" i="30" s="1"/>
  <c r="C1290" i="30"/>
  <c r="N1289" i="30"/>
  <c r="O1289" i="30" s="1"/>
  <c r="M1289" i="30"/>
  <c r="L1289" i="30"/>
  <c r="K1289" i="30"/>
  <c r="J1289" i="30"/>
  <c r="I1289" i="30"/>
  <c r="H1289" i="30"/>
  <c r="G1289" i="30"/>
  <c r="F1289" i="30"/>
  <c r="E1289" i="30"/>
  <c r="D1289" i="30"/>
  <c r="C1289" i="30"/>
  <c r="N1288" i="30"/>
  <c r="M1288" i="30"/>
  <c r="L1288" i="30"/>
  <c r="K1288" i="30"/>
  <c r="J1288" i="30"/>
  <c r="I1288" i="30"/>
  <c r="H1288" i="30"/>
  <c r="G1288" i="30"/>
  <c r="F1288" i="30"/>
  <c r="E1288" i="30"/>
  <c r="D1288" i="30"/>
  <c r="C1288" i="30"/>
  <c r="N1287" i="30"/>
  <c r="M1287" i="30"/>
  <c r="L1287" i="30"/>
  <c r="K1287" i="30"/>
  <c r="J1287" i="30"/>
  <c r="O1287" i="30" s="1"/>
  <c r="I1287" i="30"/>
  <c r="H1287" i="30"/>
  <c r="G1287" i="30"/>
  <c r="F1287" i="30"/>
  <c r="E1287" i="30"/>
  <c r="D1287" i="30"/>
  <c r="C1287" i="30"/>
  <c r="N1286" i="30"/>
  <c r="M1286" i="30"/>
  <c r="L1286" i="30"/>
  <c r="K1286" i="30"/>
  <c r="J1286" i="30"/>
  <c r="I1286" i="30"/>
  <c r="H1286" i="30"/>
  <c r="G1286" i="30"/>
  <c r="F1286" i="30"/>
  <c r="E1286" i="30"/>
  <c r="D1286" i="30"/>
  <c r="C1286" i="30"/>
  <c r="N1285" i="30"/>
  <c r="M1285" i="30"/>
  <c r="L1285" i="30"/>
  <c r="K1285" i="30"/>
  <c r="J1285" i="30"/>
  <c r="I1285" i="30"/>
  <c r="H1285" i="30"/>
  <c r="G1285" i="30"/>
  <c r="F1285" i="30"/>
  <c r="O1285" i="30" s="1"/>
  <c r="P1285" i="30" s="1"/>
  <c r="E1285" i="30"/>
  <c r="D1285" i="30"/>
  <c r="C1285" i="30"/>
  <c r="N1284" i="30"/>
  <c r="M1284" i="30"/>
  <c r="L1284" i="30"/>
  <c r="K1284" i="30"/>
  <c r="J1284" i="30"/>
  <c r="I1284" i="30"/>
  <c r="H1284" i="30"/>
  <c r="G1284" i="30"/>
  <c r="F1284" i="30"/>
  <c r="E1284" i="30"/>
  <c r="D1284" i="30"/>
  <c r="C1284" i="30"/>
  <c r="N1283" i="30"/>
  <c r="M1283" i="30"/>
  <c r="L1283" i="30"/>
  <c r="K1283" i="30"/>
  <c r="J1283" i="30"/>
  <c r="I1283" i="30"/>
  <c r="H1283" i="30"/>
  <c r="G1283" i="30"/>
  <c r="F1283" i="30"/>
  <c r="E1283" i="30"/>
  <c r="D1283" i="30"/>
  <c r="C1283" i="30"/>
  <c r="N1282" i="30"/>
  <c r="M1282" i="30"/>
  <c r="L1282" i="30"/>
  <c r="K1282" i="30"/>
  <c r="J1282" i="30"/>
  <c r="I1282" i="30"/>
  <c r="H1282" i="30"/>
  <c r="G1282" i="30"/>
  <c r="F1282" i="30"/>
  <c r="E1282" i="30"/>
  <c r="D1282" i="30"/>
  <c r="C1282" i="30"/>
  <c r="N1281" i="30"/>
  <c r="M1281" i="30"/>
  <c r="L1281" i="30"/>
  <c r="K1281" i="30"/>
  <c r="J1281" i="30"/>
  <c r="I1281" i="30"/>
  <c r="H1281" i="30"/>
  <c r="G1281" i="30"/>
  <c r="F1281" i="30"/>
  <c r="E1281" i="30"/>
  <c r="D1281" i="30"/>
  <c r="C1281" i="30"/>
  <c r="N1280" i="30"/>
  <c r="M1280" i="30"/>
  <c r="L1280" i="30"/>
  <c r="K1280" i="30"/>
  <c r="J1280" i="30"/>
  <c r="I1280" i="30"/>
  <c r="H1280" i="30"/>
  <c r="G1280" i="30"/>
  <c r="F1280" i="30"/>
  <c r="E1280" i="30"/>
  <c r="D1280" i="30"/>
  <c r="C1280" i="30"/>
  <c r="N1279" i="30"/>
  <c r="M1279" i="30"/>
  <c r="L1279" i="30"/>
  <c r="K1279" i="30"/>
  <c r="J1279" i="30"/>
  <c r="I1279" i="30"/>
  <c r="H1279" i="30"/>
  <c r="G1279" i="30"/>
  <c r="F1279" i="30"/>
  <c r="E1279" i="30"/>
  <c r="D1279" i="30"/>
  <c r="C1279" i="30"/>
  <c r="O1271" i="30"/>
  <c r="O1270" i="30"/>
  <c r="O1269" i="30"/>
  <c r="O1266" i="30"/>
  <c r="O1265" i="30"/>
  <c r="O1264" i="30"/>
  <c r="O1263" i="30"/>
  <c r="O1262" i="30"/>
  <c r="P1262" i="30" s="1"/>
  <c r="Q1262" i="30" s="1"/>
  <c r="O1261" i="30"/>
  <c r="O1260" i="30"/>
  <c r="O1259" i="30"/>
  <c r="O1258" i="30"/>
  <c r="O1257" i="30"/>
  <c r="O1256" i="30"/>
  <c r="O1255" i="30"/>
  <c r="O1254" i="30"/>
  <c r="O1250" i="30"/>
  <c r="O1249" i="30"/>
  <c r="P1249" i="30" s="1"/>
  <c r="Q1249" i="30" s="1"/>
  <c r="O1248" i="30"/>
  <c r="O1247" i="30"/>
  <c r="O1246" i="30"/>
  <c r="O1245" i="30"/>
  <c r="P1246" i="30" s="1"/>
  <c r="Q1246" i="30" s="1"/>
  <c r="O1244" i="30"/>
  <c r="O1243" i="30"/>
  <c r="O1242" i="30"/>
  <c r="P1242" i="30"/>
  <c r="Q1242" i="30" s="1"/>
  <c r="O1241" i="30"/>
  <c r="O1240" i="30"/>
  <c r="O1239" i="30"/>
  <c r="O1238" i="30"/>
  <c r="O1235" i="30"/>
  <c r="O1234" i="30"/>
  <c r="P1235" i="30" s="1"/>
  <c r="O1233" i="30"/>
  <c r="O1232" i="30"/>
  <c r="O1231" i="30"/>
  <c r="O1230" i="30"/>
  <c r="P1231" i="30" s="1"/>
  <c r="Q1231" i="30" s="1"/>
  <c r="O1229" i="30"/>
  <c r="O1228" i="30"/>
  <c r="O1227" i="30"/>
  <c r="O1226" i="30"/>
  <c r="O1225" i="30"/>
  <c r="O1224" i="30"/>
  <c r="O1223" i="30"/>
  <c r="O1220" i="30"/>
  <c r="O1219" i="30"/>
  <c r="O1218" i="30"/>
  <c r="P1219" i="30" s="1"/>
  <c r="Q1219" i="30" s="1"/>
  <c r="O1217" i="30"/>
  <c r="O1216" i="30"/>
  <c r="P1216" i="30" s="1"/>
  <c r="O1215" i="30"/>
  <c r="O1214" i="30"/>
  <c r="P1215" i="30" s="1"/>
  <c r="Q1215" i="30" s="1"/>
  <c r="O1213" i="30"/>
  <c r="O1212" i="30"/>
  <c r="O1211" i="30"/>
  <c r="O1210" i="30"/>
  <c r="O1209" i="30"/>
  <c r="O1208" i="30"/>
  <c r="O1204" i="30"/>
  <c r="P1204" i="30" s="1"/>
  <c r="Q1204" i="30" s="1"/>
  <c r="O1203" i="30"/>
  <c r="P1203" i="30" s="1"/>
  <c r="Q1203" i="30" s="1"/>
  <c r="O1202" i="30"/>
  <c r="O1201" i="30"/>
  <c r="P1202" i="30" s="1"/>
  <c r="O1200" i="30"/>
  <c r="O1199" i="30"/>
  <c r="O1198" i="30"/>
  <c r="O1197" i="30"/>
  <c r="P1198" i="30" s="1"/>
  <c r="Q1198" i="30" s="1"/>
  <c r="O1196" i="30"/>
  <c r="O1195" i="30"/>
  <c r="O1194" i="30"/>
  <c r="O1193" i="30"/>
  <c r="O1192" i="30"/>
  <c r="O1189" i="30"/>
  <c r="O1188" i="30"/>
  <c r="O1187" i="30"/>
  <c r="O1186" i="30"/>
  <c r="O1185" i="30"/>
  <c r="P1186" i="30" s="1"/>
  <c r="Q1186" i="30" s="1"/>
  <c r="O1184" i="30"/>
  <c r="P1185" i="30" s="1"/>
  <c r="Q1185" i="30" s="1"/>
  <c r="O1183" i="30"/>
  <c r="O1182" i="30"/>
  <c r="P1183" i="30" s="1"/>
  <c r="Q1183" i="30" s="1"/>
  <c r="O1181" i="30"/>
  <c r="O1180" i="30"/>
  <c r="P1180" i="30" s="1"/>
  <c r="Q1180" i="30" s="1"/>
  <c r="O1179" i="30"/>
  <c r="O1178" i="30"/>
  <c r="P1178" i="30" s="1"/>
  <c r="Q1178" i="30" s="1"/>
  <c r="O1177" i="30"/>
  <c r="O1174" i="30"/>
  <c r="O1173" i="30"/>
  <c r="O1172" i="30"/>
  <c r="O1171" i="30"/>
  <c r="P1171" i="30" s="1"/>
  <c r="Q1171" i="30" s="1"/>
  <c r="O1170" i="30"/>
  <c r="O1169" i="30"/>
  <c r="P1170" i="30" s="1"/>
  <c r="Q1170" i="30" s="1"/>
  <c r="O1168" i="30"/>
  <c r="O1167" i="30"/>
  <c r="P1167" i="30" s="1"/>
  <c r="Q1167" i="30" s="1"/>
  <c r="O1166" i="30"/>
  <c r="O1165" i="30"/>
  <c r="P1165" i="30" s="1"/>
  <c r="Q1165" i="30" s="1"/>
  <c r="O1164" i="30"/>
  <c r="O1163" i="30"/>
  <c r="O1162" i="30"/>
  <c r="O1158" i="30"/>
  <c r="O1157" i="30"/>
  <c r="P1158" i="30" s="1"/>
  <c r="O1156" i="30"/>
  <c r="P1156" i="30" s="1"/>
  <c r="Q1156" i="30" s="1"/>
  <c r="O1155" i="30"/>
  <c r="O1154" i="30"/>
  <c r="P1154" i="30" s="1"/>
  <c r="Q1154" i="30" s="1"/>
  <c r="O1153" i="30"/>
  <c r="O1152" i="30"/>
  <c r="O1151" i="30"/>
  <c r="O1150" i="30"/>
  <c r="P1150" i="30" s="1"/>
  <c r="O1149" i="30"/>
  <c r="O1148" i="30"/>
  <c r="P1149" i="30" s="1"/>
  <c r="Q1149" i="30" s="1"/>
  <c r="O1147" i="30"/>
  <c r="O1146" i="30"/>
  <c r="O1143" i="30"/>
  <c r="O1142" i="30"/>
  <c r="O1141" i="30"/>
  <c r="P1141" i="30" s="1"/>
  <c r="Q1141" i="30" s="1"/>
  <c r="O1140" i="30"/>
  <c r="O1139" i="30"/>
  <c r="O1138" i="30"/>
  <c r="O1137" i="30"/>
  <c r="O1136" i="30"/>
  <c r="P1137" i="30" s="1"/>
  <c r="Q1137" i="30" s="1"/>
  <c r="O1135" i="30"/>
  <c r="O1134" i="30"/>
  <c r="O1133" i="30"/>
  <c r="O1132" i="30"/>
  <c r="P1132" i="30" s="1"/>
  <c r="Q1132" i="30" s="1"/>
  <c r="O1131" i="30"/>
  <c r="O1128" i="30"/>
  <c r="O1127" i="30"/>
  <c r="O1126" i="30"/>
  <c r="O1125" i="30"/>
  <c r="O1124" i="30"/>
  <c r="P1124" i="30" s="1"/>
  <c r="Q1124" i="30" s="1"/>
  <c r="O1123" i="30"/>
  <c r="O1122" i="30"/>
  <c r="P1122" i="30" s="1"/>
  <c r="Q1122" i="30" s="1"/>
  <c r="O1121" i="30"/>
  <c r="O1120" i="30"/>
  <c r="O1119" i="30"/>
  <c r="O1118" i="30"/>
  <c r="O1117" i="30"/>
  <c r="O1116" i="30"/>
  <c r="P1117" i="30" s="1"/>
  <c r="Q1117" i="30" s="1"/>
  <c r="O1112" i="30"/>
  <c r="O1111" i="30"/>
  <c r="O1110" i="30"/>
  <c r="O1109" i="30"/>
  <c r="O1108" i="30"/>
  <c r="O1107" i="30"/>
  <c r="O1106" i="30"/>
  <c r="O1105" i="30"/>
  <c r="P1106" i="30" s="1"/>
  <c r="Q1106" i="30" s="1"/>
  <c r="O1104" i="30"/>
  <c r="O1103" i="30"/>
  <c r="P1104" i="30" s="1"/>
  <c r="Q1104" i="30" s="1"/>
  <c r="O1102" i="30"/>
  <c r="O1101" i="30"/>
  <c r="O1100" i="30"/>
  <c r="O1097" i="30"/>
  <c r="P1097" i="30" s="1"/>
  <c r="Q1097" i="30" s="1"/>
  <c r="O1096" i="30"/>
  <c r="O1095" i="30"/>
  <c r="O1094" i="30"/>
  <c r="O1093" i="30"/>
  <c r="O1092" i="30"/>
  <c r="P1093" i="30" s="1"/>
  <c r="Q1093" i="30" s="1"/>
  <c r="O1091" i="30"/>
  <c r="P1091" i="30" s="1"/>
  <c r="O1090" i="30"/>
  <c r="O1089" i="30"/>
  <c r="O1088" i="30"/>
  <c r="O1087" i="30"/>
  <c r="P1087" i="30" s="1"/>
  <c r="Q1087" i="30" s="1"/>
  <c r="O1086" i="30"/>
  <c r="O1085" i="30"/>
  <c r="O1082" i="30"/>
  <c r="O1081" i="30"/>
  <c r="P1082" i="30" s="1"/>
  <c r="Q1082" i="30" s="1"/>
  <c r="O1080" i="30"/>
  <c r="O1079" i="30"/>
  <c r="O1078" i="30"/>
  <c r="O1077" i="30"/>
  <c r="O1076" i="30"/>
  <c r="O1075" i="30"/>
  <c r="O1074" i="30"/>
  <c r="O1073" i="30"/>
  <c r="O1072" i="30"/>
  <c r="O1071" i="30"/>
  <c r="O1070" i="30"/>
  <c r="E34" i="4"/>
  <c r="E71" i="1"/>
  <c r="L19" i="26"/>
  <c r="M19" i="26"/>
  <c r="K19" i="26"/>
  <c r="I19" i="26"/>
  <c r="J19" i="26"/>
  <c r="H19" i="26"/>
  <c r="F19" i="26"/>
  <c r="G19" i="26"/>
  <c r="E19" i="26"/>
  <c r="C19" i="26"/>
  <c r="D19" i="26"/>
  <c r="B19" i="26"/>
  <c r="N160" i="24"/>
  <c r="I160" i="24"/>
  <c r="D160" i="24"/>
  <c r="E160" i="24"/>
  <c r="W159" i="24"/>
  <c r="X159" i="24" s="1"/>
  <c r="U159" i="24"/>
  <c r="V159" i="24" s="1"/>
  <c r="P159" i="24"/>
  <c r="Q159" i="24" s="1"/>
  <c r="K159" i="24"/>
  <c r="L159" i="24"/>
  <c r="F159" i="24"/>
  <c r="G159" i="24" s="1"/>
  <c r="W158" i="24"/>
  <c r="X158" i="24" s="1"/>
  <c r="U158" i="24"/>
  <c r="V158" i="24" s="1"/>
  <c r="P158" i="24"/>
  <c r="Q158" i="24" s="1"/>
  <c r="K158" i="24"/>
  <c r="L158" i="24" s="1"/>
  <c r="F158" i="24"/>
  <c r="G158" i="24" s="1"/>
  <c r="W157" i="24"/>
  <c r="X157" i="24" s="1"/>
  <c r="U157" i="24"/>
  <c r="V157" i="24" s="1"/>
  <c r="P157" i="24"/>
  <c r="Q157" i="24" s="1"/>
  <c r="K157" i="24"/>
  <c r="L157" i="24" s="1"/>
  <c r="F157" i="24"/>
  <c r="G157" i="24" s="1"/>
  <c r="W156" i="24"/>
  <c r="X156" i="24" s="1"/>
  <c r="U156" i="24"/>
  <c r="V156" i="24" s="1"/>
  <c r="P156" i="24"/>
  <c r="Q156" i="24" s="1"/>
  <c r="K156" i="24"/>
  <c r="L156" i="24" s="1"/>
  <c r="F156" i="24"/>
  <c r="G156" i="24" s="1"/>
  <c r="R160" i="24"/>
  <c r="W154" i="24"/>
  <c r="X154" i="24" s="1"/>
  <c r="O19" i="26" s="1"/>
  <c r="U154" i="24"/>
  <c r="V154" i="24" s="1"/>
  <c r="P154" i="24"/>
  <c r="Q154" i="24" s="1"/>
  <c r="K154" i="24"/>
  <c r="L154" i="24" s="1"/>
  <c r="F154" i="24"/>
  <c r="G154" i="24" s="1"/>
  <c r="W151" i="24"/>
  <c r="X151" i="24" s="1"/>
  <c r="U151" i="24"/>
  <c r="V151" i="24" s="1"/>
  <c r="P151" i="24"/>
  <c r="Q151" i="24" s="1"/>
  <c r="K151" i="24"/>
  <c r="L151" i="24" s="1"/>
  <c r="F151" i="24"/>
  <c r="G151" i="24" s="1"/>
  <c r="W150" i="24"/>
  <c r="X150" i="24" s="1"/>
  <c r="AK16" i="23" s="1"/>
  <c r="U150" i="24"/>
  <c r="V150" i="24"/>
  <c r="P150" i="24"/>
  <c r="Q150" i="24" s="1"/>
  <c r="K150" i="24"/>
  <c r="L150" i="24" s="1"/>
  <c r="F150" i="24"/>
  <c r="G150" i="24" s="1"/>
  <c r="T149" i="24"/>
  <c r="T152" i="24" s="1"/>
  <c r="T161" i="24" s="1"/>
  <c r="S149" i="24"/>
  <c r="R149" i="24"/>
  <c r="O149" i="24"/>
  <c r="N149" i="24"/>
  <c r="M149" i="24"/>
  <c r="J149" i="24"/>
  <c r="I149" i="24"/>
  <c r="H149" i="24"/>
  <c r="E149" i="24"/>
  <c r="D149" i="24"/>
  <c r="D152" i="24" s="1"/>
  <c r="C149" i="24"/>
  <c r="W148" i="24"/>
  <c r="X148" i="24" s="1"/>
  <c r="AK14" i="23" s="1"/>
  <c r="AL14" i="23" s="1"/>
  <c r="U148" i="24"/>
  <c r="V148" i="24" s="1"/>
  <c r="P148" i="24"/>
  <c r="Q148" i="24" s="1"/>
  <c r="K148" i="24"/>
  <c r="L148" i="24" s="1"/>
  <c r="F148" i="24"/>
  <c r="G148" i="24"/>
  <c r="W147" i="24"/>
  <c r="X147" i="24" s="1"/>
  <c r="AK12" i="23" s="1"/>
  <c r="U147" i="24"/>
  <c r="V147" i="24" s="1"/>
  <c r="P147" i="24"/>
  <c r="Q147" i="24" s="1"/>
  <c r="K147" i="24"/>
  <c r="L147" i="24" s="1"/>
  <c r="F147" i="24"/>
  <c r="G147" i="24" s="1"/>
  <c r="T146" i="24"/>
  <c r="S146" i="24"/>
  <c r="R146" i="24"/>
  <c r="U146" i="24" s="1"/>
  <c r="O146" i="24"/>
  <c r="N146" i="24"/>
  <c r="P146" i="24" s="1"/>
  <c r="Q146" i="24" s="1"/>
  <c r="M146" i="24"/>
  <c r="J146" i="24"/>
  <c r="I146" i="24"/>
  <c r="H146" i="24"/>
  <c r="E146" i="24"/>
  <c r="E152" i="24" s="1"/>
  <c r="D146" i="24"/>
  <c r="C146" i="24"/>
  <c r="W145" i="24"/>
  <c r="X145" i="24" s="1"/>
  <c r="AK10" i="23" s="1"/>
  <c r="AL10" i="23" s="1"/>
  <c r="U145" i="24"/>
  <c r="V145" i="24" s="1"/>
  <c r="P145" i="24"/>
  <c r="Q145" i="24" s="1"/>
  <c r="K145" i="24"/>
  <c r="L145" i="24" s="1"/>
  <c r="F145" i="24"/>
  <c r="G145" i="24" s="1"/>
  <c r="W144" i="24"/>
  <c r="X144" i="24" s="1"/>
  <c r="AK9" i="23" s="1"/>
  <c r="AL9" i="23" s="1"/>
  <c r="U144" i="24"/>
  <c r="V144" i="24" s="1"/>
  <c r="P144" i="24"/>
  <c r="Q144" i="24" s="1"/>
  <c r="K144" i="24"/>
  <c r="L144" i="24" s="1"/>
  <c r="F144" i="24"/>
  <c r="G144" i="24" s="1"/>
  <c r="W143" i="24"/>
  <c r="X143" i="24" s="1"/>
  <c r="AK8" i="23" s="1"/>
  <c r="U143" i="24"/>
  <c r="V143" i="24" s="1"/>
  <c r="P143" i="24"/>
  <c r="Q143" i="24" s="1"/>
  <c r="K143" i="24"/>
  <c r="L143" i="24"/>
  <c r="F143" i="24"/>
  <c r="G143" i="24"/>
  <c r="W142" i="24"/>
  <c r="X142" i="24" s="1"/>
  <c r="AK7" i="23" s="1"/>
  <c r="AL7" i="23" s="1"/>
  <c r="U142" i="24"/>
  <c r="V142" i="24" s="1"/>
  <c r="P142" i="24"/>
  <c r="Q142" i="24" s="1"/>
  <c r="K142" i="24"/>
  <c r="L142" i="24" s="1"/>
  <c r="F142" i="24"/>
  <c r="G142" i="24" s="1"/>
  <c r="W141" i="24"/>
  <c r="X141" i="24" s="1"/>
  <c r="AK5" i="23" s="1"/>
  <c r="AL5" i="23" s="1"/>
  <c r="U141" i="24"/>
  <c r="V141" i="24" s="1"/>
  <c r="P141" i="24"/>
  <c r="Q141" i="24" s="1"/>
  <c r="K141" i="24"/>
  <c r="L141" i="24" s="1"/>
  <c r="F141" i="24"/>
  <c r="G141" i="24" s="1"/>
  <c r="W140" i="24"/>
  <c r="X140" i="24" s="1"/>
  <c r="U140" i="24"/>
  <c r="V140" i="24" s="1"/>
  <c r="P140" i="24"/>
  <c r="Q140" i="24" s="1"/>
  <c r="K140" i="24"/>
  <c r="L140" i="24" s="1"/>
  <c r="F140" i="24"/>
  <c r="G140" i="24" s="1"/>
  <c r="W139" i="24"/>
  <c r="X139" i="24" s="1"/>
  <c r="AK3" i="23" s="1"/>
  <c r="U139" i="24"/>
  <c r="V139" i="24" s="1"/>
  <c r="P139" i="24"/>
  <c r="Q139" i="24" s="1"/>
  <c r="K139" i="24"/>
  <c r="L139" i="24"/>
  <c r="F139" i="24"/>
  <c r="G139" i="24" s="1"/>
  <c r="W138" i="24"/>
  <c r="X138" i="24" s="1"/>
  <c r="U138" i="24"/>
  <c r="V138" i="24" s="1"/>
  <c r="P138" i="24"/>
  <c r="Q138" i="24" s="1"/>
  <c r="K138" i="24"/>
  <c r="L138" i="24" s="1"/>
  <c r="F138" i="24"/>
  <c r="G138" i="24" s="1"/>
  <c r="E285" i="4"/>
  <c r="E79" i="4"/>
  <c r="B17" i="2"/>
  <c r="H9" i="19" s="1"/>
  <c r="L23" i="26"/>
  <c r="M23" i="26"/>
  <c r="K23" i="26"/>
  <c r="I23" i="26"/>
  <c r="J23" i="26"/>
  <c r="H23" i="26"/>
  <c r="F23" i="26"/>
  <c r="G23" i="26"/>
  <c r="E23" i="26"/>
  <c r="C23" i="26"/>
  <c r="D23" i="26"/>
  <c r="B23" i="26"/>
  <c r="T189" i="24"/>
  <c r="S189" i="24"/>
  <c r="R189" i="24"/>
  <c r="O189" i="24"/>
  <c r="N189" i="24"/>
  <c r="N190" i="24" s="1"/>
  <c r="M189" i="24"/>
  <c r="J189" i="24"/>
  <c r="I189" i="24"/>
  <c r="K189" i="24" s="1"/>
  <c r="H189" i="24"/>
  <c r="E189" i="24"/>
  <c r="D189" i="24"/>
  <c r="C189" i="24"/>
  <c r="W188" i="24"/>
  <c r="X188" i="24"/>
  <c r="U188" i="24"/>
  <c r="V188" i="24" s="1"/>
  <c r="P188" i="24"/>
  <c r="Q188" i="24" s="1"/>
  <c r="K188" i="24"/>
  <c r="L188" i="24" s="1"/>
  <c r="F188" i="24"/>
  <c r="G188" i="24" s="1"/>
  <c r="W187" i="24"/>
  <c r="X187" i="24" s="1"/>
  <c r="U187" i="24"/>
  <c r="V187" i="24" s="1"/>
  <c r="P187" i="24"/>
  <c r="Q187" i="24" s="1"/>
  <c r="K187" i="24"/>
  <c r="L187" i="24"/>
  <c r="F187" i="24"/>
  <c r="G187" i="24" s="1"/>
  <c r="W186" i="24"/>
  <c r="X186" i="24" s="1"/>
  <c r="U186" i="24"/>
  <c r="V186" i="24" s="1"/>
  <c r="P186" i="24"/>
  <c r="Q186" i="24" s="1"/>
  <c r="K186" i="24"/>
  <c r="L186" i="24" s="1"/>
  <c r="F186" i="24"/>
  <c r="G186" i="24" s="1"/>
  <c r="W185" i="24"/>
  <c r="X185" i="24" s="1"/>
  <c r="U185" i="24"/>
  <c r="V185" i="24" s="1"/>
  <c r="P185" i="24"/>
  <c r="Q185" i="24" s="1"/>
  <c r="K185" i="24"/>
  <c r="L185" i="24" s="1"/>
  <c r="F185" i="24"/>
  <c r="G185" i="24" s="1"/>
  <c r="W184" i="24"/>
  <c r="U184" i="24"/>
  <c r="V184" i="24" s="1"/>
  <c r="P184" i="24"/>
  <c r="Q184" i="24" s="1"/>
  <c r="K184" i="24"/>
  <c r="L184" i="24" s="1"/>
  <c r="F184" i="24"/>
  <c r="G184" i="24" s="1"/>
  <c r="W183" i="24"/>
  <c r="X183" i="24" s="1"/>
  <c r="O23" i="26" s="1"/>
  <c r="U183" i="24"/>
  <c r="V183" i="24" s="1"/>
  <c r="P183" i="24"/>
  <c r="Q183" i="24"/>
  <c r="K183" i="24"/>
  <c r="L183" i="24" s="1"/>
  <c r="F183" i="24"/>
  <c r="G183" i="24" s="1"/>
  <c r="W180" i="24"/>
  <c r="X180" i="24"/>
  <c r="U180" i="24"/>
  <c r="V180" i="24" s="1"/>
  <c r="P180" i="24"/>
  <c r="Q180" i="24" s="1"/>
  <c r="K180" i="24"/>
  <c r="L180" i="24" s="1"/>
  <c r="F180" i="24"/>
  <c r="G180" i="24"/>
  <c r="W179" i="24"/>
  <c r="X179" i="24" s="1"/>
  <c r="AH16" i="23" s="1"/>
  <c r="AI16" i="23" s="1"/>
  <c r="U179" i="24"/>
  <c r="V179" i="24" s="1"/>
  <c r="P179" i="24"/>
  <c r="Q179" i="24" s="1"/>
  <c r="K179" i="24"/>
  <c r="L179" i="24" s="1"/>
  <c r="F179" i="24"/>
  <c r="G179" i="24" s="1"/>
  <c r="T178" i="24"/>
  <c r="S178" i="24"/>
  <c r="R178" i="24"/>
  <c r="U178" i="24" s="1"/>
  <c r="V178" i="24" s="1"/>
  <c r="O178" i="24"/>
  <c r="N178" i="24"/>
  <c r="M178" i="24"/>
  <c r="J178" i="24"/>
  <c r="I178" i="24"/>
  <c r="H178" i="24"/>
  <c r="E178" i="24"/>
  <c r="D178" i="24"/>
  <c r="C178" i="24"/>
  <c r="W177" i="24"/>
  <c r="X177" i="24" s="1"/>
  <c r="AH14" i="23" s="1"/>
  <c r="AI14" i="23" s="1"/>
  <c r="U177" i="24"/>
  <c r="V177" i="24" s="1"/>
  <c r="P177" i="24"/>
  <c r="Q177" i="24"/>
  <c r="K177" i="24"/>
  <c r="L177" i="24" s="1"/>
  <c r="F177" i="24"/>
  <c r="G177" i="24" s="1"/>
  <c r="W176" i="24"/>
  <c r="X176" i="24" s="1"/>
  <c r="AH12" i="23" s="1"/>
  <c r="AI12" i="23" s="1"/>
  <c r="U176" i="24"/>
  <c r="V176" i="24" s="1"/>
  <c r="P176" i="24"/>
  <c r="Q176" i="24" s="1"/>
  <c r="K176" i="24"/>
  <c r="L176" i="24" s="1"/>
  <c r="F176" i="24"/>
  <c r="G176" i="24" s="1"/>
  <c r="T175" i="24"/>
  <c r="T181" i="24" s="1"/>
  <c r="S175" i="24"/>
  <c r="S181" i="24" s="1"/>
  <c r="S190" i="24" s="1"/>
  <c r="R175" i="24"/>
  <c r="U175" i="24" s="1"/>
  <c r="V175" i="24" s="1"/>
  <c r="O175" i="24"/>
  <c r="O181" i="24"/>
  <c r="O190" i="24" s="1"/>
  <c r="N175" i="24"/>
  <c r="M175" i="24"/>
  <c r="J175" i="24"/>
  <c r="I175" i="24"/>
  <c r="H175" i="24"/>
  <c r="E175" i="24"/>
  <c r="E181" i="24" s="1"/>
  <c r="D175" i="24"/>
  <c r="D181" i="24" s="1"/>
  <c r="D190" i="24" s="1"/>
  <c r="C175" i="24"/>
  <c r="C181" i="24" s="1"/>
  <c r="W174" i="24"/>
  <c r="X174" i="24"/>
  <c r="AH10" i="23" s="1"/>
  <c r="AI10" i="23" s="1"/>
  <c r="U174" i="24"/>
  <c r="V174" i="24" s="1"/>
  <c r="P174" i="24"/>
  <c r="Q174" i="24" s="1"/>
  <c r="K174" i="24"/>
  <c r="L174" i="24" s="1"/>
  <c r="F174" i="24"/>
  <c r="G174" i="24" s="1"/>
  <c r="W173" i="24"/>
  <c r="X173" i="24" s="1"/>
  <c r="AH9" i="23" s="1"/>
  <c r="AI9" i="23" s="1"/>
  <c r="U173" i="24"/>
  <c r="V173" i="24" s="1"/>
  <c r="P173" i="24"/>
  <c r="Q173" i="24" s="1"/>
  <c r="K173" i="24"/>
  <c r="L173" i="24"/>
  <c r="F173" i="24"/>
  <c r="G173" i="24" s="1"/>
  <c r="W172" i="24"/>
  <c r="X172" i="24" s="1"/>
  <c r="AH8" i="23" s="1"/>
  <c r="AI8" i="23" s="1"/>
  <c r="U172" i="24"/>
  <c r="V172" i="24" s="1"/>
  <c r="P172" i="24"/>
  <c r="Q172" i="24"/>
  <c r="K172" i="24"/>
  <c r="L172" i="24" s="1"/>
  <c r="F172" i="24"/>
  <c r="G172" i="24" s="1"/>
  <c r="W171" i="24"/>
  <c r="X171" i="24"/>
  <c r="AH7" i="23" s="1"/>
  <c r="AI7" i="23" s="1"/>
  <c r="U171" i="24"/>
  <c r="V171" i="24" s="1"/>
  <c r="P171" i="24"/>
  <c r="Q171" i="24" s="1"/>
  <c r="K171" i="24"/>
  <c r="L171" i="24" s="1"/>
  <c r="F171" i="24"/>
  <c r="G171" i="24"/>
  <c r="W170" i="24"/>
  <c r="X170" i="24" s="1"/>
  <c r="AH5" i="23" s="1"/>
  <c r="AI5" i="23" s="1"/>
  <c r="U170" i="24"/>
  <c r="V170" i="24" s="1"/>
  <c r="P170" i="24"/>
  <c r="Q170" i="24" s="1"/>
  <c r="K170" i="24"/>
  <c r="L170" i="24" s="1"/>
  <c r="F170" i="24"/>
  <c r="G170" i="24" s="1"/>
  <c r="W169" i="24"/>
  <c r="X169" i="24" s="1"/>
  <c r="U169" i="24"/>
  <c r="V169" i="24" s="1"/>
  <c r="P169" i="24"/>
  <c r="Q169" i="24" s="1"/>
  <c r="K169" i="24"/>
  <c r="L169" i="24" s="1"/>
  <c r="F169" i="24"/>
  <c r="G169" i="24" s="1"/>
  <c r="W168" i="24"/>
  <c r="X168" i="24" s="1"/>
  <c r="AH3" i="23" s="1"/>
  <c r="AI3" i="23" s="1"/>
  <c r="U168" i="24"/>
  <c r="V168" i="24"/>
  <c r="P168" i="24"/>
  <c r="Q168" i="24"/>
  <c r="K168" i="24"/>
  <c r="L168" i="24"/>
  <c r="F168" i="24"/>
  <c r="G168" i="24"/>
  <c r="W167" i="24"/>
  <c r="X167" i="24" s="1"/>
  <c r="AH2" i="23" s="1"/>
  <c r="AI2" i="23" s="1"/>
  <c r="U167" i="24"/>
  <c r="V167" i="24" s="1"/>
  <c r="P167" i="24"/>
  <c r="Q167" i="24" s="1"/>
  <c r="K167" i="24"/>
  <c r="L167" i="24" s="1"/>
  <c r="F167" i="24"/>
  <c r="G167" i="24" s="1"/>
  <c r="C5" i="6"/>
  <c r="C10" i="6"/>
  <c r="C15" i="6"/>
  <c r="C7" i="6"/>
  <c r="C9" i="6"/>
  <c r="D25" i="6"/>
  <c r="D26" i="6"/>
  <c r="D27" i="6"/>
  <c r="D28" i="6"/>
  <c r="D38" i="6" s="1"/>
  <c r="H15" i="19" s="1"/>
  <c r="D29" i="6"/>
  <c r="D30" i="6"/>
  <c r="D31" i="6"/>
  <c r="D32" i="6"/>
  <c r="D33" i="6"/>
  <c r="D34" i="6"/>
  <c r="D35" i="6"/>
  <c r="D36" i="6"/>
  <c r="E224" i="1"/>
  <c r="H657" i="4" s="1"/>
  <c r="E190" i="1"/>
  <c r="E173" i="1"/>
  <c r="E156" i="1"/>
  <c r="H445" i="4" s="1"/>
  <c r="E139" i="1"/>
  <c r="H396" i="4" s="1"/>
  <c r="E122" i="1"/>
  <c r="H343" i="4" s="1"/>
  <c r="E105" i="1"/>
  <c r="E88" i="1"/>
  <c r="E54" i="1"/>
  <c r="E37" i="1"/>
  <c r="H37" i="1" s="1"/>
  <c r="E294" i="4"/>
  <c r="L27" i="26"/>
  <c r="M27" i="26"/>
  <c r="I27" i="26"/>
  <c r="J27" i="26"/>
  <c r="H27" i="26"/>
  <c r="F27" i="26"/>
  <c r="G27" i="26"/>
  <c r="E27" i="26"/>
  <c r="C27" i="26"/>
  <c r="D27" i="26"/>
  <c r="K27" i="26"/>
  <c r="W197" i="24"/>
  <c r="X197" i="24" s="1"/>
  <c r="AE2" i="23" s="1"/>
  <c r="AF2" i="23" s="1"/>
  <c r="W198" i="24"/>
  <c r="X198" i="24"/>
  <c r="AE3" i="23" s="1"/>
  <c r="AF3" i="23" s="1"/>
  <c r="W199" i="24"/>
  <c r="X199" i="24" s="1"/>
  <c r="W200" i="24"/>
  <c r="X200" i="24" s="1"/>
  <c r="AE5" i="23" s="1"/>
  <c r="W201" i="24"/>
  <c r="X201" i="24" s="1"/>
  <c r="AE7" i="23" s="1"/>
  <c r="AF7" i="23" s="1"/>
  <c r="W202" i="24"/>
  <c r="X202" i="24" s="1"/>
  <c r="AE8" i="23" s="1"/>
  <c r="W203" i="24"/>
  <c r="X203" i="24" s="1"/>
  <c r="AE9" i="23"/>
  <c r="W204" i="24"/>
  <c r="X204" i="24" s="1"/>
  <c r="AE10" i="23" s="1"/>
  <c r="AF10" i="23" s="1"/>
  <c r="H205" i="24"/>
  <c r="I205" i="24"/>
  <c r="I211" i="24" s="1"/>
  <c r="J205" i="24"/>
  <c r="M205" i="24"/>
  <c r="M211" i="24"/>
  <c r="N205" i="24"/>
  <c r="O205" i="24"/>
  <c r="R205" i="24"/>
  <c r="S205" i="24"/>
  <c r="T205" i="24"/>
  <c r="W206" i="24"/>
  <c r="X206" i="24" s="1"/>
  <c r="AE12" i="23" s="1"/>
  <c r="W207" i="24"/>
  <c r="X207" i="24"/>
  <c r="AE14" i="23" s="1"/>
  <c r="AF14" i="23" s="1"/>
  <c r="H208" i="24"/>
  <c r="I208" i="24"/>
  <c r="J208" i="24"/>
  <c r="M208" i="24"/>
  <c r="N208" i="24"/>
  <c r="N211" i="24"/>
  <c r="O208" i="24"/>
  <c r="R208" i="24"/>
  <c r="R211" i="24" s="1"/>
  <c r="S208" i="24"/>
  <c r="T208" i="24"/>
  <c r="W209" i="24"/>
  <c r="X209" i="24" s="1"/>
  <c r="AE16" i="23" s="1"/>
  <c r="W210" i="24"/>
  <c r="X210" i="24"/>
  <c r="W213" i="24"/>
  <c r="X213" i="24" s="1"/>
  <c r="O27" i="26" s="1"/>
  <c r="W214" i="24"/>
  <c r="W215" i="24"/>
  <c r="X215" i="24"/>
  <c r="W216" i="24"/>
  <c r="X216" i="24" s="1"/>
  <c r="W217" i="24"/>
  <c r="X217" i="24" s="1"/>
  <c r="W218" i="24"/>
  <c r="X218" i="24" s="1"/>
  <c r="C211" i="24"/>
  <c r="D211" i="24"/>
  <c r="E211" i="24"/>
  <c r="F211" i="24" s="1"/>
  <c r="G211" i="24" s="1"/>
  <c r="R219" i="24"/>
  <c r="S219" i="24"/>
  <c r="T219" i="24"/>
  <c r="U219" i="24" s="1"/>
  <c r="V219" i="24" s="1"/>
  <c r="M219" i="24"/>
  <c r="N219" i="24"/>
  <c r="O219" i="24"/>
  <c r="H219" i="24"/>
  <c r="I219" i="24"/>
  <c r="J219" i="24"/>
  <c r="C219" i="24"/>
  <c r="D219" i="24"/>
  <c r="E219" i="24"/>
  <c r="U218" i="24"/>
  <c r="V218" i="24" s="1"/>
  <c r="P218" i="24"/>
  <c r="Q218" i="24" s="1"/>
  <c r="K218" i="24"/>
  <c r="L218" i="24" s="1"/>
  <c r="F218" i="24"/>
  <c r="G218" i="24" s="1"/>
  <c r="U217" i="24"/>
  <c r="V217" i="24" s="1"/>
  <c r="P217" i="24"/>
  <c r="Q217" i="24" s="1"/>
  <c r="K217" i="24"/>
  <c r="L217" i="24" s="1"/>
  <c r="F217" i="24"/>
  <c r="G217" i="24" s="1"/>
  <c r="U216" i="24"/>
  <c r="V216" i="24"/>
  <c r="P216" i="24"/>
  <c r="Q216" i="24" s="1"/>
  <c r="K216" i="24"/>
  <c r="L216" i="24" s="1"/>
  <c r="F216" i="24"/>
  <c r="G216" i="24" s="1"/>
  <c r="U215" i="24"/>
  <c r="V215" i="24"/>
  <c r="P215" i="24"/>
  <c r="Q215" i="24" s="1"/>
  <c r="K215" i="24"/>
  <c r="L215" i="24" s="1"/>
  <c r="F215" i="24"/>
  <c r="G215" i="24" s="1"/>
  <c r="U214" i="24"/>
  <c r="V214" i="24"/>
  <c r="P214" i="24"/>
  <c r="Q214" i="24" s="1"/>
  <c r="K214" i="24"/>
  <c r="L214" i="24"/>
  <c r="F214" i="24"/>
  <c r="G214" i="24" s="1"/>
  <c r="U213" i="24"/>
  <c r="V213" i="24"/>
  <c r="P213" i="24"/>
  <c r="Q213" i="24" s="1"/>
  <c r="K213" i="24"/>
  <c r="L213" i="24" s="1"/>
  <c r="F213" i="24"/>
  <c r="G213" i="24" s="1"/>
  <c r="U210" i="24"/>
  <c r="V210" i="24"/>
  <c r="P210" i="24"/>
  <c r="Q210" i="24" s="1"/>
  <c r="K210" i="24"/>
  <c r="L210" i="24" s="1"/>
  <c r="F210" i="24"/>
  <c r="G210" i="24" s="1"/>
  <c r="U209" i="24"/>
  <c r="V209" i="24" s="1"/>
  <c r="P209" i="24"/>
  <c r="Q209" i="24" s="1"/>
  <c r="K209" i="24"/>
  <c r="L209" i="24" s="1"/>
  <c r="F209" i="24"/>
  <c r="G209" i="24" s="1"/>
  <c r="U208" i="24"/>
  <c r="V208" i="24"/>
  <c r="F208" i="24"/>
  <c r="G208" i="24" s="1"/>
  <c r="U207" i="24"/>
  <c r="V207" i="24" s="1"/>
  <c r="P207" i="24"/>
  <c r="Q207" i="24" s="1"/>
  <c r="K207" i="24"/>
  <c r="L207" i="24"/>
  <c r="F207" i="24"/>
  <c r="G207" i="24" s="1"/>
  <c r="U206" i="24"/>
  <c r="V206" i="24" s="1"/>
  <c r="P206" i="24"/>
  <c r="Q206" i="24" s="1"/>
  <c r="K206" i="24"/>
  <c r="L206" i="24"/>
  <c r="F206" i="24"/>
  <c r="G206" i="24" s="1"/>
  <c r="F205" i="24"/>
  <c r="G205" i="24" s="1"/>
  <c r="U204" i="24"/>
  <c r="V204" i="24" s="1"/>
  <c r="P204" i="24"/>
  <c r="Q204" i="24"/>
  <c r="K204" i="24"/>
  <c r="L204" i="24" s="1"/>
  <c r="F204" i="24"/>
  <c r="G204" i="24"/>
  <c r="U203" i="24"/>
  <c r="V203" i="24" s="1"/>
  <c r="P203" i="24"/>
  <c r="Q203" i="24"/>
  <c r="K203" i="24"/>
  <c r="L203" i="24" s="1"/>
  <c r="F203" i="24"/>
  <c r="G203" i="24"/>
  <c r="U202" i="24"/>
  <c r="V202" i="24" s="1"/>
  <c r="P202" i="24"/>
  <c r="Q202" i="24"/>
  <c r="K202" i="24"/>
  <c r="L202" i="24" s="1"/>
  <c r="F202" i="24"/>
  <c r="G202" i="24" s="1"/>
  <c r="U201" i="24"/>
  <c r="V201" i="24" s="1"/>
  <c r="P201" i="24"/>
  <c r="Q201" i="24" s="1"/>
  <c r="K201" i="24"/>
  <c r="L201" i="24" s="1"/>
  <c r="F201" i="24"/>
  <c r="G201" i="24" s="1"/>
  <c r="U200" i="24"/>
  <c r="V200" i="24" s="1"/>
  <c r="P200" i="24"/>
  <c r="Q200" i="24" s="1"/>
  <c r="K200" i="24"/>
  <c r="L200" i="24" s="1"/>
  <c r="F200" i="24"/>
  <c r="G200" i="24" s="1"/>
  <c r="U199" i="24"/>
  <c r="V199" i="24" s="1"/>
  <c r="P199" i="24"/>
  <c r="Q199" i="24"/>
  <c r="K199" i="24"/>
  <c r="L199" i="24" s="1"/>
  <c r="F199" i="24"/>
  <c r="G199" i="24" s="1"/>
  <c r="U198" i="24"/>
  <c r="V198" i="24" s="1"/>
  <c r="P198" i="24"/>
  <c r="Q198" i="24"/>
  <c r="K198" i="24"/>
  <c r="L198" i="24" s="1"/>
  <c r="F198" i="24"/>
  <c r="G198" i="24" s="1"/>
  <c r="U197" i="24"/>
  <c r="V197" i="24" s="1"/>
  <c r="P197" i="24"/>
  <c r="Q197" i="24"/>
  <c r="K197" i="24"/>
  <c r="L197" i="24" s="1"/>
  <c r="F197" i="24"/>
  <c r="G197" i="24"/>
  <c r="W228" i="24"/>
  <c r="X228" i="24" s="1"/>
  <c r="W243" i="24"/>
  <c r="X243" i="24" s="1"/>
  <c r="B27" i="26"/>
  <c r="K31" i="26"/>
  <c r="L31" i="26"/>
  <c r="M31" i="26"/>
  <c r="H31" i="26"/>
  <c r="I31" i="26"/>
  <c r="J31" i="26"/>
  <c r="E31" i="26"/>
  <c r="F31" i="26"/>
  <c r="G31" i="26"/>
  <c r="B31" i="26"/>
  <c r="C31" i="26"/>
  <c r="D31" i="26"/>
  <c r="N35" i="26"/>
  <c r="N39" i="26"/>
  <c r="N47" i="26"/>
  <c r="N43" i="26"/>
  <c r="F3" i="8"/>
  <c r="F4" i="8"/>
  <c r="F5" i="8"/>
  <c r="F6" i="8"/>
  <c r="F7" i="8"/>
  <c r="F8" i="8"/>
  <c r="F13" i="8"/>
  <c r="F14" i="8"/>
  <c r="F16" i="8"/>
  <c r="F19" i="8"/>
  <c r="F20" i="8"/>
  <c r="F22" i="8"/>
  <c r="F24" i="8"/>
  <c r="F25" i="8"/>
  <c r="F26" i="8"/>
  <c r="F27" i="8"/>
  <c r="F29" i="8"/>
  <c r="F30" i="8"/>
  <c r="E31" i="8"/>
  <c r="C38" i="6"/>
  <c r="B38" i="6"/>
  <c r="C24" i="3"/>
  <c r="W245" i="24"/>
  <c r="X245" i="24" s="1"/>
  <c r="W246" i="24"/>
  <c r="W247" i="24"/>
  <c r="X247" i="24"/>
  <c r="W248" i="24"/>
  <c r="X248" i="24"/>
  <c r="W244" i="24"/>
  <c r="W229" i="24"/>
  <c r="X229" i="24" s="1"/>
  <c r="W230" i="24"/>
  <c r="X230" i="24" s="1"/>
  <c r="W231" i="24"/>
  <c r="X231" i="24" s="1"/>
  <c r="W232" i="24"/>
  <c r="X232" i="24"/>
  <c r="W233" i="24"/>
  <c r="X233" i="24" s="1"/>
  <c r="W234" i="24"/>
  <c r="X234" i="24"/>
  <c r="W235" i="24"/>
  <c r="X235" i="24" s="1"/>
  <c r="W236" i="24"/>
  <c r="X236" i="24" s="1"/>
  <c r="W237" i="24"/>
  <c r="X237" i="24" s="1"/>
  <c r="W238" i="24"/>
  <c r="X238" i="24"/>
  <c r="W239" i="24"/>
  <c r="X239" i="24" s="1"/>
  <c r="W240" i="24"/>
  <c r="X240" i="24" s="1"/>
  <c r="W227" i="24"/>
  <c r="X227" i="24" s="1"/>
  <c r="M249" i="24"/>
  <c r="N249" i="24"/>
  <c r="O249" i="24"/>
  <c r="P246" i="24"/>
  <c r="Q246" i="24" s="1"/>
  <c r="P247" i="24"/>
  <c r="Q247" i="24"/>
  <c r="P248" i="24"/>
  <c r="Q248" i="24" s="1"/>
  <c r="P245" i="24"/>
  <c r="Q245" i="24" s="1"/>
  <c r="P243" i="24"/>
  <c r="Q243" i="24" s="1"/>
  <c r="P244" i="24"/>
  <c r="Q244" i="24"/>
  <c r="M241" i="24"/>
  <c r="N241" i="24"/>
  <c r="O241" i="24"/>
  <c r="O250" i="24" s="1"/>
  <c r="P229" i="24"/>
  <c r="Q229" i="24" s="1"/>
  <c r="P230" i="24"/>
  <c r="Q230" i="24" s="1"/>
  <c r="P231" i="24"/>
  <c r="Q231" i="24" s="1"/>
  <c r="P232" i="24"/>
  <c r="Q232" i="24"/>
  <c r="P233" i="24"/>
  <c r="Q233" i="24" s="1"/>
  <c r="P234" i="24"/>
  <c r="Q234" i="24" s="1"/>
  <c r="P235" i="24"/>
  <c r="Q235" i="24" s="1"/>
  <c r="P236" i="24"/>
  <c r="Q236" i="24"/>
  <c r="P237" i="24"/>
  <c r="Q237" i="24" s="1"/>
  <c r="P238" i="24"/>
  <c r="Q238" i="24" s="1"/>
  <c r="P239" i="24"/>
  <c r="Q239" i="24" s="1"/>
  <c r="P228" i="24"/>
  <c r="Q228" i="24"/>
  <c r="P227" i="24"/>
  <c r="Q227" i="24" s="1"/>
  <c r="C241" i="24"/>
  <c r="D241" i="24"/>
  <c r="D250" i="24" s="1"/>
  <c r="E241" i="24"/>
  <c r="E250" i="24" s="1"/>
  <c r="H241" i="24"/>
  <c r="I241" i="24"/>
  <c r="J241" i="24"/>
  <c r="K241" i="24" s="1"/>
  <c r="L241" i="24" s="1"/>
  <c r="R241" i="24"/>
  <c r="U241" i="24" s="1"/>
  <c r="V241" i="24" s="1"/>
  <c r="S241" i="24"/>
  <c r="T241" i="24"/>
  <c r="R249" i="24"/>
  <c r="R250" i="24" s="1"/>
  <c r="S249" i="24"/>
  <c r="T249" i="24"/>
  <c r="T250" i="24" s="1"/>
  <c r="H249" i="24"/>
  <c r="I249" i="24"/>
  <c r="I250" i="24" s="1"/>
  <c r="J249" i="24"/>
  <c r="C249" i="24"/>
  <c r="F249" i="24" s="1"/>
  <c r="D249" i="24"/>
  <c r="E249" i="24"/>
  <c r="U248" i="24"/>
  <c r="V248" i="24" s="1"/>
  <c r="K248" i="24"/>
  <c r="L248" i="24"/>
  <c r="F248" i="24"/>
  <c r="G248" i="24" s="1"/>
  <c r="U247" i="24"/>
  <c r="V247" i="24"/>
  <c r="K247" i="24"/>
  <c r="L247" i="24" s="1"/>
  <c r="F247" i="24"/>
  <c r="G247" i="24" s="1"/>
  <c r="U246" i="24"/>
  <c r="V246" i="24" s="1"/>
  <c r="K246" i="24"/>
  <c r="L246" i="24"/>
  <c r="F246" i="24"/>
  <c r="G246" i="24" s="1"/>
  <c r="U245" i="24"/>
  <c r="V245" i="24" s="1"/>
  <c r="K245" i="24"/>
  <c r="L245" i="24" s="1"/>
  <c r="F245" i="24"/>
  <c r="G245" i="24" s="1"/>
  <c r="U244" i="24"/>
  <c r="V244" i="24" s="1"/>
  <c r="K244" i="24"/>
  <c r="L244" i="24" s="1"/>
  <c r="F244" i="24"/>
  <c r="G244" i="24" s="1"/>
  <c r="U243" i="24"/>
  <c r="V243" i="24" s="1"/>
  <c r="K243" i="24"/>
  <c r="L243" i="24" s="1"/>
  <c r="F243" i="24"/>
  <c r="G243" i="24" s="1"/>
  <c r="U240" i="24"/>
  <c r="V240" i="24" s="1"/>
  <c r="P240" i="24"/>
  <c r="Q240" i="24"/>
  <c r="K240" i="24"/>
  <c r="L240" i="24" s="1"/>
  <c r="F240" i="24"/>
  <c r="G240" i="24" s="1"/>
  <c r="U239" i="24"/>
  <c r="V239" i="24" s="1"/>
  <c r="K239" i="24"/>
  <c r="L239" i="24"/>
  <c r="F239" i="24"/>
  <c r="G239" i="24" s="1"/>
  <c r="U238" i="24"/>
  <c r="V238" i="24" s="1"/>
  <c r="K238" i="24"/>
  <c r="L238" i="24" s="1"/>
  <c r="F238" i="24"/>
  <c r="G238" i="24"/>
  <c r="U237" i="24"/>
  <c r="V237" i="24" s="1"/>
  <c r="K237" i="24"/>
  <c r="L237" i="24"/>
  <c r="F237" i="24"/>
  <c r="G237" i="24" s="1"/>
  <c r="U236" i="24"/>
  <c r="V236" i="24"/>
  <c r="K236" i="24"/>
  <c r="L236" i="24" s="1"/>
  <c r="F236" i="24"/>
  <c r="G236" i="24" s="1"/>
  <c r="U235" i="24"/>
  <c r="V235" i="24" s="1"/>
  <c r="K235" i="24"/>
  <c r="L235" i="24"/>
  <c r="F235" i="24"/>
  <c r="G235" i="24" s="1"/>
  <c r="U234" i="24"/>
  <c r="V234" i="24" s="1"/>
  <c r="K234" i="24"/>
  <c r="L234" i="24" s="1"/>
  <c r="F234" i="24"/>
  <c r="G234" i="24" s="1"/>
  <c r="U233" i="24"/>
  <c r="V233" i="24" s="1"/>
  <c r="K233" i="24"/>
  <c r="L233" i="24" s="1"/>
  <c r="F233" i="24"/>
  <c r="G233" i="24" s="1"/>
  <c r="U232" i="24"/>
  <c r="V232" i="24"/>
  <c r="K232" i="24"/>
  <c r="L232" i="24" s="1"/>
  <c r="F232" i="24"/>
  <c r="G232" i="24" s="1"/>
  <c r="U231" i="24"/>
  <c r="V231" i="24" s="1"/>
  <c r="K231" i="24"/>
  <c r="L231" i="24" s="1"/>
  <c r="F231" i="24"/>
  <c r="G231" i="24" s="1"/>
  <c r="U230" i="24"/>
  <c r="V230" i="24" s="1"/>
  <c r="K230" i="24"/>
  <c r="L230" i="24" s="1"/>
  <c r="F230" i="24"/>
  <c r="G230" i="24"/>
  <c r="U229" i="24"/>
  <c r="V229" i="24" s="1"/>
  <c r="K229" i="24"/>
  <c r="L229" i="24" s="1"/>
  <c r="F229" i="24"/>
  <c r="G229" i="24" s="1"/>
  <c r="U228" i="24"/>
  <c r="V228" i="24" s="1"/>
  <c r="K228" i="24"/>
  <c r="L228" i="24" s="1"/>
  <c r="F228" i="24"/>
  <c r="G228" i="24" s="1"/>
  <c r="U227" i="24"/>
  <c r="V227" i="24" s="1"/>
  <c r="K227" i="24"/>
  <c r="L227" i="24"/>
  <c r="F227" i="24"/>
  <c r="G227" i="24" s="1"/>
  <c r="F257" i="24"/>
  <c r="G257" i="24" s="1"/>
  <c r="K257" i="24"/>
  <c r="L257" i="24" s="1"/>
  <c r="P257" i="24"/>
  <c r="Q257" i="24" s="1"/>
  <c r="U257" i="24"/>
  <c r="V257" i="24" s="1"/>
  <c r="W257" i="24"/>
  <c r="X257" i="24" s="1"/>
  <c r="F258" i="24"/>
  <c r="G258" i="24" s="1"/>
  <c r="K258" i="24"/>
  <c r="L258" i="24"/>
  <c r="P258" i="24"/>
  <c r="Q258" i="24" s="1"/>
  <c r="U258" i="24"/>
  <c r="V258" i="24" s="1"/>
  <c r="W258" i="24"/>
  <c r="X258" i="24" s="1"/>
  <c r="F259" i="24"/>
  <c r="G259" i="24"/>
  <c r="K259" i="24"/>
  <c r="L259" i="24" s="1"/>
  <c r="P259" i="24"/>
  <c r="Q259" i="24" s="1"/>
  <c r="U259" i="24"/>
  <c r="V259" i="24" s="1"/>
  <c r="W259" i="24"/>
  <c r="X259" i="24"/>
  <c r="F260" i="24"/>
  <c r="G260" i="24" s="1"/>
  <c r="K260" i="24"/>
  <c r="L260" i="24" s="1"/>
  <c r="P260" i="24"/>
  <c r="Q260" i="24" s="1"/>
  <c r="U260" i="24"/>
  <c r="V260" i="24" s="1"/>
  <c r="W260" i="24"/>
  <c r="X260" i="24" s="1"/>
  <c r="F261" i="24"/>
  <c r="G261" i="24" s="1"/>
  <c r="K261" i="24"/>
  <c r="L261" i="24" s="1"/>
  <c r="P261" i="24"/>
  <c r="Q261" i="24" s="1"/>
  <c r="U261" i="24"/>
  <c r="V261" i="24" s="1"/>
  <c r="W261" i="24"/>
  <c r="X261" i="24" s="1"/>
  <c r="F262" i="24"/>
  <c r="G262" i="24" s="1"/>
  <c r="K262" i="24"/>
  <c r="L262" i="24" s="1"/>
  <c r="P262" i="24"/>
  <c r="Q262" i="24" s="1"/>
  <c r="U262" i="24"/>
  <c r="V262" i="24" s="1"/>
  <c r="W262" i="24"/>
  <c r="X262" i="24" s="1"/>
  <c r="F263" i="24"/>
  <c r="G263" i="24"/>
  <c r="K263" i="24"/>
  <c r="L263" i="24" s="1"/>
  <c r="P263" i="24"/>
  <c r="Q263" i="24" s="1"/>
  <c r="U263" i="24"/>
  <c r="V263" i="24" s="1"/>
  <c r="W263" i="24"/>
  <c r="X263" i="24"/>
  <c r="F264" i="24"/>
  <c r="G264" i="24" s="1"/>
  <c r="K264" i="24"/>
  <c r="L264" i="24" s="1"/>
  <c r="P264" i="24"/>
  <c r="Q264" i="24" s="1"/>
  <c r="U264" i="24"/>
  <c r="V264" i="24"/>
  <c r="W264" i="24"/>
  <c r="X264" i="24" s="1"/>
  <c r="F265" i="24"/>
  <c r="G265" i="24" s="1"/>
  <c r="K265" i="24"/>
  <c r="L265" i="24" s="1"/>
  <c r="P265" i="24"/>
  <c r="Q265" i="24" s="1"/>
  <c r="U265" i="24"/>
  <c r="V265" i="24" s="1"/>
  <c r="W265" i="24"/>
  <c r="X265" i="24" s="1"/>
  <c r="F266" i="24"/>
  <c r="G266" i="24" s="1"/>
  <c r="K266" i="24"/>
  <c r="L266" i="24"/>
  <c r="P266" i="24"/>
  <c r="Q266" i="24"/>
  <c r="U266" i="24"/>
  <c r="V266" i="24" s="1"/>
  <c r="W266" i="24"/>
  <c r="X266" i="24"/>
  <c r="F267" i="24"/>
  <c r="G267" i="24"/>
  <c r="K267" i="24"/>
  <c r="L267" i="24"/>
  <c r="P267" i="24"/>
  <c r="Q267" i="24" s="1"/>
  <c r="U267" i="24"/>
  <c r="V267" i="24"/>
  <c r="W267" i="24"/>
  <c r="X267" i="24"/>
  <c r="F268" i="24"/>
  <c r="G268" i="24"/>
  <c r="K268" i="24"/>
  <c r="L268" i="24"/>
  <c r="P268" i="24"/>
  <c r="Q268" i="24"/>
  <c r="U268" i="24"/>
  <c r="V268" i="24"/>
  <c r="W268" i="24"/>
  <c r="X268" i="24" s="1"/>
  <c r="F269" i="24"/>
  <c r="G269" i="24"/>
  <c r="K269" i="24"/>
  <c r="L269" i="24"/>
  <c r="P269" i="24"/>
  <c r="Q269" i="24" s="1"/>
  <c r="U269" i="24"/>
  <c r="V269" i="24"/>
  <c r="W269" i="24"/>
  <c r="X269" i="24"/>
  <c r="F270" i="24"/>
  <c r="G270" i="24"/>
  <c r="K270" i="24"/>
  <c r="L270" i="24" s="1"/>
  <c r="P270" i="24"/>
  <c r="Q270" i="24"/>
  <c r="U270" i="24"/>
  <c r="V270" i="24"/>
  <c r="W270" i="24"/>
  <c r="X270" i="24" s="1"/>
  <c r="C271" i="24"/>
  <c r="D271" i="24"/>
  <c r="E271" i="24"/>
  <c r="H271" i="24"/>
  <c r="I271" i="24"/>
  <c r="J271" i="24"/>
  <c r="M271" i="24"/>
  <c r="N271" i="24"/>
  <c r="O271" i="24"/>
  <c r="R271" i="24"/>
  <c r="S271" i="24"/>
  <c r="S280" i="24"/>
  <c r="T271" i="24"/>
  <c r="F273" i="24"/>
  <c r="G273" i="24" s="1"/>
  <c r="K273" i="24"/>
  <c r="L273" i="24" s="1"/>
  <c r="P273" i="24"/>
  <c r="Q273" i="24" s="1"/>
  <c r="U273" i="24"/>
  <c r="V273" i="24"/>
  <c r="W273" i="24"/>
  <c r="X273" i="24"/>
  <c r="F274" i="24"/>
  <c r="G274" i="24" s="1"/>
  <c r="K274" i="24"/>
  <c r="L274" i="24"/>
  <c r="P274" i="24"/>
  <c r="Q274" i="24" s="1"/>
  <c r="U274" i="24"/>
  <c r="V274" i="24" s="1"/>
  <c r="W274" i="24"/>
  <c r="X274" i="24" s="1"/>
  <c r="F275" i="24"/>
  <c r="G275" i="24"/>
  <c r="K275" i="24"/>
  <c r="L275" i="24"/>
  <c r="P275" i="24"/>
  <c r="Q275" i="24" s="1"/>
  <c r="U275" i="24"/>
  <c r="V275" i="24"/>
  <c r="W275" i="24"/>
  <c r="F276" i="24"/>
  <c r="G276" i="24" s="1"/>
  <c r="K276" i="24"/>
  <c r="L276" i="24" s="1"/>
  <c r="P276" i="24"/>
  <c r="Q276" i="24"/>
  <c r="U276" i="24"/>
  <c r="V276" i="24"/>
  <c r="W276" i="24"/>
  <c r="X276" i="24" s="1"/>
  <c r="F277" i="24"/>
  <c r="G277" i="24" s="1"/>
  <c r="K277" i="24"/>
  <c r="L277" i="24" s="1"/>
  <c r="P277" i="24"/>
  <c r="Q277" i="24" s="1"/>
  <c r="U277" i="24"/>
  <c r="V277" i="24" s="1"/>
  <c r="W277" i="24"/>
  <c r="X277" i="24"/>
  <c r="F278" i="24"/>
  <c r="G278" i="24"/>
  <c r="K278" i="24"/>
  <c r="L278" i="24" s="1"/>
  <c r="P278" i="24"/>
  <c r="Q278" i="24" s="1"/>
  <c r="U278" i="24"/>
  <c r="V278" i="24" s="1"/>
  <c r="W278" i="24"/>
  <c r="X278" i="24" s="1"/>
  <c r="C279" i="24"/>
  <c r="D279" i="24"/>
  <c r="E279" i="24"/>
  <c r="H279" i="24"/>
  <c r="I279" i="24"/>
  <c r="J279" i="24"/>
  <c r="J280" i="24"/>
  <c r="M279" i="24"/>
  <c r="N279" i="24"/>
  <c r="O279" i="24"/>
  <c r="O280" i="24" s="1"/>
  <c r="R279" i="24"/>
  <c r="U279" i="24" s="1"/>
  <c r="S279" i="24"/>
  <c r="T279" i="24"/>
  <c r="W304" i="24"/>
  <c r="X304" i="24"/>
  <c r="W306" i="24"/>
  <c r="X306" i="24"/>
  <c r="W287" i="24"/>
  <c r="X287" i="24" s="1"/>
  <c r="W288" i="24"/>
  <c r="X288" i="24"/>
  <c r="X301" i="24" s="1"/>
  <c r="W289" i="24"/>
  <c r="X289" i="24"/>
  <c r="W290" i="24"/>
  <c r="X290" i="24"/>
  <c r="W291" i="24"/>
  <c r="X291" i="24" s="1"/>
  <c r="W292" i="24"/>
  <c r="X292" i="24" s="1"/>
  <c r="W293" i="24"/>
  <c r="X293" i="24" s="1"/>
  <c r="W294" i="24"/>
  <c r="X294" i="24"/>
  <c r="W295" i="24"/>
  <c r="X295" i="24" s="1"/>
  <c r="W296" i="24"/>
  <c r="X296" i="24"/>
  <c r="W297" i="24"/>
  <c r="X297" i="24" s="1"/>
  <c r="W298" i="24"/>
  <c r="X298" i="24"/>
  <c r="W299" i="24"/>
  <c r="X299" i="24" s="1"/>
  <c r="W300" i="24"/>
  <c r="X300" i="24" s="1"/>
  <c r="W303" i="24"/>
  <c r="W305" i="24"/>
  <c r="X305" i="24"/>
  <c r="W307" i="24"/>
  <c r="X307" i="24" s="1"/>
  <c r="W308" i="24"/>
  <c r="X308" i="24"/>
  <c r="C301" i="24"/>
  <c r="D301" i="24"/>
  <c r="E301" i="24"/>
  <c r="H301" i="24"/>
  <c r="I301" i="24"/>
  <c r="J301" i="24"/>
  <c r="M301" i="24"/>
  <c r="N301" i="24"/>
  <c r="O301" i="24"/>
  <c r="O310" i="24" s="1"/>
  <c r="R301" i="24"/>
  <c r="S301" i="24"/>
  <c r="T301" i="24"/>
  <c r="R309" i="24"/>
  <c r="S309" i="24"/>
  <c r="T309" i="24"/>
  <c r="M309" i="24"/>
  <c r="N309" i="24"/>
  <c r="O309" i="24"/>
  <c r="P309" i="24" s="1"/>
  <c r="Q309" i="24" s="1"/>
  <c r="H309" i="24"/>
  <c r="I309" i="24"/>
  <c r="I310" i="24" s="1"/>
  <c r="J309" i="24"/>
  <c r="C309" i="24"/>
  <c r="F309" i="24" s="1"/>
  <c r="G309" i="24" s="1"/>
  <c r="D309" i="24"/>
  <c r="E309" i="24"/>
  <c r="U308" i="24"/>
  <c r="V308" i="24"/>
  <c r="P308" i="24"/>
  <c r="Q308" i="24" s="1"/>
  <c r="K308" i="24"/>
  <c r="L308" i="24"/>
  <c r="F308" i="24"/>
  <c r="G308" i="24" s="1"/>
  <c r="U307" i="24"/>
  <c r="V307" i="24"/>
  <c r="P307" i="24"/>
  <c r="Q307" i="24" s="1"/>
  <c r="K307" i="24"/>
  <c r="L307" i="24" s="1"/>
  <c r="F307" i="24"/>
  <c r="G307" i="24" s="1"/>
  <c r="U306" i="24"/>
  <c r="V306" i="24"/>
  <c r="P306" i="24"/>
  <c r="Q306" i="24" s="1"/>
  <c r="K306" i="24"/>
  <c r="L306" i="24"/>
  <c r="F306" i="24"/>
  <c r="G306" i="24" s="1"/>
  <c r="U305" i="24"/>
  <c r="V305" i="24"/>
  <c r="P305" i="24"/>
  <c r="Q305" i="24" s="1"/>
  <c r="K305" i="24"/>
  <c r="L305" i="24"/>
  <c r="F305" i="24"/>
  <c r="G305" i="24" s="1"/>
  <c r="U304" i="24"/>
  <c r="V304" i="24"/>
  <c r="P304" i="24"/>
  <c r="Q304" i="24" s="1"/>
  <c r="K304" i="24"/>
  <c r="L304" i="24" s="1"/>
  <c r="F304" i="24"/>
  <c r="G304" i="24" s="1"/>
  <c r="U303" i="24"/>
  <c r="V303" i="24" s="1"/>
  <c r="P303" i="24"/>
  <c r="Q303" i="24" s="1"/>
  <c r="K303" i="24"/>
  <c r="L303" i="24" s="1"/>
  <c r="F303" i="24"/>
  <c r="G303" i="24" s="1"/>
  <c r="U300" i="24"/>
  <c r="V300" i="24" s="1"/>
  <c r="P300" i="24"/>
  <c r="Q300" i="24" s="1"/>
  <c r="K300" i="24"/>
  <c r="L300" i="24" s="1"/>
  <c r="F300" i="24"/>
  <c r="G300" i="24" s="1"/>
  <c r="U299" i="24"/>
  <c r="V299" i="24"/>
  <c r="P299" i="24"/>
  <c r="Q299" i="24" s="1"/>
  <c r="K299" i="24"/>
  <c r="L299" i="24"/>
  <c r="F299" i="24"/>
  <c r="G299" i="24" s="1"/>
  <c r="U298" i="24"/>
  <c r="V298" i="24"/>
  <c r="P298" i="24"/>
  <c r="Q298" i="24" s="1"/>
  <c r="K298" i="24"/>
  <c r="L298" i="24" s="1"/>
  <c r="F298" i="24"/>
  <c r="G298" i="24" s="1"/>
  <c r="U297" i="24"/>
  <c r="V297" i="24"/>
  <c r="P297" i="24"/>
  <c r="Q297" i="24" s="1"/>
  <c r="K297" i="24"/>
  <c r="L297" i="24"/>
  <c r="F297" i="24"/>
  <c r="G297" i="24" s="1"/>
  <c r="U296" i="24"/>
  <c r="V296" i="24"/>
  <c r="P296" i="24"/>
  <c r="Q296" i="24" s="1"/>
  <c r="K296" i="24"/>
  <c r="L296" i="24" s="1"/>
  <c r="F296" i="24"/>
  <c r="G296" i="24" s="1"/>
  <c r="U295" i="24"/>
  <c r="V295" i="24"/>
  <c r="P295" i="24"/>
  <c r="Q295" i="24" s="1"/>
  <c r="K295" i="24"/>
  <c r="L295" i="24" s="1"/>
  <c r="F295" i="24"/>
  <c r="G295" i="24" s="1"/>
  <c r="U294" i="24"/>
  <c r="V294" i="24" s="1"/>
  <c r="P294" i="24"/>
  <c r="Q294" i="24" s="1"/>
  <c r="K294" i="24"/>
  <c r="L294" i="24" s="1"/>
  <c r="F294" i="24"/>
  <c r="G294" i="24" s="1"/>
  <c r="U293" i="24"/>
  <c r="V293" i="24"/>
  <c r="P293" i="24"/>
  <c r="Q293" i="24" s="1"/>
  <c r="K293" i="24"/>
  <c r="L293" i="24" s="1"/>
  <c r="F293" i="24"/>
  <c r="G293" i="24" s="1"/>
  <c r="U292" i="24"/>
  <c r="V292" i="24"/>
  <c r="P292" i="24"/>
  <c r="Q292" i="24" s="1"/>
  <c r="K292" i="24"/>
  <c r="L292" i="24"/>
  <c r="F292" i="24"/>
  <c r="G292" i="24" s="1"/>
  <c r="U291" i="24"/>
  <c r="V291" i="24"/>
  <c r="P291" i="24"/>
  <c r="Q291" i="24" s="1"/>
  <c r="K291" i="24"/>
  <c r="L291" i="24" s="1"/>
  <c r="F291" i="24"/>
  <c r="G291" i="24" s="1"/>
  <c r="U290" i="24"/>
  <c r="V290" i="24"/>
  <c r="P290" i="24"/>
  <c r="Q290" i="24" s="1"/>
  <c r="K290" i="24"/>
  <c r="L290" i="24"/>
  <c r="F290" i="24"/>
  <c r="G290" i="24" s="1"/>
  <c r="U289" i="24"/>
  <c r="V289" i="24"/>
  <c r="P289" i="24"/>
  <c r="Q289" i="24" s="1"/>
  <c r="K289" i="24"/>
  <c r="L289" i="24"/>
  <c r="F289" i="24"/>
  <c r="G289" i="24" s="1"/>
  <c r="U288" i="24"/>
  <c r="V288" i="24"/>
  <c r="P288" i="24"/>
  <c r="Q288" i="24" s="1"/>
  <c r="K288" i="24"/>
  <c r="L288" i="24" s="1"/>
  <c r="F288" i="24"/>
  <c r="G288" i="24" s="1"/>
  <c r="U287" i="24"/>
  <c r="V287" i="24" s="1"/>
  <c r="P287" i="24"/>
  <c r="Q287" i="24" s="1"/>
  <c r="K287" i="24"/>
  <c r="L287" i="24" s="1"/>
  <c r="F287" i="24"/>
  <c r="G287" i="24" s="1"/>
  <c r="N75" i="26"/>
  <c r="N71" i="26"/>
  <c r="O71" i="26" s="1"/>
  <c r="N51" i="26"/>
  <c r="N67" i="26"/>
  <c r="N63" i="26"/>
  <c r="O63" i="26"/>
  <c r="N59" i="26"/>
  <c r="O59" i="26" s="1"/>
  <c r="N55" i="26"/>
  <c r="E331" i="24"/>
  <c r="D331" i="24"/>
  <c r="D340" i="24" s="1"/>
  <c r="C331" i="24"/>
  <c r="R339" i="24"/>
  <c r="R340" i="24" s="1"/>
  <c r="S339" i="24"/>
  <c r="T339" i="24"/>
  <c r="T340" i="24" s="1"/>
  <c r="U338" i="24"/>
  <c r="V338" i="24"/>
  <c r="U337" i="24"/>
  <c r="V337" i="24" s="1"/>
  <c r="U336" i="24"/>
  <c r="V336" i="24" s="1"/>
  <c r="U335" i="24"/>
  <c r="V335" i="24" s="1"/>
  <c r="U334" i="24"/>
  <c r="V334" i="24"/>
  <c r="U333" i="24"/>
  <c r="V333" i="24" s="1"/>
  <c r="R331" i="24"/>
  <c r="S331" i="24"/>
  <c r="S340" i="24"/>
  <c r="T331" i="24"/>
  <c r="U330" i="24"/>
  <c r="V330" i="24" s="1"/>
  <c r="U329" i="24"/>
  <c r="V329" i="24" s="1"/>
  <c r="U328" i="24"/>
  <c r="V328" i="24" s="1"/>
  <c r="U327" i="24"/>
  <c r="V327" i="24" s="1"/>
  <c r="U326" i="24"/>
  <c r="V326" i="24" s="1"/>
  <c r="U325" i="24"/>
  <c r="V325" i="24"/>
  <c r="U324" i="24"/>
  <c r="V324" i="24" s="1"/>
  <c r="U323" i="24"/>
  <c r="V323" i="24"/>
  <c r="U322" i="24"/>
  <c r="V322" i="24" s="1"/>
  <c r="U321" i="24"/>
  <c r="V321" i="24"/>
  <c r="U320" i="24"/>
  <c r="V320" i="24" s="1"/>
  <c r="U319" i="24"/>
  <c r="V319" i="24" s="1"/>
  <c r="U318" i="24"/>
  <c r="V318" i="24" s="1"/>
  <c r="U317" i="24"/>
  <c r="V317" i="24"/>
  <c r="E361" i="24"/>
  <c r="C361" i="24"/>
  <c r="U347" i="24"/>
  <c r="V347" i="24" s="1"/>
  <c r="F360" i="24"/>
  <c r="G360" i="24" s="1"/>
  <c r="F359" i="24"/>
  <c r="G359" i="24" s="1"/>
  <c r="F358" i="24"/>
  <c r="G358" i="24" s="1"/>
  <c r="F357" i="24"/>
  <c r="G357" i="24"/>
  <c r="F356" i="24"/>
  <c r="G356" i="24" s="1"/>
  <c r="F355" i="24"/>
  <c r="G355" i="24" s="1"/>
  <c r="F354" i="24"/>
  <c r="G354" i="24" s="1"/>
  <c r="F353" i="24"/>
  <c r="G353" i="24"/>
  <c r="F352" i="24"/>
  <c r="G352" i="24" s="1"/>
  <c r="F351" i="24"/>
  <c r="G351" i="24"/>
  <c r="F350" i="24"/>
  <c r="G350" i="24" s="1"/>
  <c r="F349" i="24"/>
  <c r="G349" i="24"/>
  <c r="F348" i="24"/>
  <c r="G348" i="24" s="1"/>
  <c r="F347" i="24"/>
  <c r="G347" i="24" s="1"/>
  <c r="C339" i="24"/>
  <c r="C340" i="24" s="1"/>
  <c r="D339" i="24"/>
  <c r="E339" i="24"/>
  <c r="F338" i="24"/>
  <c r="G338" i="24"/>
  <c r="F337" i="24"/>
  <c r="G337" i="24" s="1"/>
  <c r="F336" i="24"/>
  <c r="G336" i="24"/>
  <c r="F335" i="24"/>
  <c r="G335" i="24" s="1"/>
  <c r="F334" i="24"/>
  <c r="G334" i="24"/>
  <c r="F333" i="24"/>
  <c r="G333" i="24" s="1"/>
  <c r="F330" i="24"/>
  <c r="G330" i="24"/>
  <c r="F329" i="24"/>
  <c r="G329" i="24" s="1"/>
  <c r="F328" i="24"/>
  <c r="G328" i="24" s="1"/>
  <c r="F327" i="24"/>
  <c r="G327" i="24" s="1"/>
  <c r="F326" i="24"/>
  <c r="G326" i="24" s="1"/>
  <c r="F325" i="24"/>
  <c r="G325" i="24" s="1"/>
  <c r="F324" i="24"/>
  <c r="G324" i="24" s="1"/>
  <c r="F323" i="24"/>
  <c r="G323" i="24" s="1"/>
  <c r="F322" i="24"/>
  <c r="G322" i="24" s="1"/>
  <c r="F321" i="24"/>
  <c r="G321" i="24" s="1"/>
  <c r="F320" i="24"/>
  <c r="G320" i="24" s="1"/>
  <c r="F319" i="24"/>
  <c r="G319" i="24" s="1"/>
  <c r="F318" i="24"/>
  <c r="G318" i="24"/>
  <c r="F317" i="24"/>
  <c r="G317" i="24" s="1"/>
  <c r="R369" i="24"/>
  <c r="V369" i="24"/>
  <c r="S369" i="24"/>
  <c r="T369" i="24"/>
  <c r="U369" i="24" s="1"/>
  <c r="U368" i="24"/>
  <c r="V368" i="24"/>
  <c r="U367" i="24"/>
  <c r="V367" i="24"/>
  <c r="U366" i="24"/>
  <c r="V366" i="24"/>
  <c r="U365" i="24"/>
  <c r="V365" i="24" s="1"/>
  <c r="U364" i="24"/>
  <c r="V364" i="24"/>
  <c r="U363" i="24"/>
  <c r="V363" i="24" s="1"/>
  <c r="R361" i="24"/>
  <c r="S361" i="24"/>
  <c r="S370" i="24" s="1"/>
  <c r="T361" i="24"/>
  <c r="U360" i="24"/>
  <c r="V360" i="24" s="1"/>
  <c r="U359" i="24"/>
  <c r="V359" i="24"/>
  <c r="U358" i="24"/>
  <c r="V358" i="24" s="1"/>
  <c r="U357" i="24"/>
  <c r="V357" i="24" s="1"/>
  <c r="U356" i="24"/>
  <c r="V356" i="24" s="1"/>
  <c r="U355" i="24"/>
  <c r="V355" i="24"/>
  <c r="U354" i="24"/>
  <c r="V354" i="24" s="1"/>
  <c r="U353" i="24"/>
  <c r="V353" i="24"/>
  <c r="U352" i="24"/>
  <c r="V352" i="24" s="1"/>
  <c r="U351" i="24"/>
  <c r="V351" i="24"/>
  <c r="U350" i="24"/>
  <c r="V350" i="24" s="1"/>
  <c r="U349" i="24"/>
  <c r="V349" i="24" s="1"/>
  <c r="U348" i="24"/>
  <c r="V348" i="24" s="1"/>
  <c r="W317" i="24"/>
  <c r="X317" i="24"/>
  <c r="W318" i="24"/>
  <c r="X318" i="24" s="1"/>
  <c r="W319" i="24"/>
  <c r="X319" i="24"/>
  <c r="X331" i="24" s="1"/>
  <c r="W320" i="24"/>
  <c r="X320" i="24" s="1"/>
  <c r="W321" i="24"/>
  <c r="X321" i="24"/>
  <c r="W322" i="24"/>
  <c r="X322" i="24" s="1"/>
  <c r="W323" i="24"/>
  <c r="X323" i="24"/>
  <c r="W324" i="24"/>
  <c r="X324" i="24" s="1"/>
  <c r="W325" i="24"/>
  <c r="X325" i="24"/>
  <c r="W326" i="24"/>
  <c r="X326" i="24" s="1"/>
  <c r="W327" i="24"/>
  <c r="X327" i="24" s="1"/>
  <c r="W328" i="24"/>
  <c r="X328" i="24" s="1"/>
  <c r="W329" i="24"/>
  <c r="X329" i="24" s="1"/>
  <c r="W330" i="24"/>
  <c r="X330" i="24" s="1"/>
  <c r="W333" i="24"/>
  <c r="W334" i="24"/>
  <c r="X334" i="24" s="1"/>
  <c r="W335" i="24"/>
  <c r="X335" i="24" s="1"/>
  <c r="W336" i="24"/>
  <c r="X336" i="24" s="1"/>
  <c r="W337" i="24"/>
  <c r="X337" i="24" s="1"/>
  <c r="W338" i="24"/>
  <c r="X338" i="24" s="1"/>
  <c r="H331" i="24"/>
  <c r="I331" i="24"/>
  <c r="J331" i="24"/>
  <c r="M331" i="24"/>
  <c r="N331" i="24"/>
  <c r="O331" i="24"/>
  <c r="P331" i="24" s="1"/>
  <c r="M339" i="24"/>
  <c r="N339" i="24"/>
  <c r="O339" i="24"/>
  <c r="O340" i="24"/>
  <c r="H339" i="24"/>
  <c r="K339" i="24" s="1"/>
  <c r="L339" i="24" s="1"/>
  <c r="I339" i="24"/>
  <c r="I340" i="24" s="1"/>
  <c r="J339" i="24"/>
  <c r="J340" i="24"/>
  <c r="P338" i="24"/>
  <c r="Q338" i="24"/>
  <c r="K338" i="24"/>
  <c r="L338" i="24"/>
  <c r="P337" i="24"/>
  <c r="Q337" i="24" s="1"/>
  <c r="K337" i="24"/>
  <c r="L337" i="24"/>
  <c r="P336" i="24"/>
  <c r="Q336" i="24"/>
  <c r="K336" i="24"/>
  <c r="L336" i="24"/>
  <c r="P335" i="24"/>
  <c r="Q335" i="24"/>
  <c r="K335" i="24"/>
  <c r="L335" i="24"/>
  <c r="P334" i="24"/>
  <c r="Q334" i="24"/>
  <c r="K334" i="24"/>
  <c r="L334" i="24" s="1"/>
  <c r="P333" i="24"/>
  <c r="Q333" i="24"/>
  <c r="K333" i="24"/>
  <c r="L333" i="24"/>
  <c r="P330" i="24"/>
  <c r="Q330" i="24" s="1"/>
  <c r="K330" i="24"/>
  <c r="L330" i="24"/>
  <c r="P329" i="24"/>
  <c r="Q329" i="24"/>
  <c r="K329" i="24"/>
  <c r="L329" i="24"/>
  <c r="P328" i="24"/>
  <c r="Q328" i="24" s="1"/>
  <c r="K328" i="24"/>
  <c r="L328" i="24"/>
  <c r="P327" i="24"/>
  <c r="Q327" i="24"/>
  <c r="K327" i="24"/>
  <c r="L327" i="24" s="1"/>
  <c r="P326" i="24"/>
  <c r="Q326" i="24"/>
  <c r="K326" i="24"/>
  <c r="L326" i="24"/>
  <c r="P325" i="24"/>
  <c r="Q325" i="24"/>
  <c r="K325" i="24"/>
  <c r="L325" i="24" s="1"/>
  <c r="P324" i="24"/>
  <c r="Q324" i="24"/>
  <c r="K324" i="24"/>
  <c r="L324" i="24"/>
  <c r="P323" i="24"/>
  <c r="Q323" i="24"/>
  <c r="K323" i="24"/>
  <c r="L323" i="24"/>
  <c r="P322" i="24"/>
  <c r="Q322" i="24"/>
  <c r="K322" i="24"/>
  <c r="L322" i="24"/>
  <c r="P321" i="24"/>
  <c r="Q321" i="24" s="1"/>
  <c r="K321" i="24"/>
  <c r="L321" i="24"/>
  <c r="P320" i="24"/>
  <c r="Q320" i="24"/>
  <c r="K320" i="24"/>
  <c r="L320" i="24"/>
  <c r="P319" i="24"/>
  <c r="Q319" i="24"/>
  <c r="K319" i="24"/>
  <c r="L319" i="24"/>
  <c r="P318" i="24"/>
  <c r="Q318" i="24"/>
  <c r="K318" i="24"/>
  <c r="L318" i="24" s="1"/>
  <c r="P317" i="24"/>
  <c r="Q317" i="24"/>
  <c r="K317" i="24"/>
  <c r="L317" i="24"/>
  <c r="O369" i="24"/>
  <c r="M369" i="24"/>
  <c r="N369" i="24"/>
  <c r="P368" i="24"/>
  <c r="Q368" i="24" s="1"/>
  <c r="P367" i="24"/>
  <c r="Q367" i="24"/>
  <c r="P366" i="24"/>
  <c r="Q366" i="24" s="1"/>
  <c r="P365" i="24"/>
  <c r="Q365" i="24"/>
  <c r="P364" i="24"/>
  <c r="Q364" i="24" s="1"/>
  <c r="P363" i="24"/>
  <c r="Q363" i="24"/>
  <c r="P359" i="24"/>
  <c r="Q359" i="24" s="1"/>
  <c r="P358" i="24"/>
  <c r="Q358" i="24" s="1"/>
  <c r="P357" i="24"/>
  <c r="Q357" i="24" s="1"/>
  <c r="P356" i="24"/>
  <c r="Q356" i="24"/>
  <c r="P355" i="24"/>
  <c r="Q355" i="24" s="1"/>
  <c r="P354" i="24"/>
  <c r="Q354" i="24"/>
  <c r="P353" i="24"/>
  <c r="Q353" i="24" s="1"/>
  <c r="P352" i="24"/>
  <c r="Q352" i="24" s="1"/>
  <c r="P351" i="24"/>
  <c r="Q351" i="24" s="1"/>
  <c r="P350" i="24"/>
  <c r="Q350" i="24" s="1"/>
  <c r="P349" i="24"/>
  <c r="Q349" i="24" s="1"/>
  <c r="P348" i="24"/>
  <c r="Q348" i="24"/>
  <c r="P347" i="24"/>
  <c r="Q347" i="24" s="1"/>
  <c r="M361" i="24"/>
  <c r="M370" i="24" s="1"/>
  <c r="W368" i="24"/>
  <c r="X368" i="24" s="1"/>
  <c r="W367" i="24"/>
  <c r="W366" i="24"/>
  <c r="X366" i="24"/>
  <c r="W365" i="24"/>
  <c r="X365" i="24"/>
  <c r="W364" i="24"/>
  <c r="X364" i="24" s="1"/>
  <c r="W363" i="24"/>
  <c r="W369" i="24" s="1"/>
  <c r="H361" i="24"/>
  <c r="I361" i="24"/>
  <c r="I370" i="24" s="1"/>
  <c r="J361" i="24"/>
  <c r="N361" i="24"/>
  <c r="O361" i="24"/>
  <c r="W360" i="24"/>
  <c r="X360" i="24"/>
  <c r="W359" i="24"/>
  <c r="X359" i="24"/>
  <c r="W358" i="24"/>
  <c r="X358" i="24" s="1"/>
  <c r="W357" i="24"/>
  <c r="X357" i="24"/>
  <c r="W356" i="24"/>
  <c r="X356" i="24" s="1"/>
  <c r="W355" i="24"/>
  <c r="W354" i="24"/>
  <c r="X354" i="24" s="1"/>
  <c r="W353" i="24"/>
  <c r="X353" i="24" s="1"/>
  <c r="W352" i="24"/>
  <c r="X352" i="24"/>
  <c r="W351" i="24"/>
  <c r="W350" i="24"/>
  <c r="X350" i="24"/>
  <c r="W349" i="24"/>
  <c r="X349" i="24" s="1"/>
  <c r="W348" i="24"/>
  <c r="X348" i="24"/>
  <c r="W347" i="24"/>
  <c r="X347" i="24" s="1"/>
  <c r="W394" i="24"/>
  <c r="X394" i="24"/>
  <c r="W393" i="24"/>
  <c r="X393" i="24" s="1"/>
  <c r="W392" i="24"/>
  <c r="X392" i="24" s="1"/>
  <c r="W391" i="24"/>
  <c r="X391" i="24" s="1"/>
  <c r="W390" i="24"/>
  <c r="X390" i="24" s="1"/>
  <c r="X395" i="24" s="1"/>
  <c r="W389" i="24"/>
  <c r="X389" i="24" s="1"/>
  <c r="W388" i="24"/>
  <c r="X388" i="24" s="1"/>
  <c r="W387" i="24"/>
  <c r="X387" i="24" s="1"/>
  <c r="W386" i="24"/>
  <c r="X386" i="24" s="1"/>
  <c r="W385" i="24"/>
  <c r="X385" i="24" s="1"/>
  <c r="W384" i="24"/>
  <c r="X384" i="24" s="1"/>
  <c r="W383" i="24"/>
  <c r="X383" i="24" s="1"/>
  <c r="W382" i="24"/>
  <c r="X382" i="24" s="1"/>
  <c r="W381" i="24"/>
  <c r="X381" i="24" s="1"/>
  <c r="W402" i="24"/>
  <c r="X402" i="24" s="1"/>
  <c r="W401" i="24"/>
  <c r="W400" i="24"/>
  <c r="W399" i="24"/>
  <c r="W398" i="24"/>
  <c r="W397" i="24"/>
  <c r="X397" i="24"/>
  <c r="R403" i="24"/>
  <c r="S403" i="24"/>
  <c r="T403" i="24"/>
  <c r="T404" i="24" s="1"/>
  <c r="U402" i="24"/>
  <c r="V402" i="24" s="1"/>
  <c r="U401" i="24"/>
  <c r="V401" i="24" s="1"/>
  <c r="U400" i="24"/>
  <c r="V400" i="24" s="1"/>
  <c r="U399" i="24"/>
  <c r="V399" i="24" s="1"/>
  <c r="U398" i="24"/>
  <c r="V398" i="24" s="1"/>
  <c r="U397" i="24"/>
  <c r="V397" i="24" s="1"/>
  <c r="R395" i="24"/>
  <c r="R404" i="24" s="1"/>
  <c r="S395" i="24"/>
  <c r="U395" i="24" s="1"/>
  <c r="V395" i="24" s="1"/>
  <c r="T395" i="24"/>
  <c r="U394" i="24"/>
  <c r="V394" i="24" s="1"/>
  <c r="U393" i="24"/>
  <c r="V393" i="24" s="1"/>
  <c r="U392" i="24"/>
  <c r="V392" i="24" s="1"/>
  <c r="U391" i="24"/>
  <c r="V391" i="24" s="1"/>
  <c r="U390" i="24"/>
  <c r="V390" i="24" s="1"/>
  <c r="U389" i="24"/>
  <c r="V389" i="24" s="1"/>
  <c r="U388" i="24"/>
  <c r="V388" i="24" s="1"/>
  <c r="U387" i="24"/>
  <c r="V387" i="24" s="1"/>
  <c r="U386" i="24"/>
  <c r="V386" i="24" s="1"/>
  <c r="U385" i="24"/>
  <c r="V385" i="24" s="1"/>
  <c r="U384" i="24"/>
  <c r="V384" i="24" s="1"/>
  <c r="U383" i="24"/>
  <c r="V383" i="24" s="1"/>
  <c r="U382" i="24"/>
  <c r="V382" i="24" s="1"/>
  <c r="U381" i="24"/>
  <c r="V381" i="24" s="1"/>
  <c r="X351" i="24"/>
  <c r="X355" i="24"/>
  <c r="X367" i="24"/>
  <c r="T370" i="24"/>
  <c r="H369" i="24"/>
  <c r="I369" i="24"/>
  <c r="K369" i="24" s="1"/>
  <c r="L369" i="24" s="1"/>
  <c r="J369" i="24"/>
  <c r="J370" i="24" s="1"/>
  <c r="G369" i="24"/>
  <c r="C369" i="24"/>
  <c r="C370" i="24"/>
  <c r="D369" i="24"/>
  <c r="D370" i="24" s="1"/>
  <c r="E369" i="24"/>
  <c r="K368" i="24"/>
  <c r="L368" i="24" s="1"/>
  <c r="G368" i="24"/>
  <c r="F368" i="24"/>
  <c r="K367" i="24"/>
  <c r="L367" i="24" s="1"/>
  <c r="G367" i="24"/>
  <c r="F367" i="24"/>
  <c r="K366" i="24"/>
  <c r="L366" i="24" s="1"/>
  <c r="G366" i="24"/>
  <c r="F366" i="24"/>
  <c r="K365" i="24"/>
  <c r="L365" i="24" s="1"/>
  <c r="G365" i="24"/>
  <c r="F365" i="24"/>
  <c r="K364" i="24"/>
  <c r="L364" i="24" s="1"/>
  <c r="G364" i="24"/>
  <c r="F364" i="24"/>
  <c r="K363" i="24"/>
  <c r="L363" i="24" s="1"/>
  <c r="G363" i="24"/>
  <c r="F363" i="24"/>
  <c r="P360" i="24"/>
  <c r="Q360" i="24" s="1"/>
  <c r="K360" i="24"/>
  <c r="L360" i="24" s="1"/>
  <c r="K359" i="24"/>
  <c r="L359" i="24" s="1"/>
  <c r="K358" i="24"/>
  <c r="L358" i="24" s="1"/>
  <c r="K357" i="24"/>
  <c r="L357" i="24" s="1"/>
  <c r="K356" i="24"/>
  <c r="L356" i="24" s="1"/>
  <c r="K355" i="24"/>
  <c r="L355" i="24" s="1"/>
  <c r="K354" i="24"/>
  <c r="L354" i="24" s="1"/>
  <c r="K353" i="24"/>
  <c r="L353" i="24" s="1"/>
  <c r="K352" i="24"/>
  <c r="L352" i="24" s="1"/>
  <c r="K351" i="24"/>
  <c r="L351" i="24" s="1"/>
  <c r="K350" i="24"/>
  <c r="L350" i="24" s="1"/>
  <c r="K349" i="24"/>
  <c r="L349" i="24" s="1"/>
  <c r="K348" i="24"/>
  <c r="L348" i="24" s="1"/>
  <c r="K347" i="24"/>
  <c r="L347" i="24" s="1"/>
  <c r="M403" i="24"/>
  <c r="N403" i="24"/>
  <c r="O403" i="24"/>
  <c r="P402" i="24"/>
  <c r="Q402" i="24" s="1"/>
  <c r="P401" i="24"/>
  <c r="Q401" i="24" s="1"/>
  <c r="P400" i="24"/>
  <c r="Q400" i="24" s="1"/>
  <c r="P399" i="24"/>
  <c r="Q399" i="24" s="1"/>
  <c r="P398" i="24"/>
  <c r="Q398" i="24" s="1"/>
  <c r="P397" i="24"/>
  <c r="Q397" i="24" s="1"/>
  <c r="N395" i="24"/>
  <c r="N404" i="24" s="1"/>
  <c r="O395" i="24"/>
  <c r="P394" i="24"/>
  <c r="Q394" i="24" s="1"/>
  <c r="P393" i="24"/>
  <c r="Q393" i="24" s="1"/>
  <c r="P392" i="24"/>
  <c r="Q392" i="24" s="1"/>
  <c r="P391" i="24"/>
  <c r="Q391" i="24" s="1"/>
  <c r="P390" i="24"/>
  <c r="Q390" i="24" s="1"/>
  <c r="P389" i="24"/>
  <c r="Q389" i="24" s="1"/>
  <c r="P388" i="24"/>
  <c r="Q388" i="24" s="1"/>
  <c r="P387" i="24"/>
  <c r="Q387" i="24" s="1"/>
  <c r="P386" i="24"/>
  <c r="Q386" i="24" s="1"/>
  <c r="P385" i="24"/>
  <c r="Q385" i="24" s="1"/>
  <c r="P384" i="24"/>
  <c r="Q384" i="24" s="1"/>
  <c r="P383" i="24"/>
  <c r="Q383" i="24" s="1"/>
  <c r="P382" i="24"/>
  <c r="Q382" i="24" s="1"/>
  <c r="P381" i="24"/>
  <c r="Q381" i="24" s="1"/>
  <c r="H403" i="24"/>
  <c r="I403" i="24"/>
  <c r="J403" i="24"/>
  <c r="K402" i="24"/>
  <c r="L402" i="24" s="1"/>
  <c r="K401" i="24"/>
  <c r="L401" i="24" s="1"/>
  <c r="K400" i="24"/>
  <c r="L400" i="24"/>
  <c r="K399" i="24"/>
  <c r="L399" i="24"/>
  <c r="K398" i="24"/>
  <c r="L398" i="24" s="1"/>
  <c r="K397" i="24"/>
  <c r="L397" i="24"/>
  <c r="H395" i="24"/>
  <c r="K395" i="24" s="1"/>
  <c r="L395" i="24" s="1"/>
  <c r="I395" i="24"/>
  <c r="J395" i="24"/>
  <c r="J404" i="24" s="1"/>
  <c r="K394" i="24"/>
  <c r="L394" i="24" s="1"/>
  <c r="K393" i="24"/>
  <c r="L393" i="24" s="1"/>
  <c r="K392" i="24"/>
  <c r="L392" i="24" s="1"/>
  <c r="K391" i="24"/>
  <c r="L391" i="24" s="1"/>
  <c r="K390" i="24"/>
  <c r="L390" i="24" s="1"/>
  <c r="K389" i="24"/>
  <c r="L389" i="24" s="1"/>
  <c r="K388" i="24"/>
  <c r="L388" i="24" s="1"/>
  <c r="K387" i="24"/>
  <c r="L387" i="24" s="1"/>
  <c r="K386" i="24"/>
  <c r="L386" i="24" s="1"/>
  <c r="K385" i="24"/>
  <c r="L385" i="24" s="1"/>
  <c r="K384" i="24"/>
  <c r="L384" i="24" s="1"/>
  <c r="K383" i="24"/>
  <c r="L383" i="24" s="1"/>
  <c r="K382" i="24"/>
  <c r="L382" i="24" s="1"/>
  <c r="K381" i="24"/>
  <c r="L381" i="24" s="1"/>
  <c r="L421" i="24"/>
  <c r="L419" i="24"/>
  <c r="G427" i="24"/>
  <c r="G428" i="24"/>
  <c r="G429" i="24"/>
  <c r="G430" i="24"/>
  <c r="G431" i="24"/>
  <c r="G432" i="24"/>
  <c r="G434" i="24" s="1"/>
  <c r="G435" i="24" s="1"/>
  <c r="G433" i="24"/>
  <c r="L431" i="24"/>
  <c r="X433" i="24"/>
  <c r="X432" i="24"/>
  <c r="X431" i="24"/>
  <c r="X430" i="24"/>
  <c r="X429" i="24"/>
  <c r="X428" i="24"/>
  <c r="X427" i="24"/>
  <c r="O55" i="26" s="1"/>
  <c r="X424" i="24"/>
  <c r="X423" i="24"/>
  <c r="X422" i="24"/>
  <c r="X421" i="24"/>
  <c r="X420" i="24"/>
  <c r="X419" i="24"/>
  <c r="X418" i="24"/>
  <c r="X417" i="24"/>
  <c r="X416" i="24"/>
  <c r="X415" i="24"/>
  <c r="X414" i="24"/>
  <c r="X413" i="24"/>
  <c r="X412" i="24"/>
  <c r="V412" i="24"/>
  <c r="V413" i="24"/>
  <c r="V414" i="24"/>
  <c r="V415" i="24"/>
  <c r="V416" i="24"/>
  <c r="V417" i="24"/>
  <c r="V418" i="24"/>
  <c r="V419" i="24"/>
  <c r="V425" i="24" s="1"/>
  <c r="V435" i="24" s="1"/>
  <c r="V420" i="24"/>
  <c r="V421" i="24"/>
  <c r="V422" i="24"/>
  <c r="V423" i="24"/>
  <c r="V424" i="24"/>
  <c r="F395" i="24"/>
  <c r="C403" i="24"/>
  <c r="C404" i="24" s="1"/>
  <c r="D403" i="24"/>
  <c r="E403" i="24"/>
  <c r="E404" i="24"/>
  <c r="V434" i="24"/>
  <c r="V433" i="24"/>
  <c r="V432" i="24"/>
  <c r="V431" i="24"/>
  <c r="V430" i="24"/>
  <c r="V429" i="24"/>
  <c r="V428" i="24"/>
  <c r="V427" i="24"/>
  <c r="Q434" i="24"/>
  <c r="Q433" i="24"/>
  <c r="Q432" i="24"/>
  <c r="Q431" i="24"/>
  <c r="Q430" i="24"/>
  <c r="Q429" i="24"/>
  <c r="Q428" i="24"/>
  <c r="Q427" i="24"/>
  <c r="Q425" i="24"/>
  <c r="Q435" i="24"/>
  <c r="Q424" i="24"/>
  <c r="Q423" i="24"/>
  <c r="Q422" i="24"/>
  <c r="Q421" i="24"/>
  <c r="Q420" i="24"/>
  <c r="Q419" i="24"/>
  <c r="Q418" i="24"/>
  <c r="Q417" i="24"/>
  <c r="Q416" i="24"/>
  <c r="Q415" i="24"/>
  <c r="Q414" i="24"/>
  <c r="Q413" i="24"/>
  <c r="Q412" i="24"/>
  <c r="L434" i="24"/>
  <c r="L433" i="24"/>
  <c r="L432" i="24"/>
  <c r="L430" i="24"/>
  <c r="L429" i="24"/>
  <c r="L428" i="24"/>
  <c r="L427" i="24"/>
  <c r="L425" i="24"/>
  <c r="L424" i="24"/>
  <c r="L423" i="24"/>
  <c r="L422" i="24"/>
  <c r="L420" i="24"/>
  <c r="L418" i="24"/>
  <c r="L417" i="24"/>
  <c r="L416" i="24"/>
  <c r="L415" i="24"/>
  <c r="L414" i="24"/>
  <c r="L413" i="24"/>
  <c r="L412" i="24"/>
  <c r="G425" i="24"/>
  <c r="G424" i="24"/>
  <c r="G423" i="24"/>
  <c r="G422" i="24"/>
  <c r="G421" i="24"/>
  <c r="G420" i="24"/>
  <c r="G419" i="24"/>
  <c r="G418" i="24"/>
  <c r="G417" i="24"/>
  <c r="G416" i="24"/>
  <c r="G415" i="24"/>
  <c r="G414" i="24"/>
  <c r="G413" i="24"/>
  <c r="G412" i="24"/>
  <c r="G403" i="24"/>
  <c r="G390" i="24"/>
  <c r="G402" i="24"/>
  <c r="G401" i="24"/>
  <c r="G400" i="24"/>
  <c r="G399" i="24"/>
  <c r="G398" i="24"/>
  <c r="G397" i="24"/>
  <c r="G395" i="24"/>
  <c r="G404" i="24"/>
  <c r="G393" i="24"/>
  <c r="G392" i="24"/>
  <c r="G391" i="24"/>
  <c r="G389" i="24"/>
  <c r="G388" i="24"/>
  <c r="G387" i="24"/>
  <c r="G386" i="24"/>
  <c r="G385" i="24"/>
  <c r="G384" i="24"/>
  <c r="G383" i="24"/>
  <c r="G382" i="24"/>
  <c r="G381" i="24"/>
  <c r="F394" i="24"/>
  <c r="G394" i="24"/>
  <c r="W412" i="24"/>
  <c r="W413" i="24"/>
  <c r="W414" i="24"/>
  <c r="W415" i="24"/>
  <c r="W416" i="24"/>
  <c r="W417" i="24"/>
  <c r="W418" i="24"/>
  <c r="W419" i="24"/>
  <c r="W420" i="24"/>
  <c r="W421" i="24"/>
  <c r="W422" i="24"/>
  <c r="W423" i="24"/>
  <c r="W424" i="24"/>
  <c r="W427" i="24"/>
  <c r="W434" i="24" s="1"/>
  <c r="W428" i="24"/>
  <c r="W429" i="24"/>
  <c r="W430" i="24"/>
  <c r="W431" i="24"/>
  <c r="W432" i="24"/>
  <c r="W433" i="24"/>
  <c r="T425" i="24"/>
  <c r="T435" i="24" s="1"/>
  <c r="S425" i="24"/>
  <c r="O425" i="24"/>
  <c r="R434" i="24"/>
  <c r="S434" i="24"/>
  <c r="T434" i="24"/>
  <c r="M434" i="24"/>
  <c r="N434" i="24"/>
  <c r="O434" i="24"/>
  <c r="H434" i="24"/>
  <c r="H435" i="24" s="1"/>
  <c r="I434" i="24"/>
  <c r="I435" i="24" s="1"/>
  <c r="J434" i="24"/>
  <c r="J435" i="24" s="1"/>
  <c r="C434" i="24"/>
  <c r="C435" i="24" s="1"/>
  <c r="D434" i="24"/>
  <c r="E434" i="24"/>
  <c r="U433" i="24"/>
  <c r="P433" i="24"/>
  <c r="K433" i="24"/>
  <c r="F433" i="24"/>
  <c r="U432" i="24"/>
  <c r="P432" i="24"/>
  <c r="K432" i="24"/>
  <c r="F432" i="24"/>
  <c r="U431" i="24"/>
  <c r="P431" i="24"/>
  <c r="F431" i="24"/>
  <c r="U430" i="24"/>
  <c r="P430" i="24"/>
  <c r="K430" i="24"/>
  <c r="U429" i="24"/>
  <c r="P429" i="24"/>
  <c r="K429" i="24"/>
  <c r="F429" i="24"/>
  <c r="U428" i="24"/>
  <c r="P428" i="24"/>
  <c r="K428" i="24"/>
  <c r="F428" i="24"/>
  <c r="U427" i="24"/>
  <c r="P427" i="24"/>
  <c r="K427" i="24"/>
  <c r="K425" i="24"/>
  <c r="F425" i="24"/>
  <c r="U424" i="24"/>
  <c r="P424" i="24"/>
  <c r="K424" i="24"/>
  <c r="F424" i="24"/>
  <c r="U423" i="24"/>
  <c r="P423" i="24"/>
  <c r="K423" i="24"/>
  <c r="F423" i="24"/>
  <c r="U422" i="24"/>
  <c r="P422" i="24"/>
  <c r="K422" i="24"/>
  <c r="F422" i="24"/>
  <c r="U421" i="24"/>
  <c r="P421" i="24"/>
  <c r="F421" i="24"/>
  <c r="U420" i="24"/>
  <c r="P420" i="24"/>
  <c r="K420" i="24"/>
  <c r="F420" i="24"/>
  <c r="U419" i="24"/>
  <c r="P419" i="24"/>
  <c r="F419" i="24"/>
  <c r="U418" i="24"/>
  <c r="P418" i="24"/>
  <c r="K418" i="24"/>
  <c r="F418" i="24"/>
  <c r="U417" i="24"/>
  <c r="P417" i="24"/>
  <c r="K417" i="24"/>
  <c r="F417" i="24"/>
  <c r="U416" i="24"/>
  <c r="P416" i="24"/>
  <c r="K416" i="24"/>
  <c r="F416" i="24"/>
  <c r="U415" i="24"/>
  <c r="P415" i="24"/>
  <c r="K415" i="24"/>
  <c r="F415" i="24"/>
  <c r="U414" i="24"/>
  <c r="P414" i="24"/>
  <c r="K414" i="24"/>
  <c r="F414" i="24"/>
  <c r="U413" i="24"/>
  <c r="P413" i="24"/>
  <c r="K413" i="24"/>
  <c r="F413" i="24"/>
  <c r="U412" i="24"/>
  <c r="P412" i="24"/>
  <c r="K412" i="24"/>
  <c r="F412" i="24"/>
  <c r="S404" i="24"/>
  <c r="F390" i="24"/>
  <c r="F402" i="24"/>
  <c r="F401" i="24"/>
  <c r="F400" i="24"/>
  <c r="F399" i="24"/>
  <c r="F398" i="24"/>
  <c r="F397" i="24"/>
  <c r="F393" i="24"/>
  <c r="F392" i="24"/>
  <c r="F391" i="24"/>
  <c r="F389" i="24"/>
  <c r="F388" i="24"/>
  <c r="F387" i="24"/>
  <c r="F386" i="24"/>
  <c r="F385" i="24"/>
  <c r="F384" i="24"/>
  <c r="F383" i="24"/>
  <c r="F382" i="24"/>
  <c r="F381" i="24"/>
  <c r="X399" i="24"/>
  <c r="X400" i="24"/>
  <c r="X401" i="24"/>
  <c r="K331" i="24"/>
  <c r="L331" i="24" s="1"/>
  <c r="M340" i="24"/>
  <c r="U339" i="24"/>
  <c r="V339" i="24" s="1"/>
  <c r="G249" i="24"/>
  <c r="O35" i="26"/>
  <c r="C250" i="24"/>
  <c r="C220" i="24"/>
  <c r="F175" i="24"/>
  <c r="G175" i="24" s="1"/>
  <c r="I181" i="24"/>
  <c r="M181" i="24"/>
  <c r="M190" i="24" s="1"/>
  <c r="H156" i="1"/>
  <c r="H139" i="1"/>
  <c r="H105" i="1"/>
  <c r="AF9" i="23"/>
  <c r="AF8" i="23"/>
  <c r="AF5" i="23"/>
  <c r="AF12" i="23"/>
  <c r="AF16" i="23"/>
  <c r="AD18" i="23"/>
  <c r="J310" i="24"/>
  <c r="N310" i="24"/>
  <c r="F279" i="24"/>
  <c r="G279" i="24" s="1"/>
  <c r="K271" i="24"/>
  <c r="L271" i="24"/>
  <c r="M250" i="24"/>
  <c r="P250" i="24" s="1"/>
  <c r="K178" i="24"/>
  <c r="L178" i="24" s="1"/>
  <c r="D220" i="24"/>
  <c r="H181" i="24"/>
  <c r="H190" i="24" s="1"/>
  <c r="N181" i="24"/>
  <c r="F178" i="24"/>
  <c r="G178" i="24" s="1"/>
  <c r="P178" i="24"/>
  <c r="Q178" i="24" s="1"/>
  <c r="R310" i="24"/>
  <c r="C280" i="24"/>
  <c r="Q331" i="24"/>
  <c r="D310" i="24"/>
  <c r="U301" i="24"/>
  <c r="V301" i="24" s="1"/>
  <c r="E280" i="24"/>
  <c r="P249" i="24"/>
  <c r="Q249" i="24"/>
  <c r="N250" i="24"/>
  <c r="O211" i="24"/>
  <c r="S211" i="24"/>
  <c r="S220" i="24" s="1"/>
  <c r="I152" i="24"/>
  <c r="I161" i="24"/>
  <c r="AG18" i="23"/>
  <c r="P425" i="24"/>
  <c r="R370" i="24"/>
  <c r="K301" i="24"/>
  <c r="L301" i="24" s="1"/>
  <c r="O31" i="26"/>
  <c r="F339" i="24"/>
  <c r="G339" i="24"/>
  <c r="X246" i="24"/>
  <c r="V146" i="24"/>
  <c r="R152" i="24"/>
  <c r="R161" i="24"/>
  <c r="H152" i="24"/>
  <c r="F219" i="24"/>
  <c r="G219" i="24" s="1"/>
  <c r="G220" i="24" s="1"/>
  <c r="C152" i="24"/>
  <c r="F152" i="24" s="1"/>
  <c r="M152" i="24"/>
  <c r="P205" i="24"/>
  <c r="Q205" i="24"/>
  <c r="P175" i="24"/>
  <c r="Q175" i="24"/>
  <c r="K149" i="24"/>
  <c r="L149" i="24"/>
  <c r="P1128" i="30"/>
  <c r="Q1128" i="30" s="1"/>
  <c r="Q1216" i="30"/>
  <c r="P1248" i="30"/>
  <c r="Q1248" i="30"/>
  <c r="O152" i="24"/>
  <c r="S152" i="24"/>
  <c r="P149" i="24"/>
  <c r="Q149" i="24" s="1"/>
  <c r="P1077" i="30"/>
  <c r="Q1077" i="30" s="1"/>
  <c r="R435" i="24"/>
  <c r="O435" i="24"/>
  <c r="O370" i="24"/>
  <c r="N435" i="24"/>
  <c r="P369" i="24"/>
  <c r="Q369" i="24" s="1"/>
  <c r="P208" i="24"/>
  <c r="Q208" i="24" s="1"/>
  <c r="T310" i="24"/>
  <c r="V279" i="24"/>
  <c r="X244" i="24"/>
  <c r="X249" i="24"/>
  <c r="P219" i="24"/>
  <c r="Q219" i="24" s="1"/>
  <c r="S250" i="24"/>
  <c r="F361" i="24"/>
  <c r="E220" i="24"/>
  <c r="T160" i="24"/>
  <c r="J160" i="24"/>
  <c r="C120" i="24"/>
  <c r="I120" i="24"/>
  <c r="I129" i="24" s="1"/>
  <c r="O120" i="24"/>
  <c r="O129" i="24"/>
  <c r="K123" i="24"/>
  <c r="L123" i="24" s="1"/>
  <c r="U128" i="24"/>
  <c r="V128" i="24" s="1"/>
  <c r="V117" i="24"/>
  <c r="W123" i="24"/>
  <c r="X123" i="24" s="1"/>
  <c r="R120" i="24"/>
  <c r="R129" i="24" s="1"/>
  <c r="C128" i="24"/>
  <c r="P114" i="24"/>
  <c r="Q114" i="24" s="1"/>
  <c r="F117" i="24"/>
  <c r="G117" i="24" s="1"/>
  <c r="P123" i="24"/>
  <c r="Q123" i="24" s="1"/>
  <c r="P181" i="24"/>
  <c r="Q181" i="24" s="1"/>
  <c r="M404" i="24"/>
  <c r="D435" i="24"/>
  <c r="P395" i="24"/>
  <c r="Q395" i="24" s="1"/>
  <c r="E370" i="24"/>
  <c r="H370" i="24"/>
  <c r="F331" i="24"/>
  <c r="J211" i="24"/>
  <c r="J220" i="24" s="1"/>
  <c r="N152" i="24"/>
  <c r="N161" i="24" s="1"/>
  <c r="L189" i="24"/>
  <c r="U189" i="24"/>
  <c r="V189" i="24" s="1"/>
  <c r="P1193" i="30"/>
  <c r="Q1193" i="30" s="1"/>
  <c r="Q1202" i="30"/>
  <c r="Q1150" i="30"/>
  <c r="P1243" i="30"/>
  <c r="Q1243" i="30"/>
  <c r="P1271" i="30"/>
  <c r="Q1271" i="30" s="1"/>
  <c r="AL12" i="23"/>
  <c r="AL16" i="23"/>
  <c r="AL8" i="23"/>
  <c r="AL3" i="23"/>
  <c r="P1073" i="30"/>
  <c r="Q1073" i="30" s="1"/>
  <c r="P1151" i="30"/>
  <c r="Q1151" i="30" s="1"/>
  <c r="P942" i="30"/>
  <c r="Q942" i="30"/>
  <c r="P946" i="30"/>
  <c r="Q946" i="30" s="1"/>
  <c r="P974" i="30"/>
  <c r="Q974" i="30" s="1"/>
  <c r="P978" i="30"/>
  <c r="Q978" i="30" s="1"/>
  <c r="P1220" i="30"/>
  <c r="Q1220" i="30"/>
  <c r="P1226" i="30"/>
  <c r="Q1226" i="30"/>
  <c r="Q1091" i="30"/>
  <c r="P959" i="30"/>
  <c r="Q959" i="30"/>
  <c r="Q1158" i="30"/>
  <c r="P1072" i="30"/>
  <c r="Q1072" i="30" s="1"/>
  <c r="P1080" i="30"/>
  <c r="Q1080" i="30" s="1"/>
  <c r="P1086" i="30"/>
  <c r="Q1086" i="30" s="1"/>
  <c r="P1102" i="30"/>
  <c r="Q1102" i="30"/>
  <c r="P1217" i="30"/>
  <c r="Q1217" i="30" s="1"/>
  <c r="P1227" i="30"/>
  <c r="Q1227" i="30"/>
  <c r="Q1235" i="30"/>
  <c r="P1259" i="30"/>
  <c r="Q1259" i="30" s="1"/>
  <c r="P909" i="30"/>
  <c r="Q909" i="30" s="1"/>
  <c r="P913" i="30"/>
  <c r="Q913" i="30" s="1"/>
  <c r="P941" i="30"/>
  <c r="Q941" i="30"/>
  <c r="P945" i="30"/>
  <c r="Q945" i="30"/>
  <c r="P960" i="30"/>
  <c r="Q960" i="30" s="1"/>
  <c r="P975" i="30"/>
  <c r="Q975" i="30"/>
  <c r="P979" i="30"/>
  <c r="Q979" i="30"/>
  <c r="P993" i="30"/>
  <c r="Q993" i="30"/>
  <c r="P1094" i="30"/>
  <c r="Q1094" i="30" s="1"/>
  <c r="P862" i="30"/>
  <c r="Q862" i="30" s="1"/>
  <c r="P866" i="30"/>
  <c r="Q866" i="30"/>
  <c r="P899" i="30"/>
  <c r="Q899" i="30"/>
  <c r="P963" i="30"/>
  <c r="Q963" i="30" s="1"/>
  <c r="P958" i="30"/>
  <c r="Q958" i="30" s="1"/>
  <c r="P1071" i="30"/>
  <c r="Q1071" i="30" s="1"/>
  <c r="P827" i="30"/>
  <c r="Q827" i="30" s="1"/>
  <c r="P831" i="30"/>
  <c r="Q831" i="30" s="1"/>
  <c r="P859" i="30"/>
  <c r="Q859" i="30" s="1"/>
  <c r="P867" i="30"/>
  <c r="Q867" i="30" s="1"/>
  <c r="P878" i="30"/>
  <c r="Q878" i="30" s="1"/>
  <c r="P896" i="30"/>
  <c r="Q896" i="30" s="1"/>
  <c r="P900" i="30"/>
  <c r="Q900" i="30" s="1"/>
  <c r="P930" i="30"/>
  <c r="Q930" i="30" s="1"/>
  <c r="P1260" i="30"/>
  <c r="Q1260" i="30" s="1"/>
  <c r="P1258" i="30"/>
  <c r="Q1258" i="30" s="1"/>
  <c r="P1225" i="30"/>
  <c r="Q1225" i="30" s="1"/>
  <c r="P1164" i="30"/>
  <c r="Q1164" i="30" s="1"/>
  <c r="P1107" i="30"/>
  <c r="Q1107" i="30" s="1"/>
  <c r="P1157" i="30"/>
  <c r="Q1157" i="30" s="1"/>
  <c r="P1194" i="30"/>
  <c r="Q1194" i="30" s="1"/>
  <c r="P1270" i="30"/>
  <c r="Q1270" i="30" s="1"/>
  <c r="P1110" i="30"/>
  <c r="Q1110" i="30" s="1"/>
  <c r="P1147" i="30"/>
  <c r="Q1147" i="30" s="1"/>
  <c r="P1213" i="30"/>
  <c r="Q1213" i="30" s="1"/>
  <c r="P1241" i="30"/>
  <c r="Q1241" i="30" s="1"/>
  <c r="P1244" i="30"/>
  <c r="Q1244" i="30" s="1"/>
  <c r="P877" i="30"/>
  <c r="Q877" i="30" s="1"/>
  <c r="P881" i="30"/>
  <c r="Q881" i="30" s="1"/>
  <c r="P895" i="30"/>
  <c r="Q895" i="30" s="1"/>
  <c r="P898" i="30"/>
  <c r="Q898" i="30" s="1"/>
  <c r="P912" i="30"/>
  <c r="Q912" i="30" s="1"/>
  <c r="P916" i="30"/>
  <c r="Q916" i="30" s="1"/>
  <c r="P926" i="30"/>
  <c r="Q926" i="30" s="1"/>
  <c r="P929" i="30"/>
  <c r="Q929" i="30" s="1"/>
  <c r="P932" i="30"/>
  <c r="Q932" i="30" s="1"/>
  <c r="P962" i="30"/>
  <c r="Q962" i="30" s="1"/>
  <c r="P977" i="30"/>
  <c r="Q977" i="30" s="1"/>
  <c r="P980" i="30"/>
  <c r="Q980" i="30" s="1"/>
  <c r="P985" i="30"/>
  <c r="Q985" i="30" s="1"/>
  <c r="P992" i="30"/>
  <c r="Q992" i="30" s="1"/>
  <c r="P996" i="30"/>
  <c r="Q996" i="30" s="1"/>
  <c r="P1006" i="30"/>
  <c r="Q1006" i="30" s="1"/>
  <c r="P1010" i="30"/>
  <c r="Q1010" i="30" s="1"/>
  <c r="P1018" i="30"/>
  <c r="Q1018" i="30" s="1"/>
  <c r="P1025" i="30"/>
  <c r="Q1025" i="30" s="1"/>
  <c r="P1029" i="30"/>
  <c r="Q1029" i="30" s="1"/>
  <c r="P1039" i="30"/>
  <c r="Q1039" i="30" s="1"/>
  <c r="O1061" i="30"/>
  <c r="P846" i="30"/>
  <c r="Q846" i="30"/>
  <c r="P850" i="30"/>
  <c r="Q850" i="30"/>
  <c r="P883" i="30"/>
  <c r="Q883" i="30"/>
  <c r="P894" i="30"/>
  <c r="Q894" i="30" s="1"/>
  <c r="P928" i="30"/>
  <c r="Q928" i="30"/>
  <c r="P964" i="30"/>
  <c r="Q964" i="30"/>
  <c r="P897" i="30"/>
  <c r="Q897" i="30"/>
  <c r="P911" i="30"/>
  <c r="Q911" i="30" s="1"/>
  <c r="P919" i="30"/>
  <c r="Q919" i="30" s="1"/>
  <c r="P1041" i="30"/>
  <c r="Q1041" i="30"/>
  <c r="P833" i="30"/>
  <c r="Q833" i="30"/>
  <c r="P845" i="30"/>
  <c r="Q845" i="30"/>
  <c r="P849" i="30"/>
  <c r="Q849" i="30" s="1"/>
  <c r="P861" i="30"/>
  <c r="Q861" i="30" s="1"/>
  <c r="P865" i="30"/>
  <c r="Q865" i="30" s="1"/>
  <c r="P882" i="30"/>
  <c r="Q882" i="30"/>
  <c r="P910" i="30"/>
  <c r="Q910" i="30"/>
  <c r="P925" i="30"/>
  <c r="Q925" i="30"/>
  <c r="P947" i="30"/>
  <c r="Q947" i="30" s="1"/>
  <c r="P976" i="30"/>
  <c r="Q976" i="30"/>
  <c r="Q984" i="30"/>
  <c r="P990" i="30"/>
  <c r="Q990" i="30"/>
  <c r="P995" i="30"/>
  <c r="Q995" i="30"/>
  <c r="P997" i="30"/>
  <c r="Q997" i="30" s="1"/>
  <c r="P828" i="30"/>
  <c r="Q828" i="30" s="1"/>
  <c r="P832" i="30"/>
  <c r="Q832" i="30" s="1"/>
  <c r="P844" i="30"/>
  <c r="Q844" i="30"/>
  <c r="P848" i="30"/>
  <c r="Q848" i="30"/>
  <c r="P860" i="30"/>
  <c r="Q860" i="30" s="1"/>
  <c r="P864" i="30"/>
  <c r="Q864" i="30" s="1"/>
  <c r="P879" i="30"/>
  <c r="Q879" i="30" s="1"/>
  <c r="P915" i="30"/>
  <c r="Q915" i="30"/>
  <c r="P944" i="30"/>
  <c r="Q944" i="30"/>
  <c r="P981" i="30"/>
  <c r="Q981" i="30"/>
  <c r="P998" i="30"/>
  <c r="Q998" i="30" s="1"/>
  <c r="Q892" i="30"/>
  <c r="P957" i="30"/>
  <c r="Q957" i="30"/>
  <c r="P1009" i="30"/>
  <c r="Q1009" i="30"/>
  <c r="P1013" i="30"/>
  <c r="Q1013" i="30" s="1"/>
  <c r="P1026" i="30"/>
  <c r="Q1026" i="30"/>
  <c r="P1030" i="30"/>
  <c r="Q1030" i="30"/>
  <c r="P1007" i="30"/>
  <c r="Q1007" i="30" s="1"/>
  <c r="P1011" i="30"/>
  <c r="Q1011" i="30" s="1"/>
  <c r="P1024" i="30"/>
  <c r="Q1024" i="30" s="1"/>
  <c r="P1028" i="30"/>
  <c r="Q1028" i="30"/>
  <c r="P1040" i="30"/>
  <c r="Q1040" i="30"/>
  <c r="C129" i="24"/>
  <c r="T190" i="24"/>
  <c r="O404" i="24"/>
  <c r="P403" i="24"/>
  <c r="Q403" i="24" s="1"/>
  <c r="U434" i="24"/>
  <c r="U370" i="24"/>
  <c r="I280" i="24"/>
  <c r="P1234" i="30"/>
  <c r="Q1234" i="30" s="1"/>
  <c r="P1261" i="30"/>
  <c r="Q1261" i="30" s="1"/>
  <c r="E120" i="24"/>
  <c r="M120" i="24"/>
  <c r="M129" i="24" s="1"/>
  <c r="E128" i="24"/>
  <c r="F128" i="24" s="1"/>
  <c r="G128" i="24" s="1"/>
  <c r="N128" i="24"/>
  <c r="P128" i="24"/>
  <c r="Q128" i="24" s="1"/>
  <c r="K117" i="24"/>
  <c r="L117" i="24" s="1"/>
  <c r="L128" i="24"/>
  <c r="D120" i="24"/>
  <c r="D129" i="24" s="1"/>
  <c r="H120" i="24"/>
  <c r="P117" i="24"/>
  <c r="Q117" i="24" s="1"/>
  <c r="D128" i="24"/>
  <c r="H98" i="24"/>
  <c r="C98" i="24"/>
  <c r="M98" i="24"/>
  <c r="F83" i="24"/>
  <c r="G83" i="24" s="1"/>
  <c r="W86" i="24"/>
  <c r="X86" i="24" s="1"/>
  <c r="U92" i="24"/>
  <c r="V92" i="24" s="1"/>
  <c r="O97" i="24"/>
  <c r="P97" i="24" s="1"/>
  <c r="Q97" i="24" s="1"/>
  <c r="K83" i="24"/>
  <c r="L83" i="24" s="1"/>
  <c r="W83" i="24"/>
  <c r="X83" i="24" s="1"/>
  <c r="X89" i="24" s="1"/>
  <c r="P1172" i="30"/>
  <c r="Q1172" i="30" s="1"/>
  <c r="P1201" i="30"/>
  <c r="Q1201" i="30" s="1"/>
  <c r="P1212" i="30"/>
  <c r="Q1212" i="30" s="1"/>
  <c r="P834" i="30"/>
  <c r="Q834" i="30" s="1"/>
  <c r="P641" i="30"/>
  <c r="Q641" i="30" s="1"/>
  <c r="P645" i="30"/>
  <c r="Q645" i="30" s="1"/>
  <c r="P659" i="30"/>
  <c r="Q659" i="30" s="1"/>
  <c r="P663" i="30"/>
  <c r="Q663" i="30" s="1"/>
  <c r="P682" i="30"/>
  <c r="Q682" i="30" s="1"/>
  <c r="P686" i="30"/>
  <c r="Q686" i="30" s="1"/>
  <c r="P710" i="30"/>
  <c r="Q710" i="30" s="1"/>
  <c r="O1059" i="30"/>
  <c r="P600" i="30"/>
  <c r="Q600" i="30" s="1"/>
  <c r="P632" i="30"/>
  <c r="Q632" i="30" s="1"/>
  <c r="P647" i="30"/>
  <c r="Q647" i="30" s="1"/>
  <c r="P1209" i="30"/>
  <c r="Q1209" i="30" s="1"/>
  <c r="P1012" i="30"/>
  <c r="Q1012" i="30"/>
  <c r="P630" i="30"/>
  <c r="Q630" i="30"/>
  <c r="O806" i="30"/>
  <c r="O807" i="30"/>
  <c r="P807" i="30" s="1"/>
  <c r="Q807" i="30" s="1"/>
  <c r="O808" i="30"/>
  <c r="P808" i="30"/>
  <c r="O809" i="30"/>
  <c r="P809" i="30"/>
  <c r="Q809" i="30" s="1"/>
  <c r="O810" i="30"/>
  <c r="P810" i="30" s="1"/>
  <c r="Q810" i="30" s="1"/>
  <c r="O811" i="30"/>
  <c r="P811" i="30" s="1"/>
  <c r="P714" i="30"/>
  <c r="Q714" i="30"/>
  <c r="P718" i="30"/>
  <c r="Q718" i="30" s="1"/>
  <c r="P722" i="30"/>
  <c r="Q722" i="30"/>
  <c r="P633" i="30"/>
  <c r="Q633" i="30"/>
  <c r="P654" i="30"/>
  <c r="Q654" i="30"/>
  <c r="P664" i="30"/>
  <c r="Q664" i="30"/>
  <c r="P679" i="30"/>
  <c r="Q679" i="30" s="1"/>
  <c r="P719" i="30"/>
  <c r="Q719" i="30"/>
  <c r="P723" i="30"/>
  <c r="Q723" i="30" s="1"/>
  <c r="P748" i="30"/>
  <c r="Q748" i="30"/>
  <c r="P752" i="30"/>
  <c r="Q752" i="30"/>
  <c r="P756" i="30"/>
  <c r="Q756" i="30"/>
  <c r="P762" i="30"/>
  <c r="Q762" i="30"/>
  <c r="P766" i="30"/>
  <c r="Q766" i="30" s="1"/>
  <c r="P770" i="30"/>
  <c r="Q770" i="30"/>
  <c r="P774" i="30"/>
  <c r="Q774" i="30" s="1"/>
  <c r="P781" i="30"/>
  <c r="Q781" i="30"/>
  <c r="P785" i="30"/>
  <c r="Q785" i="30"/>
  <c r="P789" i="30"/>
  <c r="Q789" i="30"/>
  <c r="P793" i="30"/>
  <c r="Q793" i="30"/>
  <c r="P799" i="30"/>
  <c r="Q799" i="30" s="1"/>
  <c r="P601" i="30"/>
  <c r="Q601" i="30"/>
  <c r="P631" i="30"/>
  <c r="Q631" i="30" s="1"/>
  <c r="P635" i="30"/>
  <c r="Q635" i="30"/>
  <c r="P661" i="30"/>
  <c r="Q661" i="30"/>
  <c r="P676" i="30"/>
  <c r="Q676" i="30"/>
  <c r="P694" i="30"/>
  <c r="Q694" i="30"/>
  <c r="P698" i="30"/>
  <c r="Q698" i="30" s="1"/>
  <c r="P702" i="30"/>
  <c r="Q702" i="30"/>
  <c r="P706" i="30"/>
  <c r="Q706" i="30" s="1"/>
  <c r="P731" i="30"/>
  <c r="Q731" i="30"/>
  <c r="P735" i="30"/>
  <c r="Q735" i="30"/>
  <c r="P739" i="30"/>
  <c r="Q739" i="30"/>
  <c r="P745" i="30"/>
  <c r="Q745" i="30"/>
  <c r="P800" i="30"/>
  <c r="Q800" i="30" s="1"/>
  <c r="O812" i="30"/>
  <c r="P812" i="30"/>
  <c r="Q812" i="30" s="1"/>
  <c r="O813" i="30"/>
  <c r="P813" i="30" s="1"/>
  <c r="Q813" i="30" s="1"/>
  <c r="O814" i="30"/>
  <c r="O815" i="30"/>
  <c r="O816" i="30"/>
  <c r="P816" i="30" s="1"/>
  <c r="Q816" i="30" s="1"/>
  <c r="O817" i="30"/>
  <c r="P817" i="30" s="1"/>
  <c r="Q817" i="30" s="1"/>
  <c r="O818" i="30"/>
  <c r="P818" i="30" s="1"/>
  <c r="Q818" i="30" s="1"/>
  <c r="P576" i="30"/>
  <c r="Q576" i="30" s="1"/>
  <c r="P580" i="30"/>
  <c r="Q580" i="30" s="1"/>
  <c r="P584" i="30"/>
  <c r="Q584" i="30" s="1"/>
  <c r="P589" i="30"/>
  <c r="Q589" i="30" s="1"/>
  <c r="P593" i="30"/>
  <c r="Q593" i="30" s="1"/>
  <c r="P597" i="30"/>
  <c r="Q597" i="30" s="1"/>
  <c r="P608" i="30"/>
  <c r="Q608" i="30" s="1"/>
  <c r="P612" i="30"/>
  <c r="Q612" i="30" s="1"/>
  <c r="P616" i="30"/>
  <c r="Q616" i="30" s="1"/>
  <c r="P619" i="30"/>
  <c r="Q619" i="30" s="1"/>
  <c r="P626" i="30"/>
  <c r="Q626" i="30" s="1"/>
  <c r="P634" i="30"/>
  <c r="Q634" i="30" s="1"/>
  <c r="P643" i="30"/>
  <c r="Q643" i="30" s="1"/>
  <c r="P652" i="30"/>
  <c r="Q652" i="30" s="1"/>
  <c r="P662" i="30"/>
  <c r="Q662" i="30" s="1"/>
  <c r="P668" i="30"/>
  <c r="Q668" i="30" s="1"/>
  <c r="P683" i="30"/>
  <c r="Q683" i="30" s="1"/>
  <c r="P687" i="30"/>
  <c r="Q687" i="30" s="1"/>
  <c r="P693" i="30"/>
  <c r="Q693" i="30" s="1"/>
  <c r="P697" i="30"/>
  <c r="Q697" i="30" s="1"/>
  <c r="P701" i="30"/>
  <c r="Q701" i="30" s="1"/>
  <c r="P705" i="30"/>
  <c r="Q705" i="30" s="1"/>
  <c r="P711" i="30"/>
  <c r="Q711" i="30" s="1"/>
  <c r="P715" i="30"/>
  <c r="Q715" i="30" s="1"/>
  <c r="P730" i="30"/>
  <c r="Q730" i="30" s="1"/>
  <c r="P734" i="30"/>
  <c r="Q734" i="30" s="1"/>
  <c r="P738" i="30"/>
  <c r="Q738" i="30" s="1"/>
  <c r="P747" i="30"/>
  <c r="Q747" i="30" s="1"/>
  <c r="P751" i="30"/>
  <c r="Q751" i="30" s="1"/>
  <c r="P755" i="30"/>
  <c r="Q755" i="30" s="1"/>
  <c r="P780" i="30"/>
  <c r="Q780" i="30" s="1"/>
  <c r="P784" i="30"/>
  <c r="Q784" i="30" s="1"/>
  <c r="P788" i="30"/>
  <c r="Q788" i="30" s="1"/>
  <c r="P792" i="30"/>
  <c r="Q792" i="30" s="1"/>
  <c r="P649" i="30"/>
  <c r="Q649" i="30" s="1"/>
  <c r="P660" i="30"/>
  <c r="Q660" i="30" s="1"/>
  <c r="P665" i="30"/>
  <c r="Q665" i="30" s="1"/>
  <c r="P671" i="30"/>
  <c r="Q671" i="30" s="1"/>
  <c r="P677" i="30"/>
  <c r="Q677" i="30" s="1"/>
  <c r="P680" i="30"/>
  <c r="Q680" i="30" s="1"/>
  <c r="P573" i="30"/>
  <c r="Q573" i="30" s="1"/>
  <c r="P577" i="30"/>
  <c r="Q577" i="30" s="1"/>
  <c r="P581" i="30"/>
  <c r="Q581" i="30" s="1"/>
  <c r="P592" i="30"/>
  <c r="Q592" i="30" s="1"/>
  <c r="P596" i="30"/>
  <c r="Q596" i="30" s="1"/>
  <c r="P606" i="30"/>
  <c r="Q606" i="30" s="1"/>
  <c r="P609" i="30"/>
  <c r="Q609" i="30" s="1"/>
  <c r="P613" i="30"/>
  <c r="Q613" i="30" s="1"/>
  <c r="P617" i="30"/>
  <c r="Q617" i="30" s="1"/>
  <c r="P625" i="30"/>
  <c r="Q625" i="30" s="1"/>
  <c r="P629" i="30"/>
  <c r="Q629" i="30" s="1"/>
  <c r="P636" i="30"/>
  <c r="Q636" i="30" s="1"/>
  <c r="P644" i="30"/>
  <c r="Q644" i="30" s="1"/>
  <c r="P651" i="30"/>
  <c r="Q651" i="30" s="1"/>
  <c r="P653" i="30"/>
  <c r="Q653" i="30" s="1"/>
  <c r="P666" i="30"/>
  <c r="Q666" i="30" s="1"/>
  <c r="P669" i="30"/>
  <c r="Q669" i="30" s="1"/>
  <c r="P678" i="30"/>
  <c r="Q678" i="30" s="1"/>
  <c r="P681" i="30"/>
  <c r="Q681" i="30" s="1"/>
  <c r="P685" i="30"/>
  <c r="Q685" i="30" s="1"/>
  <c r="P689" i="30"/>
  <c r="Q689" i="30" s="1"/>
  <c r="P695" i="30"/>
  <c r="Q695" i="30" s="1"/>
  <c r="P699" i="30"/>
  <c r="Q699" i="30" s="1"/>
  <c r="P703" i="30"/>
  <c r="Q703" i="30" s="1"/>
  <c r="P713" i="30"/>
  <c r="Q713" i="30" s="1"/>
  <c r="P717" i="30"/>
  <c r="Q717" i="30" s="1"/>
  <c r="P728" i="30"/>
  <c r="Q728" i="30" s="1"/>
  <c r="P732" i="30"/>
  <c r="Q732" i="30" s="1"/>
  <c r="P736" i="30"/>
  <c r="Q736" i="30" s="1"/>
  <c r="P740" i="30"/>
  <c r="Q740" i="30" s="1"/>
  <c r="P763" i="30"/>
  <c r="Q763" i="30" s="1"/>
  <c r="P767" i="30"/>
  <c r="Q767" i="30" s="1"/>
  <c r="P771" i="30"/>
  <c r="Q771" i="30" s="1"/>
  <c r="P775" i="30"/>
  <c r="Q775" i="30" s="1"/>
  <c r="P575" i="30"/>
  <c r="Q575" i="30" s="1"/>
  <c r="P579" i="30"/>
  <c r="Q579" i="30" s="1"/>
  <c r="P583" i="30"/>
  <c r="Q583" i="30" s="1"/>
  <c r="P591" i="30"/>
  <c r="Q591" i="30" s="1"/>
  <c r="P595" i="30"/>
  <c r="Q595" i="30" s="1"/>
  <c r="P599" i="30"/>
  <c r="Q599" i="30" s="1"/>
  <c r="P607" i="30"/>
  <c r="Q607" i="30" s="1"/>
  <c r="P611" i="30"/>
  <c r="Q611" i="30" s="1"/>
  <c r="P615" i="30"/>
  <c r="Q615" i="30" s="1"/>
  <c r="P624" i="30"/>
  <c r="Q624" i="30" s="1"/>
  <c r="P628" i="30"/>
  <c r="Q628" i="30" s="1"/>
  <c r="P642" i="30"/>
  <c r="Q642" i="30" s="1"/>
  <c r="P646" i="30"/>
  <c r="Q646" i="30" s="1"/>
  <c r="P650" i="30"/>
  <c r="Q650" i="30" s="1"/>
  <c r="P574" i="30"/>
  <c r="Q574" i="30" s="1"/>
  <c r="P578" i="30"/>
  <c r="Q578" i="30" s="1"/>
  <c r="P582" i="30"/>
  <c r="Q582" i="30" s="1"/>
  <c r="O820" i="30"/>
  <c r="P820" i="30" s="1"/>
  <c r="Q820" i="30" s="1"/>
  <c r="P590" i="30"/>
  <c r="Q590" i="30" s="1"/>
  <c r="P594" i="30"/>
  <c r="Q594" i="30"/>
  <c r="P598" i="30"/>
  <c r="Q598" i="30"/>
  <c r="P602" i="30"/>
  <c r="Q602" i="30"/>
  <c r="P610" i="30"/>
  <c r="Q610" i="30"/>
  <c r="P614" i="30"/>
  <c r="Q614" i="30" s="1"/>
  <c r="P618" i="30"/>
  <c r="Q618" i="30"/>
  <c r="P627" i="30"/>
  <c r="Q627" i="30" s="1"/>
  <c r="P667" i="30"/>
  <c r="Q667" i="30"/>
  <c r="O819" i="30"/>
  <c r="P819" i="30"/>
  <c r="Q819" i="30" s="1"/>
  <c r="P585" i="30"/>
  <c r="Q585" i="30"/>
  <c r="P684" i="30"/>
  <c r="Q684" i="30" s="1"/>
  <c r="P688" i="30"/>
  <c r="Q688" i="30" s="1"/>
  <c r="P696" i="30"/>
  <c r="Q696" i="30" s="1"/>
  <c r="P700" i="30"/>
  <c r="Q700" i="30"/>
  <c r="P704" i="30"/>
  <c r="Q704" i="30" s="1"/>
  <c r="P712" i="30"/>
  <c r="Q712" i="30" s="1"/>
  <c r="P716" i="30"/>
  <c r="Q716" i="30" s="1"/>
  <c r="P720" i="30"/>
  <c r="Q720" i="30"/>
  <c r="P729" i="30"/>
  <c r="Q729" i="30" s="1"/>
  <c r="P733" i="30"/>
  <c r="Q733" i="30" s="1"/>
  <c r="P737" i="30"/>
  <c r="Q737" i="30" s="1"/>
  <c r="P741" i="30"/>
  <c r="Q741" i="30" s="1"/>
  <c r="P749" i="30"/>
  <c r="Q749" i="30" s="1"/>
  <c r="P753" i="30"/>
  <c r="Q753" i="30" s="1"/>
  <c r="P757" i="30"/>
  <c r="Q757" i="30" s="1"/>
  <c r="P765" i="30"/>
  <c r="Q765" i="30"/>
  <c r="P769" i="30"/>
  <c r="Q769" i="30" s="1"/>
  <c r="P773" i="30"/>
  <c r="Q773" i="30" s="1"/>
  <c r="P782" i="30"/>
  <c r="Q782" i="30" s="1"/>
  <c r="P786" i="30"/>
  <c r="Q786" i="30"/>
  <c r="P790" i="30"/>
  <c r="Q790" i="30" s="1"/>
  <c r="P798" i="30"/>
  <c r="Q798" i="30" s="1"/>
  <c r="AV6" i="23"/>
  <c r="I18" i="12"/>
  <c r="I27" i="12" s="1"/>
  <c r="J18" i="12"/>
  <c r="J27" i="12" s="1"/>
  <c r="N20" i="12"/>
  <c r="H10" i="19"/>
  <c r="AU8" i="23"/>
  <c r="G226" i="1"/>
  <c r="AU6" i="23"/>
  <c r="AU10" i="23"/>
  <c r="AV7" i="23"/>
  <c r="AU9" i="23"/>
  <c r="AU16" i="23"/>
  <c r="AU15" i="23"/>
  <c r="AU7" i="23"/>
  <c r="AU5" i="23"/>
  <c r="AU11" i="23"/>
  <c r="C4" i="6"/>
  <c r="G53" i="10"/>
  <c r="P1125" i="30"/>
  <c r="Q1125" i="30"/>
  <c r="P1136" i="30"/>
  <c r="Q1136" i="30" s="1"/>
  <c r="P1140" i="30"/>
  <c r="Q1140" i="30"/>
  <c r="P1266" i="30"/>
  <c r="Q1266" i="30" s="1"/>
  <c r="P829" i="30"/>
  <c r="Q829" i="30"/>
  <c r="P783" i="30"/>
  <c r="Q783" i="30" s="1"/>
  <c r="P333" i="30"/>
  <c r="Q333" i="30"/>
  <c r="P337" i="30"/>
  <c r="Q337" i="30" s="1"/>
  <c r="P341" i="30"/>
  <c r="Q341" i="30" s="1"/>
  <c r="P348" i="30"/>
  <c r="Q348" i="30" s="1"/>
  <c r="P352" i="30"/>
  <c r="Q352" i="30"/>
  <c r="P357" i="30"/>
  <c r="Q357" i="30" s="1"/>
  <c r="P361" i="30"/>
  <c r="Q361" i="30" s="1"/>
  <c r="P406" i="30"/>
  <c r="Q406" i="30" s="1"/>
  <c r="P414" i="30"/>
  <c r="Q414" i="30" s="1"/>
  <c r="P452" i="30"/>
  <c r="Q452" i="30" s="1"/>
  <c r="P495" i="30"/>
  <c r="Q495" i="30"/>
  <c r="P534" i="30"/>
  <c r="Q534" i="30" s="1"/>
  <c r="P931" i="30"/>
  <c r="Q931" i="30" s="1"/>
  <c r="P1090" i="30"/>
  <c r="Q1090" i="30" s="1"/>
  <c r="P1101" i="30"/>
  <c r="Q1101" i="30" s="1"/>
  <c r="P1105" i="30"/>
  <c r="Q1105" i="30"/>
  <c r="P1109" i="30"/>
  <c r="Q1109" i="30" s="1"/>
  <c r="P830" i="30"/>
  <c r="Q830" i="30"/>
  <c r="P378" i="30"/>
  <c r="Q378" i="30" s="1"/>
  <c r="P396" i="30"/>
  <c r="Q396" i="30" s="1"/>
  <c r="P427" i="30"/>
  <c r="Q427" i="30" s="1"/>
  <c r="P435" i="30"/>
  <c r="Q435" i="30"/>
  <c r="P470" i="30"/>
  <c r="Q470" i="30" s="1"/>
  <c r="P543" i="30"/>
  <c r="Q543" i="30"/>
  <c r="P969" i="30"/>
  <c r="Q969" i="30"/>
  <c r="P746" i="30"/>
  <c r="Q746" i="30" s="1"/>
  <c r="P758" i="30"/>
  <c r="Q758" i="30"/>
  <c r="P289" i="30"/>
  <c r="Q289" i="30" s="1"/>
  <c r="P815" i="30"/>
  <c r="Q815" i="30" s="1"/>
  <c r="P1108" i="30"/>
  <c r="Q1108" i="30" s="1"/>
  <c r="P1095" i="30"/>
  <c r="Q1095" i="30" s="1"/>
  <c r="P1096" i="30"/>
  <c r="Q1096" i="30" s="1"/>
  <c r="P1148" i="30"/>
  <c r="Q1148" i="30"/>
  <c r="P1152" i="30"/>
  <c r="Q1152" i="30"/>
  <c r="P1153" i="30"/>
  <c r="Q1153" i="30" s="1"/>
  <c r="P1078" i="30"/>
  <c r="Q1078" i="30" s="1"/>
  <c r="P1079" i="30"/>
  <c r="Q1079" i="30" s="1"/>
  <c r="P1089" i="30"/>
  <c r="Q1089" i="30"/>
  <c r="P1088" i="30"/>
  <c r="Q1088" i="30" s="1"/>
  <c r="P1195" i="30"/>
  <c r="Q1195" i="30"/>
  <c r="P1196" i="30"/>
  <c r="Q1196" i="30" s="1"/>
  <c r="P1210" i="30"/>
  <c r="Q1210" i="30" s="1"/>
  <c r="P1211" i="30"/>
  <c r="Q1211" i="30" s="1"/>
  <c r="P1229" i="30"/>
  <c r="Q1229" i="30"/>
  <c r="P1228" i="30"/>
  <c r="Q1228" i="30" s="1"/>
  <c r="P1233" i="30"/>
  <c r="Q1233" i="30" s="1"/>
  <c r="P1232" i="30"/>
  <c r="Q1232" i="30" s="1"/>
  <c r="P1264" i="30"/>
  <c r="Q1264" i="30"/>
  <c r="P1265" i="30"/>
  <c r="Q1265" i="30" s="1"/>
  <c r="P1111" i="30"/>
  <c r="Q1111" i="30" s="1"/>
  <c r="P1112" i="30"/>
  <c r="Q1112" i="30" s="1"/>
  <c r="P1119" i="30"/>
  <c r="Q1119" i="30" s="1"/>
  <c r="P1118" i="30"/>
  <c r="Q1118" i="30" s="1"/>
  <c r="P1168" i="30"/>
  <c r="Q1168" i="30" s="1"/>
  <c r="P1169" i="30"/>
  <c r="Q1169" i="30" s="1"/>
  <c r="P721" i="30"/>
  <c r="Q721" i="30"/>
  <c r="P1074" i="30"/>
  <c r="Q1074" i="30" s="1"/>
  <c r="O1052" i="30"/>
  <c r="O1056" i="30"/>
  <c r="P750" i="30"/>
  <c r="Q750" i="30" s="1"/>
  <c r="P791" i="30"/>
  <c r="Q791" i="30"/>
  <c r="P328" i="30"/>
  <c r="Q328" i="30" s="1"/>
  <c r="P367" i="30"/>
  <c r="Q367" i="30" s="1"/>
  <c r="P371" i="30"/>
  <c r="Q371" i="30" s="1"/>
  <c r="P375" i="30"/>
  <c r="Q375" i="30"/>
  <c r="P399" i="30"/>
  <c r="Q399" i="30" s="1"/>
  <c r="P409" i="30"/>
  <c r="Q409" i="30"/>
  <c r="P424" i="30"/>
  <c r="Q424" i="30" s="1"/>
  <c r="P432" i="30"/>
  <c r="Q432" i="30" s="1"/>
  <c r="P436" i="30"/>
  <c r="Q436" i="30" s="1"/>
  <c r="P443" i="30"/>
  <c r="Q443" i="30"/>
  <c r="P455" i="30"/>
  <c r="Q455" i="30" s="1"/>
  <c r="P463" i="30"/>
  <c r="Q463" i="30"/>
  <c r="P473" i="30"/>
  <c r="Q473" i="30" s="1"/>
  <c r="P492" i="30"/>
  <c r="Q492" i="30"/>
  <c r="P507" i="30"/>
  <c r="Q507" i="30" s="1"/>
  <c r="P515" i="30"/>
  <c r="Q515" i="30"/>
  <c r="P523" i="30"/>
  <c r="Q523" i="30" s="1"/>
  <c r="P535" i="30"/>
  <c r="Q535" i="30" s="1"/>
  <c r="P637" i="30"/>
  <c r="Q637" i="30" s="1"/>
  <c r="P1163" i="30"/>
  <c r="Q1163" i="30"/>
  <c r="P1200" i="30"/>
  <c r="Q1200" i="30" s="1"/>
  <c r="P1247" i="30"/>
  <c r="Q1247" i="30" s="1"/>
  <c r="P1257" i="30"/>
  <c r="Q1257" i="30" s="1"/>
  <c r="P994" i="30"/>
  <c r="Q994" i="30" s="1"/>
  <c r="P1002" i="30"/>
  <c r="Q1002" i="30" s="1"/>
  <c r="P1008" i="30"/>
  <c r="Q1008" i="30"/>
  <c r="P1023" i="30"/>
  <c r="Q1023" i="30"/>
  <c r="P1027" i="30"/>
  <c r="Q1027" i="30" s="1"/>
  <c r="P658" i="30"/>
  <c r="Q658" i="30" s="1"/>
  <c r="P768" i="30"/>
  <c r="Q768" i="30" s="1"/>
  <c r="P311" i="30"/>
  <c r="Q311" i="30"/>
  <c r="P315" i="30"/>
  <c r="Q315" i="30" s="1"/>
  <c r="P319" i="30"/>
  <c r="Q319" i="30"/>
  <c r="P372" i="30"/>
  <c r="Q372" i="30" s="1"/>
  <c r="P376" i="30"/>
  <c r="Q376" i="30" s="1"/>
  <c r="P387" i="30"/>
  <c r="Q387" i="30" s="1"/>
  <c r="P391" i="30"/>
  <c r="Q391" i="30"/>
  <c r="P395" i="30"/>
  <c r="Q395" i="30" s="1"/>
  <c r="P405" i="30"/>
  <c r="Q405" i="30"/>
  <c r="P411" i="30"/>
  <c r="Q411" i="30" s="1"/>
  <c r="P415" i="30"/>
  <c r="Q415" i="30"/>
  <c r="P430" i="30"/>
  <c r="Q430" i="30" s="1"/>
  <c r="P438" i="30"/>
  <c r="Q438" i="30"/>
  <c r="P453" i="30"/>
  <c r="Q453" i="30" s="1"/>
  <c r="P457" i="30"/>
  <c r="Q457" i="30" s="1"/>
  <c r="P469" i="30"/>
  <c r="Q469" i="30" s="1"/>
  <c r="P475" i="30"/>
  <c r="Q475" i="30"/>
  <c r="P486" i="30"/>
  <c r="Q486" i="30" s="1"/>
  <c r="P490" i="30"/>
  <c r="Q490" i="30" s="1"/>
  <c r="P521" i="30"/>
  <c r="Q521" i="30" s="1"/>
  <c r="P525" i="30"/>
  <c r="Q525" i="30" s="1"/>
  <c r="P540" i="30"/>
  <c r="Q540" i="30" s="1"/>
  <c r="P544" i="30"/>
  <c r="Q544" i="30"/>
  <c r="P1142" i="30"/>
  <c r="Q1142" i="30" s="1"/>
  <c r="P1143" i="30"/>
  <c r="Q1143" i="30"/>
  <c r="P1120" i="30"/>
  <c r="Q1120" i="30"/>
  <c r="P1121" i="30"/>
  <c r="Q1121" i="30" s="1"/>
  <c r="P1173" i="30"/>
  <c r="Q1173" i="30"/>
  <c r="P1174" i="30"/>
  <c r="Q1174" i="30" s="1"/>
  <c r="P1179" i="30"/>
  <c r="Q1179" i="30" s="1"/>
  <c r="P1184" i="30"/>
  <c r="Q1184" i="30" s="1"/>
  <c r="P1188" i="30"/>
  <c r="Q1188" i="30"/>
  <c r="P1187" i="30"/>
  <c r="Q1187" i="30" s="1"/>
  <c r="P1138" i="30"/>
  <c r="Q1138" i="30" s="1"/>
  <c r="P1139" i="30"/>
  <c r="Q1139" i="30" s="1"/>
  <c r="P1076" i="30"/>
  <c r="Q1076" i="30" s="1"/>
  <c r="P1075" i="30"/>
  <c r="Q1075" i="30"/>
  <c r="Q808" i="30"/>
  <c r="R808" i="30" s="1"/>
  <c r="P1126" i="30"/>
  <c r="Q1126" i="30" s="1"/>
  <c r="P1127" i="30"/>
  <c r="Q1127" i="30" s="1"/>
  <c r="P1092" i="30"/>
  <c r="Q1092" i="30"/>
  <c r="P428" i="30"/>
  <c r="Q428" i="30" s="1"/>
  <c r="P444" i="30"/>
  <c r="Q444" i="30"/>
  <c r="P487" i="30"/>
  <c r="Q487" i="30" s="1"/>
  <c r="P496" i="30"/>
  <c r="Q496" i="30"/>
  <c r="P508" i="30"/>
  <c r="Q508" i="30" s="1"/>
  <c r="P526" i="30"/>
  <c r="Q526" i="30" s="1"/>
  <c r="O550" i="30"/>
  <c r="P550" i="30" s="1"/>
  <c r="O551" i="30"/>
  <c r="P551" i="30"/>
  <c r="O553" i="30"/>
  <c r="P553" i="30" s="1"/>
  <c r="Q553" i="30" s="1"/>
  <c r="O555" i="30"/>
  <c r="P555" i="30" s="1"/>
  <c r="Q555" i="30" s="1"/>
  <c r="O557" i="30"/>
  <c r="O559" i="30"/>
  <c r="P560" i="30" s="1"/>
  <c r="Q560" i="30" s="1"/>
  <c r="O561" i="30"/>
  <c r="P293" i="30"/>
  <c r="Q293" i="30"/>
  <c r="P296" i="30"/>
  <c r="Q296" i="30" s="1"/>
  <c r="P300" i="30"/>
  <c r="Q300" i="30" s="1"/>
  <c r="P308" i="30"/>
  <c r="Q308" i="30" s="1"/>
  <c r="P312" i="30"/>
  <c r="Q312" i="30"/>
  <c r="P316" i="30"/>
  <c r="Q316" i="30" s="1"/>
  <c r="P320" i="30"/>
  <c r="Q320" i="30" s="1"/>
  <c r="P350" i="30"/>
  <c r="Q350" i="30" s="1"/>
  <c r="P354" i="30"/>
  <c r="Q354" i="30" s="1"/>
  <c r="P358" i="30"/>
  <c r="Q358" i="30" s="1"/>
  <c r="P368" i="30"/>
  <c r="Q368" i="30"/>
  <c r="P379" i="30"/>
  <c r="Q379" i="30" s="1"/>
  <c r="P385" i="30"/>
  <c r="Q385" i="30"/>
  <c r="P393" i="30"/>
  <c r="Q393" i="30" s="1"/>
  <c r="P417" i="30"/>
  <c r="Q417" i="30" s="1"/>
  <c r="P426" i="30"/>
  <c r="Q426" i="30" s="1"/>
  <c r="P445" i="30"/>
  <c r="Q445" i="30"/>
  <c r="P449" i="30"/>
  <c r="Q449" i="30" s="1"/>
  <c r="P467" i="30"/>
  <c r="Q467" i="30"/>
  <c r="P482" i="30"/>
  <c r="Q482" i="30" s="1"/>
  <c r="P488" i="30"/>
  <c r="Q488" i="30" s="1"/>
  <c r="P494" i="30"/>
  <c r="Q494" i="30" s="1"/>
  <c r="P503" i="30"/>
  <c r="Q503" i="30"/>
  <c r="P509" i="30"/>
  <c r="Q509" i="30" s="1"/>
  <c r="P513" i="30"/>
  <c r="Q513" i="30"/>
  <c r="P527" i="30"/>
  <c r="Q527" i="30" s="1"/>
  <c r="P531" i="30"/>
  <c r="Q531" i="30"/>
  <c r="P294" i="30"/>
  <c r="Q294" i="30" s="1"/>
  <c r="P298" i="30"/>
  <c r="Q298" i="30"/>
  <c r="P310" i="30"/>
  <c r="Q310" i="30" s="1"/>
  <c r="P314" i="30"/>
  <c r="Q314" i="30" s="1"/>
  <c r="P318" i="30"/>
  <c r="Q318" i="30" s="1"/>
  <c r="P322" i="30"/>
  <c r="Q322" i="30"/>
  <c r="P327" i="30"/>
  <c r="Q327" i="30" s="1"/>
  <c r="P332" i="30"/>
  <c r="Q332" i="30" s="1"/>
  <c r="P336" i="30"/>
  <c r="Q336" i="30" s="1"/>
  <c r="P340" i="30"/>
  <c r="Q340" i="30" s="1"/>
  <c r="P370" i="30"/>
  <c r="Q370" i="30" s="1"/>
  <c r="P380" i="30"/>
  <c r="Q380" i="30"/>
  <c r="P389" i="30"/>
  <c r="Q389" i="30" s="1"/>
  <c r="P413" i="30"/>
  <c r="Q413" i="30"/>
  <c r="P419" i="30"/>
  <c r="Q419" i="30" s="1"/>
  <c r="P434" i="30"/>
  <c r="Q434" i="30" s="1"/>
  <c r="P447" i="30"/>
  <c r="Q447" i="30" s="1"/>
  <c r="P451" i="30"/>
  <c r="Q451" i="30"/>
  <c r="P465" i="30"/>
  <c r="Q465" i="30" s="1"/>
  <c r="P477" i="30"/>
  <c r="Q477" i="30"/>
  <c r="P484" i="30"/>
  <c r="Q484" i="30" s="1"/>
  <c r="P501" i="30"/>
  <c r="Q501" i="30" s="1"/>
  <c r="P505" i="30"/>
  <c r="Q505" i="30" s="1"/>
  <c r="P511" i="30"/>
  <c r="Q511" i="30"/>
  <c r="P529" i="30"/>
  <c r="Q529" i="30" s="1"/>
  <c r="P533" i="30"/>
  <c r="Q533" i="30"/>
  <c r="P542" i="30"/>
  <c r="Q542" i="30" s="1"/>
  <c r="P297" i="30"/>
  <c r="Q297" i="30"/>
  <c r="P301" i="30"/>
  <c r="Q301" i="30" s="1"/>
  <c r="P331" i="30"/>
  <c r="Q331" i="30"/>
  <c r="P349" i="30"/>
  <c r="Q349" i="30" s="1"/>
  <c r="P353" i="30"/>
  <c r="Q353" i="30" s="1"/>
  <c r="P292" i="30"/>
  <c r="Q292" i="30" s="1"/>
  <c r="O564" i="30"/>
  <c r="B19" i="18" s="1"/>
  <c r="P309" i="30"/>
  <c r="Q309" i="30" s="1"/>
  <c r="P313" i="30"/>
  <c r="Q313" i="30"/>
  <c r="P317" i="30"/>
  <c r="Q317" i="30" s="1"/>
  <c r="P321" i="30"/>
  <c r="Q321" i="30"/>
  <c r="P334" i="30"/>
  <c r="Q334" i="30" s="1"/>
  <c r="P338" i="30"/>
  <c r="Q338" i="30"/>
  <c r="P356" i="30"/>
  <c r="Q356" i="30" s="1"/>
  <c r="P360" i="30"/>
  <c r="Q360" i="30" s="1"/>
  <c r="P369" i="30"/>
  <c r="Q369" i="30" s="1"/>
  <c r="P374" i="30"/>
  <c r="Q374" i="30"/>
  <c r="P377" i="30"/>
  <c r="Q377" i="30" s="1"/>
  <c r="P431" i="30"/>
  <c r="Q431" i="30" s="1"/>
  <c r="P448" i="30"/>
  <c r="Q448" i="30" s="1"/>
  <c r="P456" i="30"/>
  <c r="Q456" i="30" s="1"/>
  <c r="P504" i="30"/>
  <c r="Q504" i="30" s="1"/>
  <c r="P512" i="30"/>
  <c r="Q512" i="30"/>
  <c r="P522" i="30"/>
  <c r="Q522" i="30" s="1"/>
  <c r="P530" i="30"/>
  <c r="Q530" i="30"/>
  <c r="O552" i="30"/>
  <c r="P552" i="30" s="1"/>
  <c r="Q552" i="30" s="1"/>
  <c r="O556" i="30"/>
  <c r="P556" i="30" s="1"/>
  <c r="Q556" i="30" s="1"/>
  <c r="O560" i="30"/>
  <c r="P561" i="30" s="1"/>
  <c r="Q561" i="30" s="1"/>
  <c r="P291" i="30"/>
  <c r="Q291" i="30"/>
  <c r="P295" i="30"/>
  <c r="Q295" i="30" s="1"/>
  <c r="P299" i="30"/>
  <c r="Q299" i="30"/>
  <c r="O563" i="30"/>
  <c r="P563" i="30" s="1"/>
  <c r="Q563" i="30" s="1"/>
  <c r="P303" i="30"/>
  <c r="Q303" i="30" s="1"/>
  <c r="P386" i="30"/>
  <c r="Q386" i="30"/>
  <c r="P388" i="30"/>
  <c r="Q388" i="30" s="1"/>
  <c r="P390" i="30"/>
  <c r="Q390" i="30" s="1"/>
  <c r="P392" i="30"/>
  <c r="Q392" i="30" s="1"/>
  <c r="P410" i="30"/>
  <c r="Q410" i="30"/>
  <c r="P418" i="30"/>
  <c r="Q418" i="30" s="1"/>
  <c r="P466" i="30"/>
  <c r="Q466" i="30"/>
  <c r="P474" i="30"/>
  <c r="Q474" i="30" s="1"/>
  <c r="P483" i="30"/>
  <c r="Q483" i="30" s="1"/>
  <c r="P491" i="30"/>
  <c r="Q491" i="30" s="1"/>
  <c r="O562" i="30"/>
  <c r="P562" i="30" s="1"/>
  <c r="Q562" i="30" s="1"/>
  <c r="P302" i="30"/>
  <c r="Q302" i="30" s="1"/>
  <c r="P373" i="30"/>
  <c r="Q373" i="30" s="1"/>
  <c r="O549" i="30"/>
  <c r="O554" i="30"/>
  <c r="P554" i="30" s="1"/>
  <c r="Q554" i="30" s="1"/>
  <c r="O558" i="30"/>
  <c r="P559" i="30" s="1"/>
  <c r="Q559" i="30" s="1"/>
  <c r="P394" i="30"/>
  <c r="Q394" i="30" s="1"/>
  <c r="P398" i="30"/>
  <c r="Q398" i="30"/>
  <c r="P408" i="30"/>
  <c r="Q408" i="30" s="1"/>
  <c r="P412" i="30"/>
  <c r="Q412" i="30" s="1"/>
  <c r="P416" i="30"/>
  <c r="Q416" i="30" s="1"/>
  <c r="P425" i="30"/>
  <c r="Q425" i="30"/>
  <c r="P429" i="30"/>
  <c r="Q429" i="30" s="1"/>
  <c r="P433" i="30"/>
  <c r="Q433" i="30" s="1"/>
  <c r="P437" i="30"/>
  <c r="Q437" i="30" s="1"/>
  <c r="P446" i="30"/>
  <c r="Q446" i="30" s="1"/>
  <c r="P450" i="30"/>
  <c r="Q450" i="30" s="1"/>
  <c r="P454" i="30"/>
  <c r="Q454" i="30"/>
  <c r="P464" i="30"/>
  <c r="Q464" i="30" s="1"/>
  <c r="P468" i="30"/>
  <c r="Q468" i="30"/>
  <c r="P472" i="30"/>
  <c r="Q472" i="30" s="1"/>
  <c r="P476" i="30"/>
  <c r="Q476" i="30" s="1"/>
  <c r="P485" i="30"/>
  <c r="Q485" i="30" s="1"/>
  <c r="P489" i="30"/>
  <c r="Q489" i="30"/>
  <c r="P493" i="30"/>
  <c r="Q493" i="30" s="1"/>
  <c r="P502" i="30"/>
  <c r="Q502" i="30"/>
  <c r="P506" i="30"/>
  <c r="Q506" i="30" s="1"/>
  <c r="P510" i="30"/>
  <c r="Q510" i="30" s="1"/>
  <c r="P514" i="30"/>
  <c r="Q514" i="30" s="1"/>
  <c r="P524" i="30"/>
  <c r="Q524" i="30"/>
  <c r="P528" i="30"/>
  <c r="Q528" i="30" s="1"/>
  <c r="P532" i="30"/>
  <c r="Q532" i="30"/>
  <c r="P541" i="30"/>
  <c r="Q541" i="30" s="1"/>
  <c r="Q551" i="30"/>
  <c r="AO5" i="23"/>
  <c r="AO16" i="23"/>
  <c r="AO10" i="23"/>
  <c r="AM18" i="23"/>
  <c r="AO3" i="23"/>
  <c r="AO6" i="23"/>
  <c r="AO8" i="23"/>
  <c r="AO12" i="23"/>
  <c r="Q1049" i="30" l="1"/>
  <c r="Q1050" i="30"/>
  <c r="Q1054" i="30"/>
  <c r="Q1055" i="30"/>
  <c r="P1058" i="30"/>
  <c r="Q1058" i="30" s="1"/>
  <c r="P1290" i="30"/>
  <c r="Q1290" i="30" s="1"/>
  <c r="V404" i="24"/>
  <c r="X271" i="24"/>
  <c r="C190" i="24"/>
  <c r="F181" i="24"/>
  <c r="P1061" i="30"/>
  <c r="Q1061" i="30" s="1"/>
  <c r="P1059" i="30"/>
  <c r="Q1059" i="30" s="1"/>
  <c r="P886" i="30"/>
  <c r="Q886" i="30" s="1"/>
  <c r="P885" i="30"/>
  <c r="Q885" i="30" s="1"/>
  <c r="N280" i="24"/>
  <c r="P279" i="24"/>
  <c r="Q279" i="24" s="1"/>
  <c r="Q280" i="24" s="1"/>
  <c r="M280" i="24"/>
  <c r="P280" i="24" s="1"/>
  <c r="P271" i="24"/>
  <c r="Q271" i="24" s="1"/>
  <c r="H138" i="4"/>
  <c r="H54" i="1"/>
  <c r="P1263" i="30"/>
  <c r="Q1263" i="30" s="1"/>
  <c r="O160" i="24"/>
  <c r="O161" i="24" s="1"/>
  <c r="P155" i="24"/>
  <c r="Q155" i="24" s="1"/>
  <c r="Q18" i="32"/>
  <c r="P839" i="30"/>
  <c r="Q839" i="30" s="1"/>
  <c r="P838" i="30"/>
  <c r="Q838" i="30" s="1"/>
  <c r="Q811" i="30"/>
  <c r="P966" i="30"/>
  <c r="Q966" i="30" s="1"/>
  <c r="H404" i="24"/>
  <c r="K404" i="24" s="1"/>
  <c r="P1017" i="30"/>
  <c r="Q1017" i="30" s="1"/>
  <c r="P952" i="30"/>
  <c r="Q952" i="30" s="1"/>
  <c r="P853" i="30"/>
  <c r="Q853" i="30" s="1"/>
  <c r="S160" i="24"/>
  <c r="U160" i="24" s="1"/>
  <c r="V160" i="24" s="1"/>
  <c r="P434" i="24"/>
  <c r="W361" i="24"/>
  <c r="W370" i="24" s="1"/>
  <c r="K309" i="24"/>
  <c r="L309" i="24" s="1"/>
  <c r="H310" i="24"/>
  <c r="K310" i="24" s="1"/>
  <c r="W279" i="24"/>
  <c r="X275" i="24"/>
  <c r="P1197" i="30"/>
  <c r="Q1197" i="30" s="1"/>
  <c r="P1134" i="30"/>
  <c r="Q1134" i="30" s="1"/>
  <c r="P1135" i="30"/>
  <c r="Q1135" i="30" s="1"/>
  <c r="F123" i="24"/>
  <c r="G123" i="24" s="1"/>
  <c r="P1056" i="30"/>
  <c r="Q1056" i="30" s="1"/>
  <c r="R1061" i="30" s="1"/>
  <c r="P152" i="24"/>
  <c r="Q152" i="24" s="1"/>
  <c r="Q161" i="24" s="1"/>
  <c r="L310" i="24"/>
  <c r="W241" i="24"/>
  <c r="I220" i="24"/>
  <c r="P160" i="24"/>
  <c r="Q160" i="24" s="1"/>
  <c r="P557" i="30"/>
  <c r="Q557" i="30" s="1"/>
  <c r="P404" i="24"/>
  <c r="P1245" i="30"/>
  <c r="Q1245" i="30" s="1"/>
  <c r="F340" i="24"/>
  <c r="F241" i="24"/>
  <c r="K219" i="24"/>
  <c r="L219" i="24" s="1"/>
  <c r="W208" i="24"/>
  <c r="X208" i="24" s="1"/>
  <c r="AE15" i="23" s="1"/>
  <c r="AF15" i="23" s="1"/>
  <c r="K208" i="24"/>
  <c r="L208" i="24" s="1"/>
  <c r="K205" i="24"/>
  <c r="L205" i="24" s="1"/>
  <c r="W205" i="24"/>
  <c r="X205" i="24" s="1"/>
  <c r="AE11" i="23" s="1"/>
  <c r="AF11" i="23" s="1"/>
  <c r="H211" i="24"/>
  <c r="O1281" i="30"/>
  <c r="P1281" i="30" s="1"/>
  <c r="W117" i="24"/>
  <c r="X117" i="24" s="1"/>
  <c r="P968" i="30"/>
  <c r="Q968" i="30" s="1"/>
  <c r="P967" i="30"/>
  <c r="Q967" i="30" s="1"/>
  <c r="P1214" i="30"/>
  <c r="Q1214" i="30" s="1"/>
  <c r="P1182" i="30"/>
  <c r="Q1182" i="30" s="1"/>
  <c r="F120" i="24"/>
  <c r="P129" i="24"/>
  <c r="P836" i="30"/>
  <c r="Q836" i="30" s="1"/>
  <c r="P1033" i="30"/>
  <c r="Q1033" i="30" s="1"/>
  <c r="P1081" i="30"/>
  <c r="Q1081" i="30" s="1"/>
  <c r="H340" i="24"/>
  <c r="K340" i="24" s="1"/>
  <c r="L340" i="24"/>
  <c r="X361" i="24"/>
  <c r="U340" i="24"/>
  <c r="E310" i="24"/>
  <c r="F301" i="24"/>
  <c r="W301" i="24"/>
  <c r="H280" i="24"/>
  <c r="K280" i="24" s="1"/>
  <c r="K279" i="24"/>
  <c r="L279" i="24" s="1"/>
  <c r="K249" i="24"/>
  <c r="L249" i="24" s="1"/>
  <c r="H250" i="24"/>
  <c r="K250" i="24" s="1"/>
  <c r="X214" i="24"/>
  <c r="X219" i="24" s="1"/>
  <c r="W219" i="24"/>
  <c r="S120" i="24"/>
  <c r="U114" i="24"/>
  <c r="V114" i="24" s="1"/>
  <c r="J181" i="24"/>
  <c r="J190" i="24" s="1"/>
  <c r="K175" i="24"/>
  <c r="L175" i="24" s="1"/>
  <c r="E129" i="24"/>
  <c r="U190" i="24"/>
  <c r="P1001" i="30"/>
  <c r="Q1001" i="30" s="1"/>
  <c r="P918" i="30"/>
  <c r="Q918" i="30" s="1"/>
  <c r="P949" i="30"/>
  <c r="Q949" i="30" s="1"/>
  <c r="K370" i="24"/>
  <c r="D280" i="24"/>
  <c r="F271" i="24"/>
  <c r="W271" i="24"/>
  <c r="W280" i="24" s="1"/>
  <c r="N220" i="24"/>
  <c r="F189" i="24"/>
  <c r="G189" i="24" s="1"/>
  <c r="H160" i="24"/>
  <c r="H161" i="24" s="1"/>
  <c r="K155" i="24"/>
  <c r="L155" i="24" s="1"/>
  <c r="P564" i="30"/>
  <c r="Q564" i="30" s="1"/>
  <c r="W403" i="24"/>
  <c r="W404" i="24" s="1"/>
  <c r="X398" i="24"/>
  <c r="R809" i="30"/>
  <c r="K361" i="24"/>
  <c r="L361" i="24" s="1"/>
  <c r="L370" i="24" s="1"/>
  <c r="P301" i="24"/>
  <c r="Q301" i="24" s="1"/>
  <c r="Q310" i="24" s="1"/>
  <c r="M310" i="24"/>
  <c r="P310" i="24" s="1"/>
  <c r="P1031" i="30"/>
  <c r="Q1031" i="30" s="1"/>
  <c r="P1015" i="30"/>
  <c r="Q1015" i="30" s="1"/>
  <c r="P1230" i="30"/>
  <c r="Q1230" i="30" s="1"/>
  <c r="U152" i="24"/>
  <c r="V152" i="24" s="1"/>
  <c r="F369" i="24"/>
  <c r="D404" i="24"/>
  <c r="F403" i="24"/>
  <c r="F404" i="24" s="1"/>
  <c r="W146" i="24"/>
  <c r="X146" i="24" s="1"/>
  <c r="AK11" i="23" s="1"/>
  <c r="AL11" i="23" s="1"/>
  <c r="F146" i="24"/>
  <c r="G146" i="24" s="1"/>
  <c r="P1239" i="30"/>
  <c r="Q1239" i="30" s="1"/>
  <c r="P1240" i="30"/>
  <c r="Q1240" i="30" s="1"/>
  <c r="P1256" i="30"/>
  <c r="Q1256" i="30" s="1"/>
  <c r="P1255" i="30"/>
  <c r="Q1255" i="30" s="1"/>
  <c r="P211" i="24"/>
  <c r="Q211" i="24" s="1"/>
  <c r="Q220" i="24" s="1"/>
  <c r="M220" i="24"/>
  <c r="P937" i="30"/>
  <c r="Q937" i="30" s="1"/>
  <c r="P936" i="30"/>
  <c r="Q936" i="30" s="1"/>
  <c r="Q404" i="24"/>
  <c r="K160" i="24"/>
  <c r="L160" i="24" s="1"/>
  <c r="P190" i="24"/>
  <c r="E435" i="24"/>
  <c r="F434" i="24"/>
  <c r="L435" i="24"/>
  <c r="X333" i="24"/>
  <c r="W339" i="24"/>
  <c r="E340" i="24"/>
  <c r="W331" i="24"/>
  <c r="W340" i="24" s="1"/>
  <c r="S310" i="24"/>
  <c r="U310" i="24" s="1"/>
  <c r="U309" i="24"/>
  <c r="V309" i="24" s="1"/>
  <c r="V310" i="24" s="1"/>
  <c r="X241" i="24"/>
  <c r="W175" i="24"/>
  <c r="X175" i="24" s="1"/>
  <c r="J120" i="24"/>
  <c r="J129" i="24" s="1"/>
  <c r="R181" i="24"/>
  <c r="R190" i="24" s="1"/>
  <c r="K181" i="24"/>
  <c r="L181" i="24" s="1"/>
  <c r="I190" i="24"/>
  <c r="K190" i="24" s="1"/>
  <c r="P339" i="24"/>
  <c r="Q339" i="24" s="1"/>
  <c r="Q340" i="24" s="1"/>
  <c r="N340" i="24"/>
  <c r="P340" i="24" s="1"/>
  <c r="U205" i="24"/>
  <c r="V205" i="24" s="1"/>
  <c r="T211" i="24"/>
  <c r="T220" i="24" s="1"/>
  <c r="F155" i="24"/>
  <c r="G155" i="24" s="1"/>
  <c r="C160" i="24"/>
  <c r="W114" i="24"/>
  <c r="X114" i="24" s="1"/>
  <c r="X120" i="24" s="1"/>
  <c r="X129" i="24" s="1"/>
  <c r="F114" i="24"/>
  <c r="G114" i="24" s="1"/>
  <c r="P868" i="30"/>
  <c r="Q868" i="30" s="1"/>
  <c r="W155" i="24"/>
  <c r="X155" i="24" s="1"/>
  <c r="X160" i="24" s="1"/>
  <c r="U249" i="24"/>
  <c r="V249" i="24" s="1"/>
  <c r="V250" i="24" s="1"/>
  <c r="W178" i="24"/>
  <c r="X178" i="24" s="1"/>
  <c r="AH15" i="23" s="1"/>
  <c r="AI15" i="23" s="1"/>
  <c r="X363" i="24"/>
  <c r="T280" i="24"/>
  <c r="X279" i="24"/>
  <c r="E190" i="24"/>
  <c r="N196" i="28"/>
  <c r="X303" i="24"/>
  <c r="W309" i="24"/>
  <c r="P1052" i="30"/>
  <c r="Q1052" i="30" s="1"/>
  <c r="R1058" i="30" s="1"/>
  <c r="P983" i="30"/>
  <c r="Q983" i="30" s="1"/>
  <c r="K434" i="24"/>
  <c r="X250" i="24"/>
  <c r="P1133" i="30"/>
  <c r="Q1133" i="30" s="1"/>
  <c r="Q550" i="30"/>
  <c r="P1166" i="30"/>
  <c r="Q1166" i="30" s="1"/>
  <c r="K120" i="24"/>
  <c r="L120" i="24" s="1"/>
  <c r="H129" i="24"/>
  <c r="K129" i="24" s="1"/>
  <c r="P934" i="30"/>
  <c r="Q934" i="30" s="1"/>
  <c r="W128" i="24"/>
  <c r="P241" i="24"/>
  <c r="Q241" i="24" s="1"/>
  <c r="Q250" i="24" s="1"/>
  <c r="X425" i="24"/>
  <c r="X435" i="24" s="1"/>
  <c r="K403" i="24"/>
  <c r="L403" i="24" s="1"/>
  <c r="L404" i="24" s="1"/>
  <c r="X403" i="24"/>
  <c r="X404" i="24" s="1"/>
  <c r="O51" i="26"/>
  <c r="X184" i="24"/>
  <c r="X189" i="24" s="1"/>
  <c r="W189" i="24"/>
  <c r="U149" i="24"/>
  <c r="V149" i="24" s="1"/>
  <c r="P814" i="30"/>
  <c r="Q814" i="30" s="1"/>
  <c r="R820" i="30" s="1"/>
  <c r="L190" i="24"/>
  <c r="X128" i="24"/>
  <c r="G361" i="24"/>
  <c r="G370" i="24" s="1"/>
  <c r="F370" i="24"/>
  <c r="R280" i="24"/>
  <c r="U280" i="24" s="1"/>
  <c r="U271" i="24"/>
  <c r="V271" i="24" s="1"/>
  <c r="V280" i="24" s="1"/>
  <c r="L250" i="24"/>
  <c r="U211" i="24"/>
  <c r="V211" i="24" s="1"/>
  <c r="V220" i="24" s="1"/>
  <c r="J152" i="24"/>
  <c r="K146" i="24"/>
  <c r="L146" i="24" s="1"/>
  <c r="P28" i="24"/>
  <c r="Q28" i="24" s="1"/>
  <c r="U250" i="24"/>
  <c r="I404" i="24"/>
  <c r="J250" i="24"/>
  <c r="P1181" i="30"/>
  <c r="Q1181" i="30" s="1"/>
  <c r="O1284" i="30"/>
  <c r="P1284" i="30" s="1"/>
  <c r="Q1284" i="30" s="1"/>
  <c r="H98" i="21"/>
  <c r="F26" i="11"/>
  <c r="C21" i="16" s="1"/>
  <c r="P902" i="30"/>
  <c r="Q902" i="30" s="1"/>
  <c r="AO2" i="23"/>
  <c r="P359" i="30"/>
  <c r="Q359" i="30" s="1"/>
  <c r="R28" i="24"/>
  <c r="Y27" i="24"/>
  <c r="O3" i="26"/>
  <c r="P1103" i="30"/>
  <c r="Q1103" i="30" s="1"/>
  <c r="P1199" i="30"/>
  <c r="Q1199" i="30" s="1"/>
  <c r="O1283" i="30"/>
  <c r="P1283" i="30" s="1"/>
  <c r="Q36" i="32"/>
  <c r="B37" i="32" s="1"/>
  <c r="P855" i="30"/>
  <c r="Q855" i="30" s="1"/>
  <c r="P871" i="30"/>
  <c r="Q871" i="30" s="1"/>
  <c r="P888" i="30"/>
  <c r="Q888" i="30" s="1"/>
  <c r="P904" i="30"/>
  <c r="Q904" i="30" s="1"/>
  <c r="P1035" i="30"/>
  <c r="Q1035" i="30" s="1"/>
  <c r="K97" i="24"/>
  <c r="L97" i="24" s="1"/>
  <c r="P670" i="30"/>
  <c r="Q670" i="30" s="1"/>
  <c r="AO11" i="23"/>
  <c r="P1123" i="30"/>
  <c r="Q1123" i="30" s="1"/>
  <c r="W149" i="24"/>
  <c r="X149" i="24" s="1"/>
  <c r="F149" i="24"/>
  <c r="G149" i="24" s="1"/>
  <c r="U403" i="24"/>
  <c r="V403" i="24" s="1"/>
  <c r="U331" i="24"/>
  <c r="V331" i="24" s="1"/>
  <c r="V340" i="24" s="1"/>
  <c r="P1218" i="30"/>
  <c r="Q1218" i="30" s="1"/>
  <c r="O1282" i="30"/>
  <c r="P1282" i="30" s="1"/>
  <c r="Q1282" i="30" s="1"/>
  <c r="J89" i="24"/>
  <c r="J98" i="24" s="1"/>
  <c r="P86" i="24"/>
  <c r="Q86" i="24" s="1"/>
  <c r="P754" i="30"/>
  <c r="Q754" i="30" s="1"/>
  <c r="C31" i="16"/>
  <c r="C3" i="5"/>
  <c r="I4" i="11" s="1"/>
  <c r="P1155" i="30"/>
  <c r="Q1155" i="30" s="1"/>
  <c r="W425" i="24"/>
  <c r="W435" i="24" s="1"/>
  <c r="U361" i="24"/>
  <c r="V361" i="24" s="1"/>
  <c r="V370" i="24" s="1"/>
  <c r="P1250" i="30"/>
  <c r="Q1250" i="30" s="1"/>
  <c r="O1288" i="30"/>
  <c r="P1288" i="30" s="1"/>
  <c r="Q1288" i="30" s="1"/>
  <c r="P927" i="30"/>
  <c r="Q927" i="30" s="1"/>
  <c r="P943" i="30"/>
  <c r="Q943" i="30" s="1"/>
  <c r="P991" i="30"/>
  <c r="Q991" i="30" s="1"/>
  <c r="U86" i="24"/>
  <c r="V86" i="24" s="1"/>
  <c r="P772" i="30"/>
  <c r="Q772" i="30" s="1"/>
  <c r="H20" i="1"/>
  <c r="AO14" i="23"/>
  <c r="M28" i="24"/>
  <c r="U55" i="24"/>
  <c r="V55" i="24" s="1"/>
  <c r="V64" i="24" s="1"/>
  <c r="R64" i="24"/>
  <c r="U64" i="24" s="1"/>
  <c r="M161" i="24"/>
  <c r="U425" i="24"/>
  <c r="C310" i="24"/>
  <c r="W249" i="24"/>
  <c r="R220" i="24"/>
  <c r="P189" i="24"/>
  <c r="Q189" i="24" s="1"/>
  <c r="Q190" i="24" s="1"/>
  <c r="O1280" i="30"/>
  <c r="P1280" i="30" s="1"/>
  <c r="Q1280" i="30" s="1"/>
  <c r="H104" i="21"/>
  <c r="F27" i="11"/>
  <c r="N116" i="28"/>
  <c r="P847" i="30"/>
  <c r="Q847" i="30" s="1"/>
  <c r="P863" i="30"/>
  <c r="Q863" i="30" s="1"/>
  <c r="P880" i="30"/>
  <c r="Q880" i="30" s="1"/>
  <c r="O89" i="24"/>
  <c r="U97" i="24"/>
  <c r="V97" i="24" s="1"/>
  <c r="F55" i="24"/>
  <c r="F64" i="24" s="1"/>
  <c r="U404" i="24"/>
  <c r="P1189" i="30"/>
  <c r="Q1189" i="30" s="1"/>
  <c r="P1224" i="30"/>
  <c r="Q1224" i="30" s="1"/>
  <c r="O1279" i="30"/>
  <c r="U83" i="24"/>
  <c r="V83" i="24" s="1"/>
  <c r="Q58" i="32"/>
  <c r="B60" i="32" s="1"/>
  <c r="P471" i="30"/>
  <c r="Q471" i="30" s="1"/>
  <c r="E161" i="24"/>
  <c r="O1286" i="30"/>
  <c r="P1286" i="30" s="1"/>
  <c r="Q1286" i="30" s="1"/>
  <c r="N120" i="24"/>
  <c r="N129" i="24" s="1"/>
  <c r="P361" i="24"/>
  <c r="Q361" i="24" s="1"/>
  <c r="S89" i="24"/>
  <c r="O220" i="24"/>
  <c r="F44" i="4"/>
  <c r="C26" i="16" s="1"/>
  <c r="AV2" i="23" s="1"/>
  <c r="P835" i="30"/>
  <c r="Q835" i="30" s="1"/>
  <c r="P933" i="30"/>
  <c r="Q933" i="30" s="1"/>
  <c r="D89" i="24"/>
  <c r="AO9" i="23"/>
  <c r="F13" i="11"/>
  <c r="D10" i="16" s="1"/>
  <c r="L116" i="28"/>
  <c r="H207" i="1"/>
  <c r="H603" i="4"/>
  <c r="H122" i="1"/>
  <c r="H173" i="1"/>
  <c r="H499" i="4"/>
  <c r="H190" i="1"/>
  <c r="H553" i="4"/>
  <c r="H71" i="1"/>
  <c r="H190" i="4"/>
  <c r="H88" i="1"/>
  <c r="H241" i="4"/>
  <c r="H224" i="1"/>
  <c r="H11" i="19"/>
  <c r="F70" i="21"/>
  <c r="F17" i="21"/>
  <c r="H44" i="21"/>
  <c r="C8" i="16"/>
  <c r="D8" i="16" s="1"/>
  <c r="F8" i="16" s="1"/>
  <c r="F28" i="21"/>
  <c r="C18" i="16"/>
  <c r="E20" i="16"/>
  <c r="F92" i="21"/>
  <c r="F295" i="4"/>
  <c r="AV9" i="23"/>
  <c r="E6" i="16"/>
  <c r="D31" i="8"/>
  <c r="AV10" i="23"/>
  <c r="F31" i="8"/>
  <c r="F38" i="8" s="1"/>
  <c r="F40" i="8" s="1"/>
  <c r="E225" i="1"/>
  <c r="G227" i="1"/>
  <c r="B18" i="6"/>
  <c r="C6" i="6"/>
  <c r="C18" i="6" s="1"/>
  <c r="H14" i="19" s="1"/>
  <c r="Q80" i="32"/>
  <c r="AN18" i="23"/>
  <c r="AO15" i="23"/>
  <c r="Y28" i="24"/>
  <c r="N31" i="26"/>
  <c r="N23" i="26"/>
  <c r="N15" i="26"/>
  <c r="L26" i="12"/>
  <c r="V19" i="24"/>
  <c r="W19" i="24" s="1"/>
  <c r="W28" i="24" s="1"/>
  <c r="S28" i="24"/>
  <c r="V28" i="24" s="1"/>
  <c r="N19" i="26"/>
  <c r="X19" i="24"/>
  <c r="X28" i="24" s="1"/>
  <c r="D28" i="24"/>
  <c r="G19" i="24"/>
  <c r="I28" i="24"/>
  <c r="L28" i="24" s="1"/>
  <c r="D18" i="12"/>
  <c r="D27" i="12" s="1"/>
  <c r="M18" i="12"/>
  <c r="M27" i="12" s="1"/>
  <c r="B26" i="12"/>
  <c r="F26" i="12"/>
  <c r="H64" i="24"/>
  <c r="K64" i="24" s="1"/>
  <c r="K55" i="24"/>
  <c r="L55" i="24" s="1"/>
  <c r="L64" i="24" s="1"/>
  <c r="P55" i="24"/>
  <c r="Q55" i="24" s="1"/>
  <c r="Q64" i="24" s="1"/>
  <c r="M64" i="24"/>
  <c r="P64" i="24" s="1"/>
  <c r="G26" i="12"/>
  <c r="W55" i="24"/>
  <c r="W64" i="24" s="1"/>
  <c r="D64" i="24"/>
  <c r="C18" i="12"/>
  <c r="E18" i="12"/>
  <c r="L18" i="12"/>
  <c r="N14" i="12"/>
  <c r="O14" i="12" s="1"/>
  <c r="D36" i="16" s="1"/>
  <c r="AW14" i="23" s="1"/>
  <c r="AX14" i="23" s="1"/>
  <c r="N13" i="12"/>
  <c r="O13" i="12" s="1"/>
  <c r="N11" i="12"/>
  <c r="O11" i="12" s="1"/>
  <c r="D33" i="16" s="1"/>
  <c r="AW10" i="23" s="1"/>
  <c r="N10" i="12"/>
  <c r="O10" i="12" s="1"/>
  <c r="D32" i="16" s="1"/>
  <c r="AW9" i="23" s="1"/>
  <c r="N8" i="12"/>
  <c r="O8" i="12" s="1"/>
  <c r="D30" i="16" s="1"/>
  <c r="AW7" i="23" s="1"/>
  <c r="AX7" i="23" s="1"/>
  <c r="N6" i="12"/>
  <c r="O6" i="12" s="1"/>
  <c r="D28" i="16" s="1"/>
  <c r="AW5" i="23" s="1"/>
  <c r="F18" i="12"/>
  <c r="N5" i="12"/>
  <c r="O5" i="12" s="1"/>
  <c r="D27" i="16" s="1"/>
  <c r="AW3" i="23" s="1"/>
  <c r="N24" i="12"/>
  <c r="N23" i="12"/>
  <c r="O23" i="12" s="1"/>
  <c r="N21" i="12"/>
  <c r="O21" i="12" s="1"/>
  <c r="AW8" i="23"/>
  <c r="AX6" i="23"/>
  <c r="E29" i="16"/>
  <c r="N11" i="26"/>
  <c r="E26" i="12"/>
  <c r="K26" i="12"/>
  <c r="N25" i="12"/>
  <c r="O25" i="12" s="1"/>
  <c r="O4" i="12"/>
  <c r="D26" i="16" s="1"/>
  <c r="M26" i="12"/>
  <c r="N22" i="12"/>
  <c r="O22" i="12" s="1"/>
  <c r="O20" i="12"/>
  <c r="N27" i="26"/>
  <c r="C26" i="12"/>
  <c r="C27" i="12" s="1"/>
  <c r="R557" i="30"/>
  <c r="R817" i="30"/>
  <c r="R816" i="30"/>
  <c r="R815" i="30"/>
  <c r="R1051" i="30"/>
  <c r="R560" i="30"/>
  <c r="R556" i="30"/>
  <c r="R553" i="30"/>
  <c r="R551" i="30"/>
  <c r="R555" i="30"/>
  <c r="R554" i="30"/>
  <c r="R552" i="30"/>
  <c r="R1059" i="30"/>
  <c r="O7" i="26"/>
  <c r="R818" i="30"/>
  <c r="R819" i="30"/>
  <c r="R814" i="30"/>
  <c r="P558" i="30"/>
  <c r="Q558" i="30" s="1"/>
  <c r="R564" i="30" s="1"/>
  <c r="R810" i="30"/>
  <c r="U220" i="24"/>
  <c r="R1050" i="30"/>
  <c r="R813" i="30"/>
  <c r="R812" i="30"/>
  <c r="AV12" i="23"/>
  <c r="L129" i="24"/>
  <c r="G152" i="24"/>
  <c r="X152" i="24"/>
  <c r="X161" i="24" s="1"/>
  <c r="AK15" i="23"/>
  <c r="AL15" i="23" s="1"/>
  <c r="R811" i="30"/>
  <c r="P161" i="24"/>
  <c r="W120" i="24"/>
  <c r="W129" i="24" s="1"/>
  <c r="P120" i="24"/>
  <c r="Q120" i="24" s="1"/>
  <c r="Q129" i="24" s="1"/>
  <c r="D161" i="24"/>
  <c r="W211" i="24"/>
  <c r="W220" i="24" s="1"/>
  <c r="G331" i="24"/>
  <c r="G340" i="24" s="1"/>
  <c r="W160" i="24"/>
  <c r="M435" i="24"/>
  <c r="P435" i="24" s="1"/>
  <c r="F220" i="24"/>
  <c r="L280" i="24"/>
  <c r="F435" i="24"/>
  <c r="Q370" i="24"/>
  <c r="S435" i="24"/>
  <c r="U435" i="24" s="1"/>
  <c r="X434" i="24"/>
  <c r="AK2" i="23"/>
  <c r="N370" i="24"/>
  <c r="P370" i="24" s="1"/>
  <c r="I98" i="24"/>
  <c r="N98" i="24"/>
  <c r="F89" i="4"/>
  <c r="H89" i="4" s="1"/>
  <c r="U85" i="24"/>
  <c r="V85" i="24" s="1"/>
  <c r="P92" i="24"/>
  <c r="Q92" i="24" s="1"/>
  <c r="B18" i="12"/>
  <c r="P83" i="24"/>
  <c r="Q83" i="24" s="1"/>
  <c r="W92" i="24"/>
  <c r="K92" i="24"/>
  <c r="L92" i="24" s="1"/>
  <c r="E17" i="2"/>
  <c r="C58" i="32"/>
  <c r="A58" i="32" s="1"/>
  <c r="E7" i="26"/>
  <c r="N7" i="26" s="1"/>
  <c r="H18" i="12"/>
  <c r="H27" i="12" s="1"/>
  <c r="P329" i="30"/>
  <c r="Q329" i="30" s="1"/>
  <c r="H70" i="21" l="1"/>
  <c r="F20" i="11"/>
  <c r="K152" i="24"/>
  <c r="L152" i="24" s="1"/>
  <c r="L161" i="24" s="1"/>
  <c r="J161" i="24"/>
  <c r="U120" i="24"/>
  <c r="V120" i="24" s="1"/>
  <c r="V129" i="24" s="1"/>
  <c r="S129" i="24"/>
  <c r="U129" i="24" s="1"/>
  <c r="X280" i="24"/>
  <c r="F160" i="24"/>
  <c r="C161" i="24"/>
  <c r="R1055" i="30"/>
  <c r="G241" i="24"/>
  <c r="G250" i="24" s="1"/>
  <c r="F250" i="24"/>
  <c r="D98" i="24"/>
  <c r="W89" i="24"/>
  <c r="F89" i="24"/>
  <c r="C27" i="16"/>
  <c r="O43" i="26"/>
  <c r="X339" i="24"/>
  <c r="X340" i="24" s="1"/>
  <c r="G120" i="24"/>
  <c r="G129" i="24" s="1"/>
  <c r="F129" i="24"/>
  <c r="K89" i="24"/>
  <c r="L89" i="24" s="1"/>
  <c r="L98" i="24" s="1"/>
  <c r="G55" i="24"/>
  <c r="G64" i="24" s="1"/>
  <c r="H92" i="21"/>
  <c r="F24" i="11"/>
  <c r="R1288" i="30"/>
  <c r="R1060" i="30"/>
  <c r="H295" i="4"/>
  <c r="F658" i="4"/>
  <c r="F8" i="11" s="1"/>
  <c r="R1284" i="30"/>
  <c r="R561" i="30"/>
  <c r="F114" i="21"/>
  <c r="O39" i="26"/>
  <c r="X309" i="24"/>
  <c r="X310" i="24" s="1"/>
  <c r="B27" i="12"/>
  <c r="W310" i="24"/>
  <c r="H113" i="21"/>
  <c r="H114" i="21" s="1"/>
  <c r="H116" i="21" s="1"/>
  <c r="R1052" i="30"/>
  <c r="H44" i="4"/>
  <c r="Q1283" i="30"/>
  <c r="X369" i="24"/>
  <c r="O47" i="26"/>
  <c r="G301" i="24"/>
  <c r="G310" i="24" s="1"/>
  <c r="F310" i="24"/>
  <c r="F280" i="24"/>
  <c r="G271" i="24"/>
  <c r="G280" i="24" s="1"/>
  <c r="X211" i="24"/>
  <c r="X220" i="24" s="1"/>
  <c r="S98" i="24"/>
  <c r="U98" i="24" s="1"/>
  <c r="U89" i="24"/>
  <c r="V89" i="24" s="1"/>
  <c r="V98" i="24" s="1"/>
  <c r="K161" i="24"/>
  <c r="S161" i="24"/>
  <c r="U161" i="24" s="1"/>
  <c r="Q1281" i="30"/>
  <c r="R1282" i="30" s="1"/>
  <c r="W152" i="24"/>
  <c r="P1289" i="30"/>
  <c r="Q1289" i="30" s="1"/>
  <c r="R1057" i="30"/>
  <c r="R1054" i="30"/>
  <c r="AE18" i="23"/>
  <c r="F12" i="11"/>
  <c r="C17" i="16" s="1"/>
  <c r="P220" i="24"/>
  <c r="W161" i="24"/>
  <c r="R1053" i="30"/>
  <c r="O98" i="24"/>
  <c r="P89" i="24"/>
  <c r="Q89" i="24" s="1"/>
  <c r="Q98" i="24" s="1"/>
  <c r="X181" i="24"/>
  <c r="X190" i="24" s="1"/>
  <c r="AH11" i="23"/>
  <c r="V161" i="24"/>
  <c r="X370" i="24"/>
  <c r="H220" i="24"/>
  <c r="K211" i="24"/>
  <c r="L211" i="24" s="1"/>
  <c r="L220" i="24" s="1"/>
  <c r="K220" i="24"/>
  <c r="W181" i="24"/>
  <c r="W190" i="24" s="1"/>
  <c r="P1287" i="30"/>
  <c r="Q1287" i="30" s="1"/>
  <c r="R562" i="30"/>
  <c r="R1056" i="30"/>
  <c r="O24" i="12"/>
  <c r="O26" i="12" s="1"/>
  <c r="B39" i="18"/>
  <c r="B40" i="18" s="1"/>
  <c r="P98" i="24"/>
  <c r="K98" i="24"/>
  <c r="H17" i="21"/>
  <c r="F22" i="11"/>
  <c r="U181" i="24"/>
  <c r="V181" i="24" s="1"/>
  <c r="V190" i="24" s="1"/>
  <c r="W250" i="24"/>
  <c r="G181" i="24"/>
  <c r="G190" i="24" s="1"/>
  <c r="F190" i="24"/>
  <c r="Q1285" i="30"/>
  <c r="R1286" i="30" s="1"/>
  <c r="F10" i="16"/>
  <c r="G10" i="16" s="1"/>
  <c r="C10" i="16"/>
  <c r="C15" i="16"/>
  <c r="C14" i="16"/>
  <c r="C19" i="16"/>
  <c r="F662" i="4"/>
  <c r="AV8" i="23"/>
  <c r="AX8" i="23" s="1"/>
  <c r="AX9" i="23"/>
  <c r="AV11" i="23"/>
  <c r="AV15" i="23"/>
  <c r="AX10" i="23"/>
  <c r="D40" i="6"/>
  <c r="F28" i="11" s="1"/>
  <c r="B82" i="32"/>
  <c r="H83" i="32" s="1"/>
  <c r="B26" i="18" s="1"/>
  <c r="D35" i="16"/>
  <c r="E27" i="12"/>
  <c r="L27" i="12"/>
  <c r="E33" i="16"/>
  <c r="B11" i="18"/>
  <c r="B12" i="18" s="1"/>
  <c r="G28" i="24"/>
  <c r="H19" i="24"/>
  <c r="H28" i="24" s="1"/>
  <c r="E36" i="16"/>
  <c r="B32" i="18"/>
  <c r="B33" i="18" s="1"/>
  <c r="F27" i="12"/>
  <c r="E30" i="16"/>
  <c r="E32" i="16"/>
  <c r="AW2" i="23"/>
  <c r="AX2" i="23" s="1"/>
  <c r="E26" i="16"/>
  <c r="N26" i="12"/>
  <c r="N15" i="12"/>
  <c r="O15" i="12" s="1"/>
  <c r="D37" i="16" s="1"/>
  <c r="G18" i="12"/>
  <c r="G27" i="12" s="1"/>
  <c r="F49" i="11"/>
  <c r="R559" i="30"/>
  <c r="AL2" i="23"/>
  <c r="AK18" i="23"/>
  <c r="N12" i="12"/>
  <c r="O12" i="12" s="1"/>
  <c r="K18" i="12"/>
  <c r="K27" i="12" s="1"/>
  <c r="W97" i="24"/>
  <c r="W98" i="24" s="1"/>
  <c r="X92" i="24"/>
  <c r="X97" i="24" s="1"/>
  <c r="X98" i="24" s="1"/>
  <c r="R563" i="30"/>
  <c r="R558" i="30"/>
  <c r="O18" i="12" l="1"/>
  <c r="AW12" i="23"/>
  <c r="E35" i="16"/>
  <c r="G160" i="24"/>
  <c r="G161" i="24" s="1"/>
  <c r="F161" i="24"/>
  <c r="R1291" i="30"/>
  <c r="R1290" i="30"/>
  <c r="R1283" i="30"/>
  <c r="R1281" i="30"/>
  <c r="R1287" i="30"/>
  <c r="R1289" i="30"/>
  <c r="R1285" i="30"/>
  <c r="AI11" i="23"/>
  <c r="AH18" i="23"/>
  <c r="G89" i="24"/>
  <c r="G98" i="24" s="1"/>
  <c r="F98" i="24"/>
  <c r="G33" i="16"/>
  <c r="G35" i="16"/>
  <c r="C16" i="16"/>
  <c r="D13" i="16" s="1"/>
  <c r="F13" i="16" s="1"/>
  <c r="G13" i="16" s="1"/>
  <c r="G7" i="11"/>
  <c r="G27" i="16"/>
  <c r="G39" i="16"/>
  <c r="G28" i="16"/>
  <c r="G30" i="16"/>
  <c r="G29" i="16"/>
  <c r="G37" i="16"/>
  <c r="G38" i="16"/>
  <c r="G32" i="16"/>
  <c r="G26" i="16"/>
  <c r="G31" i="16"/>
  <c r="G36" i="16"/>
  <c r="G34" i="16"/>
  <c r="E31" i="16"/>
  <c r="E38" i="16"/>
  <c r="AV16" i="23"/>
  <c r="AX16" i="23" s="1"/>
  <c r="F38" i="11"/>
  <c r="F50" i="11" s="1"/>
  <c r="N27" i="12"/>
  <c r="D34" i="16"/>
  <c r="O27" i="12"/>
  <c r="AV5" i="23"/>
  <c r="AX5" i="23" s="1"/>
  <c r="E28" i="16"/>
  <c r="E23" i="16"/>
  <c r="G8" i="16"/>
  <c r="F35" i="16" s="1"/>
  <c r="H12" i="19"/>
  <c r="F680" i="4"/>
  <c r="N18" i="12"/>
  <c r="H29" i="19" s="1"/>
  <c r="AV3" i="23"/>
  <c r="E27" i="16"/>
  <c r="C39" i="16"/>
  <c r="AW15" i="23"/>
  <c r="AX15" i="23" s="1"/>
  <c r="E37" i="16"/>
  <c r="I32" i="16" l="1"/>
  <c r="I35" i="16"/>
  <c r="I31" i="16"/>
  <c r="I33" i="16"/>
  <c r="I36" i="16"/>
  <c r="I28" i="16"/>
  <c r="I26" i="16"/>
  <c r="I34" i="16"/>
  <c r="I38" i="16"/>
  <c r="I39" i="16"/>
  <c r="I29" i="16"/>
  <c r="I37" i="16"/>
  <c r="I30" i="16"/>
  <c r="I27" i="16"/>
  <c r="AW11" i="23"/>
  <c r="E34" i="16"/>
  <c r="D39" i="16"/>
  <c r="B4" i="18"/>
  <c r="B5" i="18" s="1"/>
  <c r="D29" i="19"/>
  <c r="C5" i="16"/>
  <c r="D4" i="16" s="1"/>
  <c r="F4" i="16" s="1"/>
  <c r="G4" i="16" s="1"/>
  <c r="F34" i="16"/>
  <c r="F29" i="16"/>
  <c r="F26" i="16"/>
  <c r="F36" i="16"/>
  <c r="F32" i="16"/>
  <c r="F28" i="16"/>
  <c r="F39" i="16"/>
  <c r="F31" i="16"/>
  <c r="F38" i="16"/>
  <c r="F33" i="16"/>
  <c r="F30" i="16"/>
  <c r="F37" i="16"/>
  <c r="F27" i="16"/>
  <c r="AV18" i="23"/>
  <c r="AX3" i="23"/>
  <c r="G35" i="11" l="1"/>
  <c r="AX11" i="23"/>
  <c r="AW18" i="23"/>
  <c r="H6" i="11" l="1"/>
  <c r="I6" i="11" s="1"/>
  <c r="J7" i="11" s="1"/>
  <c r="H29" i="11"/>
  <c r="I29" i="11" s="1"/>
  <c r="J29" i="11" s="1"/>
  <c r="B23" i="18" s="1"/>
  <c r="B24" i="18" s="1"/>
  <c r="B27" i="18" s="1"/>
  <c r="H33" i="11"/>
  <c r="I33" i="11" s="1"/>
  <c r="H30" i="11"/>
  <c r="I30" i="11" s="1"/>
  <c r="J30" i="11" s="1"/>
  <c r="H34" i="11"/>
  <c r="I34" i="11" s="1"/>
  <c r="J34" i="11" s="1"/>
  <c r="B9" i="18" s="1"/>
  <c r="B10" i="18" s="1"/>
  <c r="B13" i="18" s="1"/>
  <c r="H31" i="11"/>
  <c r="I31" i="11" s="1"/>
  <c r="J31" i="11" s="1"/>
  <c r="H32" i="11"/>
  <c r="I32" i="11" s="1"/>
  <c r="J32" i="11" s="1"/>
  <c r="B37" i="18" s="1"/>
  <c r="B38" i="18" s="1"/>
  <c r="B41" i="18" s="1"/>
  <c r="D3" i="5" l="1"/>
  <c r="E3" i="5" s="1"/>
  <c r="E4" i="5" s="1"/>
  <c r="E5" i="5" s="1"/>
  <c r="J33" i="11"/>
  <c r="B30" i="18" s="1"/>
  <c r="B31" i="18" s="1"/>
  <c r="B34" i="18" s="1"/>
  <c r="E39" i="16"/>
  <c r="B16" i="18"/>
  <c r="B17" i="18" s="1"/>
  <c r="B20" i="18" s="1"/>
  <c r="I35" i="11"/>
  <c r="C12" i="16"/>
  <c r="D11" i="16" s="1"/>
  <c r="F11" i="16" s="1"/>
  <c r="H35" i="11"/>
  <c r="H13" i="19" l="1"/>
  <c r="H16" i="19" s="1"/>
  <c r="J35" i="11"/>
  <c r="F52" i="11" s="1"/>
  <c r="D23" i="16"/>
  <c r="G11" i="16" l="1"/>
  <c r="H35" i="16" s="1"/>
  <c r="J35" i="16" s="1"/>
  <c r="F23" i="16"/>
  <c r="B2" i="18" s="1"/>
  <c r="B3" i="18" s="1"/>
  <c r="H34" i="16" l="1"/>
  <c r="J34" i="16" s="1"/>
  <c r="H27" i="16"/>
  <c r="J27" i="16" s="1"/>
  <c r="H31" i="16"/>
  <c r="J31" i="16" s="1"/>
  <c r="H37" i="16"/>
  <c r="J37" i="16" s="1"/>
  <c r="H30" i="16"/>
  <c r="J30" i="16" s="1"/>
  <c r="H28" i="16"/>
  <c r="J28" i="16" s="1"/>
  <c r="H39" i="16"/>
  <c r="J39" i="16" s="1"/>
  <c r="AX18" i="23" s="1"/>
  <c r="H36" i="16"/>
  <c r="J36" i="16" s="1"/>
  <c r="H26" i="16"/>
  <c r="J26" i="16" s="1"/>
  <c r="H32" i="16"/>
  <c r="J32" i="16" s="1"/>
  <c r="H38" i="16"/>
  <c r="J38" i="16" s="1"/>
  <c r="H29" i="16"/>
  <c r="J29" i="16" s="1"/>
  <c r="H33" i="16"/>
  <c r="J33" i="16" s="1"/>
  <c r="G23" i="16"/>
  <c r="B6" i="18" l="1"/>
  <c r="F32" i="19"/>
  <c r="F31" i="19"/>
</calcChain>
</file>

<file path=xl/sharedStrings.xml><?xml version="1.0" encoding="utf-8"?>
<sst xmlns="http://schemas.openxmlformats.org/spreadsheetml/2006/main" count="6024" uniqueCount="984">
  <si>
    <t xml:space="preserve"> </t>
  </si>
  <si>
    <t>Institution</t>
  </si>
  <si>
    <t>Benefit</t>
  </si>
  <si>
    <t>%Employer Contribution</t>
  </si>
  <si>
    <t>Annual Cost</t>
  </si>
  <si>
    <t>Sub-Total</t>
  </si>
  <si>
    <t>Grand Total</t>
  </si>
  <si>
    <t>Anvil Mt. C.C.</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</si>
  <si>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</si>
  <si>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</si>
  <si>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</si>
  <si>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</si>
  <si>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</si>
  <si>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</si>
  <si>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</si>
  <si>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</si>
  <si>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</si>
  <si>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</si>
  <si>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</si>
  <si>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</si>
  <si>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</si>
  <si>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</si>
  <si>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</si>
  <si>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</si>
  <si>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</si>
  <si>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</si>
  <si>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</si>
  <si>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</si>
  <si>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</si>
  <si>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</si>
  <si>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</si>
  <si>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</si>
  <si>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</si>
  <si>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</si>
  <si>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</si>
  <si>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</si>
  <si>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</si>
  <si>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</si>
  <si>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</si>
  <si>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</si>
  <si>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</si>
  <si>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</si>
  <si>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</si>
  <si>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</si>
  <si>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</si>
  <si>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</si>
  <si>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</si>
  <si>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</si>
  <si>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</si>
  <si>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</si>
  <si>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</si>
  <si>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</si>
  <si>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</si>
  <si>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</si>
  <si>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</si>
  <si>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</si>
  <si>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</si>
  <si>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</si>
  <si>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</si>
  <si>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</si>
  <si>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</si>
  <si>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</si>
  <si>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</si>
  <si>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</si>
  <si>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</si>
  <si>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FCC</t>
  </si>
  <si>
    <t>KCC</t>
  </si>
  <si>
    <t>LCCC</t>
  </si>
  <si>
    <t>PCC</t>
  </si>
  <si>
    <t>SCCC</t>
  </si>
  <si>
    <t>Parole Board</t>
  </si>
  <si>
    <t>Correctional Academy</t>
  </si>
  <si>
    <t>Anvil Mt.CC</t>
  </si>
  <si>
    <t>Division/Institution</t>
  </si>
  <si>
    <t>Total Reimbursement</t>
  </si>
  <si>
    <t>Outstanding Balance of RSA</t>
  </si>
  <si>
    <t>Data &amp; Word Processing</t>
  </si>
  <si>
    <t>Facility-Capital Improvement</t>
  </si>
  <si>
    <t>Institution Director's Office</t>
  </si>
  <si>
    <t>Anvil Mtn. CC</t>
  </si>
  <si>
    <t>Combined Hiland Mtn. CC</t>
  </si>
  <si>
    <t>Yukon Kuskokwim CC</t>
  </si>
  <si>
    <t>Out-of-State Contractual</t>
  </si>
  <si>
    <t>Point Mackenzie</t>
  </si>
  <si>
    <t>Daily Cost per Prisoner</t>
  </si>
  <si>
    <t xml:space="preserve">  </t>
  </si>
  <si>
    <t>Daily Cost Per Prisoner</t>
  </si>
  <si>
    <t>Division #</t>
  </si>
  <si>
    <t>UUU</t>
  </si>
  <si>
    <t>UUU (Unidentified)</t>
  </si>
  <si>
    <t>Training Academy</t>
  </si>
  <si>
    <t>AMCC</t>
  </si>
  <si>
    <t>YKCC</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</si>
  <si>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</si>
  <si>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</si>
  <si>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</si>
  <si>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</si>
  <si>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</si>
  <si>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</si>
  <si>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</si>
  <si>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</si>
  <si>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</si>
  <si>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</si>
  <si>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</si>
  <si>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</si>
  <si>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</si>
  <si>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</si>
  <si>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</si>
  <si>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</si>
  <si>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</si>
  <si>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</si>
  <si>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Cook Inlet</t>
  </si>
  <si>
    <t>Hiland Mt.CC</t>
  </si>
  <si>
    <t xml:space="preserve">Lemon Creek </t>
  </si>
  <si>
    <t>Spring Creek</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</si>
  <si>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</si>
  <si>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</si>
  <si>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</si>
  <si>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</si>
  <si>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</si>
  <si>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</si>
  <si>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</si>
  <si>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</si>
  <si>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</si>
  <si>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</si>
  <si>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</si>
  <si>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</si>
  <si>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</si>
  <si>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</si>
  <si>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</si>
  <si>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</si>
  <si>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</si>
  <si>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</si>
  <si>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</si>
  <si>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</si>
  <si>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</si>
  <si>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</si>
  <si>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CHMCC</t>
  </si>
  <si>
    <t>% OF TOTAL</t>
  </si>
  <si>
    <t>TOTAL ALL COSTS</t>
  </si>
  <si>
    <t>Anvil Mountain CC</t>
  </si>
  <si>
    <t>Cook Inlet CC</t>
  </si>
  <si>
    <t>Mat-Su CC</t>
  </si>
  <si>
    <t>Yukon-Kuskokwim CC</t>
  </si>
  <si>
    <t>Tents</t>
  </si>
  <si>
    <t>CRC's</t>
  </si>
  <si>
    <t>CRC Offender Supervision</t>
  </si>
  <si>
    <t>Electronic Monitoring</t>
  </si>
  <si>
    <t>Treatment Beds</t>
  </si>
  <si>
    <t>Arizona</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</si>
  <si>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</si>
  <si>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</si>
  <si>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</si>
  <si>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</si>
  <si>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</si>
  <si>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</si>
  <si>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</si>
  <si>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</si>
  <si>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</si>
  <si>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</si>
  <si>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</si>
  <si>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</si>
  <si>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</si>
  <si>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</si>
  <si>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</si>
  <si>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</si>
  <si>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</si>
  <si>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</si>
  <si>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</si>
  <si>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</si>
  <si>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</si>
  <si>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</si>
  <si>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</si>
  <si>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</si>
  <si>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</si>
  <si>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</si>
  <si>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</si>
  <si>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</si>
  <si>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</si>
  <si>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</si>
  <si>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</si>
  <si>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</si>
  <si>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</si>
  <si>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</si>
  <si>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</si>
  <si>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</si>
  <si>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</si>
  <si>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</si>
  <si>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</si>
  <si>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</si>
  <si>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</si>
  <si>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</si>
  <si>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</si>
  <si>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</si>
  <si>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</si>
  <si>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</si>
  <si>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</si>
  <si>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</si>
  <si>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</si>
  <si>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</si>
  <si>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</si>
  <si>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</si>
  <si>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</si>
  <si>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</si>
  <si>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</si>
  <si>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</si>
  <si>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</si>
  <si>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</si>
  <si>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</si>
  <si>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</si>
  <si>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</si>
  <si>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</si>
  <si>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</si>
  <si>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</si>
  <si>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</si>
  <si>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</si>
  <si>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</si>
  <si>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</si>
  <si>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</si>
  <si>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</si>
  <si>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</si>
  <si>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</si>
  <si>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</si>
  <si>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</si>
  <si>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</si>
  <si>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*****MISDEMEANANT*****</t>
  </si>
  <si>
    <t>MEN</t>
  </si>
  <si>
    <t>WOMEN</t>
  </si>
  <si>
    <t>GRAND</t>
  </si>
  <si>
    <t>Total Average Daily Population</t>
  </si>
  <si>
    <t>INDIVIDUAL INSTITUTION RATES</t>
  </si>
  <si>
    <t>Injury Leave Contribution</t>
  </si>
  <si>
    <t>Combined Hiland Mtn CC</t>
  </si>
  <si>
    <t>SEASIDE CRC-NOME</t>
  </si>
  <si>
    <t>DAILY COST OF CARE CALCULATIONS</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</si>
  <si>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</si>
  <si>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</si>
  <si>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</si>
  <si>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</si>
  <si>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</si>
  <si>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</si>
  <si>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</si>
  <si>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</si>
  <si>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 xml:space="preserve">Lemon Creek CC   </t>
  </si>
  <si>
    <t>E.  Other Direct Operating costs (Schedule D1 and D2)</t>
  </si>
  <si>
    <t>Less: Reimb. from Dept. Public Safety</t>
  </si>
  <si>
    <t xml:space="preserve">COST ALLOCATION </t>
  </si>
  <si>
    <t>TOTAL COSTS</t>
  </si>
  <si>
    <t>COMMUNITY RESIDENTIAL CENTERS</t>
  </si>
  <si>
    <t>Anchorage Jail</t>
  </si>
  <si>
    <t>Alternative Housing</t>
  </si>
  <si>
    <t>Budgeted Revenue Interagency Receipts (I/A)</t>
  </si>
  <si>
    <t>% for Institution Operations</t>
  </si>
  <si>
    <t>Less: DHSS RSA Youth Meals</t>
  </si>
  <si>
    <t>Less: DPS RSA Transport</t>
  </si>
  <si>
    <t>STATEWIDE DIRECT COSTS</t>
  </si>
  <si>
    <t>Statewide Direct Cost</t>
  </si>
  <si>
    <t>PERSONAL SERVICES BENEFITS BY INDIVIDUAL INSTITUTIONS</t>
  </si>
  <si>
    <t>.</t>
  </si>
  <si>
    <t>ANCHORAGE JAIL</t>
  </si>
  <si>
    <t>Sixth Avenue</t>
  </si>
  <si>
    <t xml:space="preserve">* * * * * * * * * * * </t>
  </si>
  <si>
    <t>* * * * * * *</t>
  </si>
  <si>
    <t xml:space="preserve">* * * * * * * </t>
  </si>
  <si>
    <t>Daily Cost per Probationer/Parolee</t>
  </si>
  <si>
    <t>AVERAGE QTRLY</t>
  </si>
  <si>
    <t>FY04</t>
  </si>
  <si>
    <t>FY03</t>
  </si>
  <si>
    <t>Capacity</t>
  </si>
  <si>
    <t>EM/Max</t>
  </si>
  <si>
    <t>416/388</t>
  </si>
  <si>
    <t>104/102</t>
  </si>
  <si>
    <t>403/397</t>
  </si>
  <si>
    <t>211/200</t>
  </si>
  <si>
    <t>311/303</t>
  </si>
  <si>
    <t>58/52</t>
  </si>
  <si>
    <t>170/164</t>
  </si>
  <si>
    <t>85/82</t>
  </si>
  <si>
    <t>390/383</t>
  </si>
  <si>
    <t>486/466</t>
  </si>
  <si>
    <t>368/361</t>
  </si>
  <si>
    <t>92/88</t>
  </si>
  <si>
    <r>
      <t>Combined</t>
    </r>
    <r>
      <rPr>
        <sz val="11"/>
        <rFont val="Arial"/>
        <family val="2"/>
      </rPr>
      <t xml:space="preserve"> Hiland Mtn CC</t>
    </r>
  </si>
  <si>
    <r>
      <t>Combined</t>
    </r>
    <r>
      <rPr>
        <sz val="11"/>
        <rFont val="Arial"/>
        <family val="2"/>
      </rPr>
      <t xml:space="preserve"> Palmer CC</t>
    </r>
  </si>
  <si>
    <r>
      <t>Combined</t>
    </r>
    <r>
      <rPr>
        <sz val="11"/>
        <rFont val="Arial"/>
        <family val="2"/>
      </rPr>
      <t xml:space="preserve"> Wildwood CC</t>
    </r>
  </si>
  <si>
    <t>Total Quarterly Mandays</t>
  </si>
  <si>
    <t>112/112</t>
  </si>
  <si>
    <t>FY05</t>
  </si>
  <si>
    <t>Community Residential Centers</t>
  </si>
  <si>
    <t>ANNUAL AVERAGE  POPULATION</t>
  </si>
  <si>
    <t>FY2004 ANNUAL TOTAL MANDAYS</t>
  </si>
  <si>
    <t>FY2003 ANNUAL TOTAL MANDAYS</t>
  </si>
  <si>
    <t>FY2002 ANNUAL TOTAL MANDAYS</t>
  </si>
  <si>
    <t>FY2001 ANNUAL TOTAL MANDAYS</t>
  </si>
  <si>
    <t>ANNUAL AVERAGE POPULATION</t>
  </si>
  <si>
    <t>FY2000 ANNUAL TOTAL MANDAYS</t>
  </si>
  <si>
    <t>FY1999 ANNUAL TOTAL MANDAYS</t>
  </si>
  <si>
    <t>FY06</t>
  </si>
  <si>
    <t>Anchorage Complex East</t>
  </si>
  <si>
    <t>Anchorage Complex West</t>
  </si>
  <si>
    <t>FY07</t>
  </si>
  <si>
    <t>FY08</t>
  </si>
  <si>
    <t>FY09</t>
  </si>
  <si>
    <t>416/400</t>
  </si>
  <si>
    <t>436/418</t>
  </si>
  <si>
    <t>316/309</t>
  </si>
  <si>
    <t>404/395</t>
  </si>
  <si>
    <t>228/222</t>
  </si>
  <si>
    <t>102/98</t>
  </si>
  <si>
    <t>128/128</t>
  </si>
  <si>
    <t>557/541</t>
  </si>
  <si>
    <t>379/368</t>
  </si>
  <si>
    <t>131/126</t>
  </si>
  <si>
    <t>* * * * * * * * * * * *</t>
  </si>
  <si>
    <t xml:space="preserve"> * * * * * * *</t>
  </si>
  <si>
    <t>514/503</t>
  </si>
  <si>
    <r>
      <t xml:space="preserve">Fairbanks CC </t>
    </r>
    <r>
      <rPr>
        <b/>
        <sz val="11"/>
        <rFont val="Arial"/>
        <family val="2"/>
      </rPr>
      <t>259/248 ?</t>
    </r>
  </si>
  <si>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</si>
  <si>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</si>
  <si>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</si>
  <si>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</si>
  <si>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</si>
  <si>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</si>
  <si>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</si>
  <si>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</si>
  <si>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</si>
  <si>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</si>
  <si>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</si>
  <si>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</si>
  <si>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</si>
  <si>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</si>
  <si>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</si>
  <si>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</si>
  <si>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</si>
  <si>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</si>
  <si>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</si>
  <si>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</si>
  <si>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</si>
  <si>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</si>
  <si>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Palmer State Office Building</t>
  </si>
  <si>
    <t>Probation &amp; Parole Director Ofc</t>
  </si>
  <si>
    <t xml:space="preserve">*******FELONY*******   </t>
  </si>
  <si>
    <t>INSTITUTION</t>
  </si>
  <si>
    <t>SENT</t>
  </si>
  <si>
    <t>UNSENT</t>
  </si>
  <si>
    <t>PT. MACKENZIE CF</t>
  </si>
  <si>
    <t>FY2009                                                                                                                                                                                 AVERAGE YEAR TO DATE INMATE POPULATION</t>
  </si>
  <si>
    <t>FY10</t>
  </si>
  <si>
    <t>259/248</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</si>
  <si>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</si>
  <si>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</si>
  <si>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</si>
  <si>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</si>
  <si>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</si>
  <si>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</si>
  <si>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</si>
  <si>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</si>
  <si>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</si>
  <si>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</si>
  <si>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</si>
  <si>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</si>
  <si>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</si>
  <si>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</si>
  <si>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</si>
  <si>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Arizona/Hudson as of Dec09</t>
  </si>
  <si>
    <t>CHANLYUT</t>
  </si>
  <si>
    <t>$8.00/mo</t>
  </si>
  <si>
    <t>Less: Reimb from Courts (Mental Health Court)</t>
  </si>
  <si>
    <t>(907) 465-3315</t>
  </si>
  <si>
    <t>(907) 465-3460</t>
  </si>
  <si>
    <t>FY11</t>
  </si>
  <si>
    <t>Colorado</t>
  </si>
  <si>
    <t>2002 COC</t>
  </si>
  <si>
    <t>2003 COC</t>
  </si>
  <si>
    <t>2004 COC</t>
  </si>
  <si>
    <t>2005 COC</t>
  </si>
  <si>
    <t>2006 COC</t>
  </si>
  <si>
    <t>2007 COC</t>
  </si>
  <si>
    <t>2008 COC</t>
  </si>
  <si>
    <t>2009 COC</t>
  </si>
  <si>
    <t>2010 COC</t>
  </si>
  <si>
    <t>2011 COC</t>
  </si>
  <si>
    <t>2012 COC</t>
  </si>
  <si>
    <t>AK Supplemental Benefit</t>
  </si>
  <si>
    <t>ANVIL MTN CC</t>
  </si>
  <si>
    <t>COOK INLET PRETRIAL</t>
  </si>
  <si>
    <t>FAIRBANKS CC</t>
  </si>
  <si>
    <t>HILAND MTN CC</t>
  </si>
  <si>
    <t>KETCHIKAN CC</t>
  </si>
  <si>
    <t>LEMON CREEK CC</t>
  </si>
  <si>
    <t>MATSU PRETRIAL</t>
  </si>
  <si>
    <t>PALMER-MED CC</t>
  </si>
  <si>
    <t>PALMER-MIN CC</t>
  </si>
  <si>
    <t>SPRING CREEK CC</t>
  </si>
  <si>
    <t>WILDWOOD CC</t>
  </si>
  <si>
    <t>WILDWOOD PRETRIAL</t>
  </si>
  <si>
    <t>YUKON-KUSKOKWIM CC</t>
  </si>
  <si>
    <t>AKEELA HOUSE</t>
  </si>
  <si>
    <t>CLITHEROE</t>
  </si>
  <si>
    <t>CORDOVA CTR</t>
  </si>
  <si>
    <t>GLACIER MANOR</t>
  </si>
  <si>
    <t>GLENNWOOD CTR</t>
  </si>
  <si>
    <t>MIDTOWN CTR - ANCH</t>
  </si>
  <si>
    <t>NORTH STAR CTR</t>
  </si>
  <si>
    <t>PARKVIEW</t>
  </si>
  <si>
    <t>RALPH PERDUE CTR</t>
  </si>
  <si>
    <t>TUNDRA CTR</t>
  </si>
  <si>
    <t>ANCHORAGE EM</t>
  </si>
  <si>
    <t>FAIRBANKS EM</t>
  </si>
  <si>
    <t>JUNEAU EM</t>
  </si>
  <si>
    <t>KENAI EM</t>
  </si>
  <si>
    <t>KETCHIKAN EM</t>
  </si>
  <si>
    <t>PALMER EM</t>
  </si>
  <si>
    <t>SITKA EM</t>
  </si>
  <si>
    <t>HUDSON CF</t>
  </si>
  <si>
    <t>FEDERAL BUREAU PRISONS</t>
  </si>
  <si>
    <t>COLORADO STATE PRISON</t>
  </si>
  <si>
    <t>WASHINGTON STATE</t>
  </si>
  <si>
    <t>**</t>
  </si>
  <si>
    <t>Facility Cap Imp Unit</t>
  </si>
  <si>
    <t>Commissioner's Office Jnu/Anch</t>
  </si>
  <si>
    <t>IDO Institution Director's Office</t>
  </si>
  <si>
    <t>8/9</t>
  </si>
  <si>
    <t xml:space="preserve">ACC Anchorage Complex </t>
  </si>
  <si>
    <t>21B</t>
  </si>
  <si>
    <t>33A</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</si>
  <si>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</si>
  <si>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</si>
  <si>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</si>
  <si>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</si>
  <si>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</si>
  <si>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</si>
  <si>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</si>
  <si>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</si>
  <si>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</si>
  <si>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</si>
  <si>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</si>
  <si>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</si>
  <si>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</si>
  <si>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</si>
  <si>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</si>
  <si>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</si>
  <si>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</si>
  <si>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</si>
  <si>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</si>
  <si>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</si>
  <si>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</si>
  <si>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</si>
  <si>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</si>
  <si>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</si>
  <si>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</si>
  <si>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</si>
  <si>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</si>
  <si>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</si>
  <si>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</si>
  <si>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</si>
  <si>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</si>
  <si>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</si>
  <si>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</si>
  <si>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</si>
  <si>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</si>
  <si>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</si>
  <si>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</si>
  <si>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</si>
  <si>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</si>
  <si>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</si>
  <si>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</si>
  <si>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</si>
  <si>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</si>
  <si>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</si>
  <si>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t>Average Daily Population/Female
 (Sched-A)</t>
  </si>
  <si>
    <t>GEN/Max</t>
  </si>
  <si>
    <t>128/126</t>
  </si>
  <si>
    <r>
      <t>Combined</t>
    </r>
    <r>
      <rPr>
        <sz val="11"/>
        <rFont val="Arial"/>
        <family val="2"/>
      </rPr>
      <t xml:space="preserve"> Wildwood CC*</t>
    </r>
  </si>
  <si>
    <t>473/462</t>
  </si>
  <si>
    <t>137/132</t>
  </si>
  <si>
    <t>n/a</t>
  </si>
  <si>
    <t>FY2012                                                                                                                                                         AVERAGE YEAR TO DATE INMATE POPULATION</t>
  </si>
  <si>
    <t>Goose Creek CC</t>
  </si>
  <si>
    <t>Leave- Holiday</t>
  </si>
  <si>
    <t>:Difference</t>
  </si>
  <si>
    <t>Commodities / Supplies</t>
  </si>
  <si>
    <t>Other Services</t>
  </si>
  <si>
    <t xml:space="preserve">Prison System Expansion </t>
  </si>
  <si>
    <t>GCCC</t>
  </si>
  <si>
    <t>SAARP</t>
  </si>
  <si>
    <t>Probation &amp; Parole</t>
  </si>
  <si>
    <t>FY13</t>
  </si>
  <si>
    <t>* Average Daily Probationers/Parole Served for Fiscal Year 2012: 6053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</si>
  <si>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</si>
  <si>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</si>
  <si>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</si>
  <si>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</si>
  <si>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</si>
  <si>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</si>
  <si>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</si>
  <si>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</si>
  <si>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</si>
  <si>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</si>
  <si>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</si>
  <si>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</si>
  <si>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</si>
  <si>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</si>
  <si>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</si>
  <si>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</si>
  <si>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 * * * * * * * * * * * *</t>
  </si>
  <si>
    <t>Leap Year</t>
  </si>
  <si>
    <t>Daily Cost (Divided by 365 days)</t>
  </si>
  <si>
    <t>Average Daily Community Jail Population for Fiscal Year 2013</t>
  </si>
  <si>
    <t>863./829</t>
  </si>
  <si>
    <t>312/312</t>
  </si>
  <si>
    <t>232/226</t>
  </si>
  <si>
    <t>195/190</t>
  </si>
  <si>
    <t>839</t>
  </si>
  <si>
    <t>*GCCC Beds ramp-up to 1480 by June 30</t>
  </si>
  <si>
    <t>*ACCE &amp; ACCW combined totals for FY13</t>
  </si>
  <si>
    <t>FY2013                                                                                                                                                       AVERAGE YEAR TO DATE INMATE POPULATION</t>
  </si>
  <si>
    <t>Comb Hiland Mtn. CC</t>
  </si>
  <si>
    <t>Offender Habilitation</t>
  </si>
  <si>
    <t>Administrative Services</t>
  </si>
  <si>
    <t>FY13 COST OF CARE SPREADSHEET</t>
  </si>
  <si>
    <t>GOOSE CREEK CC</t>
  </si>
  <si>
    <t>WCC TRANSITIONAL</t>
  </si>
  <si>
    <t>WCC PRETRIAL</t>
  </si>
  <si>
    <t xml:space="preserve">COOK INLET </t>
  </si>
  <si>
    <t>JULY 2012 TO JUNE 2013-NUMBER OF PERSONS</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</si>
  <si>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</si>
  <si>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</si>
  <si>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</si>
  <si>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</si>
  <si>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</si>
  <si>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</si>
  <si>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</si>
  <si>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</si>
  <si>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</si>
  <si>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</si>
  <si>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</si>
  <si>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</si>
  <si>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</si>
  <si>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</si>
  <si>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</si>
  <si>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</si>
  <si>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</si>
  <si>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</si>
  <si>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</si>
  <si>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</si>
  <si>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</si>
  <si>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</si>
  <si>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</si>
  <si>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</si>
  <si>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</si>
  <si>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</si>
  <si>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</si>
  <si>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</si>
  <si>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JULY 2012 TO JUNE 2013--NUMBER OF MAN-DAYS</t>
  </si>
  <si>
    <t>CAP DAYS</t>
  </si>
  <si>
    <t xml:space="preserve">March </t>
  </si>
  <si>
    <t>April</t>
  </si>
  <si>
    <t xml:space="preserve">May </t>
  </si>
  <si>
    <t>Man-days</t>
  </si>
  <si>
    <t xml:space="preserve">COC 2014 </t>
  </si>
  <si>
    <t>FY14</t>
  </si>
  <si>
    <t>* Average Daily Probationers/Parole Served for Fiscal Year 2013:  6,222</t>
  </si>
  <si>
    <t>Laundry - Lemon Creek</t>
  </si>
  <si>
    <t xml:space="preserve">Total Equipment Cost &amp; Building      Depreciation </t>
  </si>
  <si>
    <t>2014 COC</t>
  </si>
  <si>
    <t>* * * * * * * *  * * * * * *</t>
  </si>
  <si>
    <t>IDO</t>
  </si>
  <si>
    <t>*ACCE &amp; ACCW combined totals for FY14</t>
  </si>
  <si>
    <t>FY2014</t>
  </si>
  <si>
    <t>FY2014                                                                                                                                                       AVERAGE YEAR TO DATE INMATE POPULATION</t>
  </si>
  <si>
    <t>FY2011                                                                                                                                                             AVERAGE YEAR TO DATE INMATE POPULATION</t>
  </si>
  <si>
    <t>FY2010                                                                                                                                                              AVERAGE YEAR TO DATE INMATE POPULATION</t>
  </si>
  <si>
    <t>FY2008                                                                                                                                                            AVERAGE YEAR TO DATE INMATE POPULATION</t>
  </si>
  <si>
    <t>FY2007                                                                                                                                                         AVERAGE YEAR TO DATE INMATE POPULATION</t>
  </si>
  <si>
    <t>FY2006                                                                                                                                                            AVERAGE YEAR TO DATE INMATE POPULATION</t>
  </si>
  <si>
    <t>FY2005                                                                                                                                                              AVERAGE YEAR TO DATE INMATE POPULATION</t>
  </si>
  <si>
    <t>FY2004                                                                                                                                                    AVERAGE YEAR TO DATE INMATE POPULATION</t>
  </si>
  <si>
    <t>FY2003                                                                                                                                                            AVERAGE YEAR TO DATE INMATE POPULATION</t>
  </si>
  <si>
    <t>FY2001                                                                                                                                                  AVERAGE YEAR TO DATE INMATE POPULATION</t>
  </si>
  <si>
    <t>FY2002                                                                                                                                                             AVERAGE YEAR TO DATE INMATE POPULATION</t>
  </si>
  <si>
    <t>FY2000                                                                                                                                                            AVERAGE YEAR TO DATE INMATE POPULATION</t>
  </si>
  <si>
    <t>FY1999                                                                                                                                                            AVERAGE YEAR TO DATE INMATE POPULATION</t>
  </si>
  <si>
    <t>FY1998                                                                                                                                                             AVERAGE YEAR TO DATE INMATE POPULATION</t>
  </si>
  <si>
    <t>Combined Wildwood CC</t>
  </si>
  <si>
    <t>* Average Daily Probationers/Parole Served for Fiscal Year 2014:  6,171</t>
  </si>
  <si>
    <t>CK</t>
  </si>
  <si>
    <t>21C</t>
  </si>
  <si>
    <t>Programs</t>
  </si>
  <si>
    <t>COC 2015</t>
  </si>
  <si>
    <t>Average Daily Community Jail Population for Fiscal Year 2014</t>
  </si>
  <si>
    <t>Misd 
Male Sent</t>
  </si>
  <si>
    <t>Misd
Male Unsent</t>
  </si>
  <si>
    <t>Misd
Female_Sent</t>
  </si>
  <si>
    <t>Misd
Female Unsent</t>
  </si>
  <si>
    <t>MISD
TOTAL</t>
  </si>
  <si>
    <t>Felony
Male Sent</t>
  </si>
  <si>
    <t>Felony
Male Unsent</t>
  </si>
  <si>
    <t>Felony
Female Sent</t>
  </si>
  <si>
    <t>Felony 
Female Unsent</t>
  </si>
  <si>
    <t xml:space="preserve">Felony
TOTAL </t>
  </si>
  <si>
    <t>GRAND
TOTAL</t>
  </si>
  <si>
    <t xml:space="preserve">AVG Daily </t>
  </si>
  <si>
    <t>WILDWOOD TRANSIT</t>
  </si>
  <si>
    <t>Population/Female</t>
  </si>
  <si>
    <t xml:space="preserve"> (Sched-A)</t>
  </si>
  <si>
    <t xml:space="preserve">PHILLIPS AYAGNIRVIK </t>
  </si>
  <si>
    <t>ANCH PRE SENT INV</t>
  </si>
  <si>
    <t xml:space="preserve">FEDERAL BUREAU </t>
  </si>
  <si>
    <t>2015 COC</t>
  </si>
  <si>
    <t>JULY 2013 TO JUNE 2014 - NUMBER OF MAN-DAYS</t>
  </si>
  <si>
    <t>Total Actual Operating Cost for Prior Fiscal Year</t>
  </si>
  <si>
    <t>Daily Cost Per Community Residential Center Inmate</t>
  </si>
  <si>
    <t>Average Daily Community Jail Population for Fiscal Year 2015</t>
  </si>
  <si>
    <t>(907) 269-7397</t>
  </si>
  <si>
    <t>By Individual Institution (Based on FY2015 Actuals)</t>
  </si>
  <si>
    <t>FY2015                                                                                                                                                       AVERAGE YEAR TO DATE INMATE POPULATION</t>
  </si>
  <si>
    <t>FY14 COST OF CARE SPREADSHEET</t>
  </si>
  <si>
    <t>1472/1408</t>
  </si>
  <si>
    <t>551/535</t>
  </si>
  <si>
    <t>441/430</t>
  </si>
  <si>
    <t>200/189</t>
  </si>
  <si>
    <t>N/A</t>
  </si>
  <si>
    <t>*Colorado contrat ended Sept 2013</t>
  </si>
  <si>
    <t>*PT. Mac combined with GCCC June 30</t>
  </si>
  <si>
    <t>FY2015</t>
  </si>
  <si>
    <t>FY2015 COST OF CARE SPREADSHEET</t>
  </si>
  <si>
    <t>body_loc_desc2</t>
  </si>
  <si>
    <t>location</t>
  </si>
  <si>
    <t>Misd
male
sent</t>
  </si>
  <si>
    <t>Misd
male
unsent</t>
  </si>
  <si>
    <t>Misd
female
sent</t>
  </si>
  <si>
    <t>Misd
female
unsent</t>
  </si>
  <si>
    <t>Felony
male
sent</t>
  </si>
  <si>
    <t>Felony
male
unsent</t>
  </si>
  <si>
    <t>Felony
female
sent</t>
  </si>
  <si>
    <t>Felony
female
unsent</t>
  </si>
  <si>
    <t>misd
total</t>
  </si>
  <si>
    <t>felony
total</t>
  </si>
  <si>
    <t>grand
total</t>
  </si>
  <si>
    <t>ANCHORAGE CC EAST</t>
  </si>
  <si>
    <t>AK PRISON</t>
  </si>
  <si>
    <t>ANCHORAGE CC WEST</t>
  </si>
  <si>
    <t>AVG Daily</t>
  </si>
  <si>
    <t>(Sched-A)</t>
  </si>
  <si>
    <t>z_TOTAL</t>
  </si>
  <si>
    <t>CRC</t>
  </si>
  <si>
    <t>EM</t>
  </si>
  <si>
    <t>BARROW EM</t>
  </si>
  <si>
    <t>KODIAK EM</t>
  </si>
  <si>
    <t>COLORADO STATE PRIS</t>
  </si>
  <si>
    <t>OUT OF STATE</t>
  </si>
  <si>
    <t>FEDERAL BUREAU PRI</t>
  </si>
  <si>
    <t>OUT OF S</t>
  </si>
  <si>
    <t>JULY 2014 TO JUNE 2015--NUMBER OF MAN-DAYS</t>
  </si>
  <si>
    <t>Average</t>
  </si>
  <si>
    <t>COC CY2016</t>
  </si>
  <si>
    <t>Updated: 9/23/15 lj</t>
  </si>
  <si>
    <t>Research &amp; Records</t>
  </si>
  <si>
    <t>Juneau Central  Office / Admin Svcs</t>
  </si>
  <si>
    <t>FY15</t>
  </si>
  <si>
    <t>FY16</t>
  </si>
  <si>
    <t>* Average Daily Probationers/Parole Served for Fiscal Year 2015:  5,809</t>
  </si>
  <si>
    <t>2016 COC</t>
  </si>
  <si>
    <t xml:space="preserve">Total Out-of-State Contractual Costs </t>
  </si>
  <si>
    <t>Budgeted DPS Transport RSA</t>
  </si>
  <si>
    <t>Total IA</t>
  </si>
  <si>
    <t>CIP I/A</t>
  </si>
  <si>
    <t>UnBud I/A</t>
  </si>
  <si>
    <t>Difference to Above</t>
  </si>
  <si>
    <t>PPDO / PACE</t>
  </si>
  <si>
    <t>acc</t>
  </si>
  <si>
    <t>amcc</t>
  </si>
  <si>
    <t>hmcc</t>
  </si>
  <si>
    <t>fcc</t>
  </si>
  <si>
    <t>gccc</t>
  </si>
  <si>
    <t>kcc</t>
  </si>
  <si>
    <t>lccc</t>
  </si>
  <si>
    <t>mscc</t>
  </si>
  <si>
    <t>pcc</t>
  </si>
  <si>
    <t>sccc</t>
  </si>
  <si>
    <t>wwcc</t>
  </si>
  <si>
    <t>ykcc</t>
  </si>
  <si>
    <t>Report totals</t>
  </si>
  <si>
    <t>Difference</t>
  </si>
  <si>
    <t>RSAs</t>
  </si>
  <si>
    <t>Average Daily Institutional Population for Fiscal Year 2016</t>
  </si>
  <si>
    <t>Annual Total Mandays for Fiscal Year 2016</t>
  </si>
  <si>
    <t>Average Daily CRC Population for Fiscal Year 2016</t>
  </si>
  <si>
    <t>Average Daily Probationers/Parole Served for Fiscal Year 2016</t>
  </si>
  <si>
    <t>Average Daily Community Jail Population for Fiscal Year 2016</t>
  </si>
  <si>
    <t>Average Daily Electronic Monitoring Population for Fiscal Year 2016</t>
  </si>
  <si>
    <t>Average Daily Out-of-State Population for Fiscal Year 2016</t>
  </si>
  <si>
    <t>Total as of 6/30/16</t>
  </si>
  <si>
    <t>Aquired in FY2016</t>
  </si>
  <si>
    <t>FY2016 Vehicle Inventory Total</t>
  </si>
  <si>
    <t>Max</t>
  </si>
  <si>
    <t>Gen Capacity</t>
  </si>
  <si>
    <t>Capactiy</t>
  </si>
  <si>
    <t>FY2016</t>
  </si>
  <si>
    <t>FY2016                                                                                                                                                       AVERAGE YEAR TO DATE INMATE POPULATION</t>
  </si>
  <si>
    <t>JULY 2015 TO JUNE 2016-NUMBER OF PERSONS</t>
  </si>
  <si>
    <t>JULY 2015 TO JUNE 2016--NUMBER OF MAN-DAYS</t>
  </si>
  <si>
    <t>COC CY2017</t>
  </si>
  <si>
    <t>IRIS
Unit</t>
  </si>
  <si>
    <t>Procurement</t>
  </si>
  <si>
    <t>WCC</t>
  </si>
  <si>
    <t>MSCC</t>
  </si>
  <si>
    <t>Pt.Mackenzie Correctional Center</t>
  </si>
  <si>
    <t>Probation Region ONE</t>
  </si>
  <si>
    <t>Probation Region TWO</t>
  </si>
  <si>
    <t>Physical Health Care</t>
  </si>
  <si>
    <t>Community Jails</t>
  </si>
  <si>
    <t>Revised 09/16/16 lj</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</si>
  <si>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</si>
  <si>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</si>
  <si>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</si>
  <si>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</si>
  <si>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</si>
  <si>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</si>
  <si>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</si>
  <si>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</si>
  <si>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</si>
  <si>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</si>
  <si>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</si>
  <si>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</si>
  <si>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</si>
  <si>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</si>
  <si>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</si>
  <si>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</si>
  <si>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</si>
  <si>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</si>
  <si>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</si>
  <si>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</si>
  <si>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</si>
  <si>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</si>
  <si>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</si>
  <si>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</si>
  <si>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</si>
  <si>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</si>
  <si>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</si>
  <si>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</si>
  <si>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</si>
  <si>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</si>
  <si>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</si>
  <si>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</si>
  <si>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</si>
  <si>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</si>
  <si>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</si>
  <si>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</si>
  <si>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</si>
  <si>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</si>
  <si>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</si>
  <si>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</si>
  <si>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</si>
  <si>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</si>
  <si>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</si>
  <si>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</si>
  <si>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</si>
  <si>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</si>
  <si>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</si>
  <si>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</si>
  <si>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</si>
  <si>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</si>
  <si>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</si>
  <si>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</si>
  <si>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</si>
  <si>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</si>
  <si>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</si>
  <si>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</si>
  <si>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</si>
  <si>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</si>
  <si>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</si>
  <si>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</si>
  <si>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</si>
  <si>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</si>
  <si>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</si>
  <si>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</si>
  <si>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</si>
  <si>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</si>
  <si>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</si>
  <si>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</si>
  <si>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</si>
  <si>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</si>
  <si>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</si>
  <si>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</si>
  <si>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</si>
  <si>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</si>
  <si>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</si>
  <si>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</si>
  <si>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</si>
  <si>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</si>
  <si>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</si>
  <si>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</si>
  <si>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</si>
  <si>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</si>
  <si>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</si>
  <si>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Mat-su Correctional</t>
  </si>
  <si>
    <t>Spring Creek Correctional</t>
  </si>
  <si>
    <t>Wildwood Correctional</t>
  </si>
  <si>
    <t>Interest Expense</t>
  </si>
  <si>
    <t>Safety Services</t>
  </si>
  <si>
    <t>Insurance/Bonds</t>
  </si>
  <si>
    <t>Other Wireless Charges</t>
  </si>
  <si>
    <t>Case Costs</t>
  </si>
  <si>
    <t>* Added Utilities - to Institutional costs based on ALDER Report</t>
  </si>
  <si>
    <t>Pt. MacKenzie Correctional</t>
  </si>
  <si>
    <t>Heating Oil</t>
  </si>
  <si>
    <t>Lemon Creek Correctional</t>
  </si>
  <si>
    <t>Less: DOT RSA Laundry Services</t>
  </si>
  <si>
    <t>KCC - Unbudgeted Meals RS $14.980.68</t>
  </si>
  <si>
    <t>LCCC - Unbudgeted Meals RS $77,056.65</t>
  </si>
  <si>
    <t>:2 RSA's</t>
  </si>
  <si>
    <t>Settlement Legal Fees</t>
  </si>
  <si>
    <t>:From Alder Report by Location</t>
  </si>
  <si>
    <t>Palmer Correctional</t>
  </si>
  <si>
    <t>:Unbudgeted RSA</t>
  </si>
  <si>
    <t>and 3002</t>
  </si>
  <si>
    <t>YKCC - Budgeted Meals RS $45,274.68</t>
  </si>
  <si>
    <t>24-HRS Utilities</t>
  </si>
  <si>
    <t>Revised 09/21/16 lj</t>
  </si>
  <si>
    <t>1002 and 1004</t>
  </si>
  <si>
    <t>Services</t>
  </si>
  <si>
    <t>Health &amp; Rehabilitation</t>
  </si>
  <si>
    <t>Less: Reimb. from Federal Public Protection: RSAT Grant</t>
  </si>
  <si>
    <t>From ALDER Revenue Report</t>
  </si>
  <si>
    <t>Grand Total (OFH RDU) 2 components $ 1,422,397.83 ( Education Programs &amp; Vocational Education Programs)</t>
  </si>
  <si>
    <t>Grand Total (HRS RDU) 6 components $ 52,710,253.05( BHC, PHC, HRDirector,Domestic V, Substance, Sex Offender)</t>
  </si>
  <si>
    <t>Less: Alcohol Tax RSA (SCCC Men's Sub-Acute &amp; Juvenile Offender Pgm)</t>
  </si>
  <si>
    <t>Less: Reimb. from Dept. H&amp;SS RSAT RSA</t>
  </si>
  <si>
    <t>Less: Reimb. from Dept. Labor (ABE/GED RSA)</t>
  </si>
  <si>
    <t xml:space="preserve">Less: Reimb. from Dept. Education (Carl Perkings </t>
  </si>
  <si>
    <t>Less: Reimb. from Dept. Education (MOS)</t>
  </si>
  <si>
    <t>Total Alder Revenue Report (budgeted RSA's)</t>
  </si>
  <si>
    <t>Unbudgeted RSAs (Step C $175,972.16 + Step H $57,122.00)</t>
  </si>
  <si>
    <t>Scientific and Medical</t>
  </si>
  <si>
    <t xml:space="preserve">RSA </t>
  </si>
  <si>
    <t>Grants</t>
  </si>
  <si>
    <t xml:space="preserve">Recidivism Reduction </t>
  </si>
  <si>
    <t>Expansion</t>
  </si>
  <si>
    <t xml:space="preserve">Prison System </t>
  </si>
  <si>
    <t>Budgeted RSA's</t>
  </si>
  <si>
    <t>:Grand Total ALDER Report</t>
  </si>
  <si>
    <t>ck</t>
  </si>
  <si>
    <t>:</t>
  </si>
  <si>
    <t>:Sub Total</t>
  </si>
  <si>
    <t>*Utility Cost included within each Institution - 24HRS INST component n/a</t>
  </si>
  <si>
    <t>FY16: 2 RSA's (BIP $ 68,500 /PBP $ 116,200): DPS</t>
  </si>
  <si>
    <t>Batterer's RSA</t>
  </si>
  <si>
    <t>Revised 9/23/16 lj</t>
  </si>
  <si>
    <t>Revised 09/23/16 lj</t>
  </si>
  <si>
    <t>Total Expenditures of FY2016</t>
  </si>
  <si>
    <t>Appr Type</t>
  </si>
  <si>
    <t>JCOM</t>
  </si>
  <si>
    <t>JADS</t>
  </si>
  <si>
    <t>JINT</t>
  </si>
  <si>
    <t>JRRE</t>
  </si>
  <si>
    <t>JREN</t>
  </si>
  <si>
    <t>JCOA</t>
  </si>
  <si>
    <t>JPAB</t>
  </si>
  <si>
    <t>FY2015: Total Exp AR less SB64 PACE RSA, less SB64 1st DUI (JCOM)</t>
  </si>
  <si>
    <t>Revised:  09/26/16 lj</t>
  </si>
  <si>
    <t>Education Programs / Palmer</t>
  </si>
  <si>
    <t>Updated:  9/26/16 lj</t>
  </si>
  <si>
    <t>Revised 09/26/16 lj</t>
  </si>
  <si>
    <t>Health &amp; Rehabilitation Services</t>
  </si>
  <si>
    <t>JHRS</t>
  </si>
  <si>
    <t>Appr Group</t>
  </si>
  <si>
    <t>ApprType</t>
  </si>
  <si>
    <t>JBHC</t>
  </si>
  <si>
    <t>Revenue</t>
  </si>
  <si>
    <t>JSAP</t>
  </si>
  <si>
    <t>Offender Habilitation Programs</t>
  </si>
  <si>
    <t>JOHP</t>
  </si>
  <si>
    <t>JEDP</t>
  </si>
  <si>
    <t>JPOP</t>
  </si>
  <si>
    <t>JTRN</t>
  </si>
  <si>
    <t>JAMC</t>
  </si>
  <si>
    <t>JGCC</t>
  </si>
  <si>
    <t>JLCC</t>
  </si>
  <si>
    <t>JYKC</t>
  </si>
  <si>
    <t>Revised: 9/27/16 lj</t>
  </si>
  <si>
    <t>(3 budgeted RSA's)</t>
  </si>
  <si>
    <t>JPCC</t>
  </si>
  <si>
    <t>JAMC / JYKC</t>
  </si>
  <si>
    <t>Decreased by RSAs</t>
  </si>
  <si>
    <t>JCIM</t>
  </si>
  <si>
    <t xml:space="preserve">No RSA in FY2016 </t>
  </si>
  <si>
    <t>JIDO</t>
  </si>
  <si>
    <t>JPSE</t>
  </si>
  <si>
    <t>JCLF</t>
  </si>
  <si>
    <t>Decreased by RSA</t>
  </si>
  <si>
    <t>JPOA</t>
  </si>
  <si>
    <t>JRRG</t>
  </si>
  <si>
    <t>SB64 PACE RSA</t>
  </si>
  <si>
    <t>JCOJ</t>
  </si>
  <si>
    <t>JPPD</t>
  </si>
  <si>
    <t>JSPP</t>
  </si>
  <si>
    <t>JOOS</t>
  </si>
  <si>
    <t>JELM</t>
  </si>
  <si>
    <t>JCRC</t>
  </si>
  <si>
    <t>JFAC</t>
  </si>
  <si>
    <t>Unbudgeted RSA SpecAsst (20-X020)</t>
  </si>
  <si>
    <t>Unbudgeted SB64 RSAs (PACE / 1ST DUI)</t>
  </si>
  <si>
    <t xml:space="preserve">Health &amp; Rehab Svcs: RSAT GRANT </t>
  </si>
  <si>
    <t>Health &amp; Rehab Svcs: RSAT RSA</t>
  </si>
  <si>
    <t>Budg /Un-budg - Offender Programs (3) RSAs</t>
  </si>
  <si>
    <t>JOFH</t>
  </si>
  <si>
    <t>Unbudgeted RSA (20-X020 Public Info Officer Sherie D)</t>
  </si>
  <si>
    <t>Administration &amp; Support*</t>
  </si>
  <si>
    <t>JADS / JCOA
JCOM / JINT
JPAB / JREN
JRRE</t>
  </si>
  <si>
    <t>Note*: Includes SF Rent, Correctional Academy, and Parole Board Expenditues</t>
  </si>
  <si>
    <t>Revised 9/27/16 lj</t>
  </si>
  <si>
    <t>HEALTH &amp; REHABILITATION SERVICES</t>
  </si>
  <si>
    <t>OFFENDER HABILITATION PROGRAMS</t>
  </si>
  <si>
    <t>Education (3) RSAs</t>
  </si>
  <si>
    <t xml:space="preserve">Fairbanks Correctional  </t>
  </si>
  <si>
    <t>Ketchikan Correctional</t>
  </si>
  <si>
    <t>Mat-Su Correctional</t>
  </si>
  <si>
    <t xml:space="preserve">Palmer Correctional </t>
  </si>
  <si>
    <t xml:space="preserve">Yukon Kuskokwim Correctional </t>
  </si>
  <si>
    <t>Revised: 9/28/16 lj</t>
  </si>
  <si>
    <t>Decreased by 3 RSAs (ABE/CARL P/MOS)</t>
  </si>
  <si>
    <t>SB64 1st DUI</t>
  </si>
  <si>
    <t>FY2016 Restricted in full</t>
  </si>
  <si>
    <r>
      <rPr>
        <b/>
        <i/>
        <sz val="10"/>
        <rFont val="Calibri"/>
        <family val="2"/>
      </rPr>
      <t>Add</t>
    </r>
    <r>
      <rPr>
        <b/>
        <sz val="10"/>
        <rFont val="Calibri"/>
        <family val="2"/>
      </rPr>
      <t xml:space="preserve">: </t>
    </r>
    <r>
      <rPr>
        <sz val="10"/>
        <rFont val="Calibri"/>
        <family val="2"/>
      </rPr>
      <t>Depreciation Calculation</t>
    </r>
  </si>
  <si>
    <t>Budgeted DOT/LCCC Laundry RSA</t>
  </si>
  <si>
    <t xml:space="preserve">        Less: DHSS two RSAs Youth Meals</t>
  </si>
  <si>
    <t>Unbudgeted Step C / Step H RSAs</t>
  </si>
  <si>
    <t>JVEP</t>
  </si>
  <si>
    <t>Decreased by 2 Unbudgeted RSA's (Step C / Step H)</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</si>
  <si>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</si>
  <si>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</si>
  <si>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</si>
  <si>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</si>
  <si>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</si>
  <si>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</si>
  <si>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</si>
  <si>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</si>
  <si>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</si>
  <si>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</si>
  <si>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</si>
  <si>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</si>
  <si>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</si>
  <si>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</si>
  <si>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Youth Meals (2) Budgeted RSAs</t>
  </si>
  <si>
    <t>Administration &amp; Support RDU</t>
  </si>
  <si>
    <t>Recidivism Reduction Grant</t>
  </si>
  <si>
    <t>Inmate Transportation Unit</t>
  </si>
  <si>
    <t>Reconciliation to Actuals</t>
  </si>
  <si>
    <t>DOC Total Cost: ( By Appr Type Alder Report )</t>
  </si>
  <si>
    <t xml:space="preserve">        Less: DOT/Laundry RSA</t>
  </si>
  <si>
    <t xml:space="preserve">        Less: DNR/MMM&amp;S RSA (Unbudgeted)</t>
  </si>
  <si>
    <t>Less: DH&amp;S/ RSAT RSA</t>
  </si>
  <si>
    <t>Less: 3 Education RSAs</t>
  </si>
  <si>
    <t>Less: 2 Voc Ed Programs RSA's (Unbudgeted)</t>
  </si>
  <si>
    <t>Less: DPS PREA RSA</t>
  </si>
  <si>
    <t>Less: DPS Transportation RSA</t>
  </si>
  <si>
    <t xml:space="preserve">* Average Daily Probationers / Parole Served for Fiscal Year 2016:  </t>
  </si>
  <si>
    <t>$1350.25/mo</t>
  </si>
  <si>
    <t>FY2016 COST OF CARE SPREADSHEET</t>
  </si>
  <si>
    <t xml:space="preserve">FY2016    </t>
  </si>
  <si>
    <t>Location</t>
  </si>
  <si>
    <t>Misd 
male 
sent</t>
  </si>
  <si>
    <t>Misd 
male 
unsent</t>
  </si>
  <si>
    <t>Misd 
female 
sent</t>
  </si>
  <si>
    <t>Misd 
female 
unsent</t>
  </si>
  <si>
    <t>Felony 
male 
sent</t>
  </si>
  <si>
    <t>Felony 
male 
unsent</t>
  </si>
  <si>
    <t>Felony 
female 
sent</t>
  </si>
  <si>
    <t>Felony 
female 
unsent</t>
  </si>
  <si>
    <t>Grand 
Total</t>
  </si>
  <si>
    <t>Female</t>
  </si>
  <si>
    <t>Population</t>
  </si>
  <si>
    <t>INSTITUTION TOTAL</t>
  </si>
  <si>
    <t>CRC Total</t>
  </si>
  <si>
    <t>EM Total</t>
  </si>
  <si>
    <t>Revised 10/11/16 lj</t>
  </si>
  <si>
    <t>2017 COC</t>
  </si>
  <si>
    <t>Revised: 10/11/16 lj</t>
  </si>
  <si>
    <t>Director, Administrative Services</t>
  </si>
  <si>
    <t>April Wilkerson</t>
  </si>
  <si>
    <t>Director, Admin. Services</t>
  </si>
  <si>
    <t>Grand Total of 6 components $ 52,710,253.05 BHC, PHC, HRDirector,Domestic V, Substance, Sex Offender)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</si>
</sst>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s>
  <fonts count="119" x14ac:knownFonts="1">
    <font>
      <sz val="10"/>
      <name val="Arial"/>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10"/>
      <color indexed="10"/>
      <name val="Arial"/>
      <family val="2"/>
    </font>
    <font>
      <sz val="9"/>
      <color indexed="81"/>
      <name val="Tahoma"/>
      <family val="2"/>
    </font>
    <font>
      <b/>
      <sz val="9"/>
      <color indexed="81"/>
      <name val="Tahoma"/>
      <family val="2"/>
    </font>
    <font>
      <u/>
      <sz val="8"/>
      <color indexed="81"/>
      <name val="Tahoma"/>
      <family val="2"/>
    </font>
    <font>
      <u/>
      <sz val="9"/>
      <color indexed="81"/>
      <name val="Tahoma"/>
      <family val="2"/>
    </font>
    <font>
      <b/>
      <u/>
      <sz val="9"/>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b/>
      <sz val="10"/>
      <color indexed="81"/>
      <name val="Tahoma"/>
      <family val="2"/>
    </font>
    <font>
      <b/>
      <sz val="11"/>
      <color indexed="52"/>
      <name val="Arial"/>
      <family val="2"/>
    </font>
    <font>
      <b/>
      <u/>
      <sz val="11"/>
      <color indexed="81"/>
      <name val="Tahoma"/>
      <family val="2"/>
    </font>
    <font>
      <b/>
      <i/>
      <sz val="9"/>
      <name val="Arial"/>
      <family val="2"/>
    </font>
    <font>
      <u/>
      <sz val="10"/>
      <name val="Arial"/>
      <family val="2"/>
    </font>
    <font>
      <sz val="10"/>
      <name val="Arial"/>
      <family val="2"/>
    </font>
    <font>
      <u/>
      <sz val="10"/>
      <color indexed="60"/>
      <name val="Arial"/>
      <family val="2"/>
    </font>
    <font>
      <sz val="10"/>
      <color indexed="10"/>
      <name val="Arial"/>
      <family val="2"/>
    </font>
    <font>
      <sz val="10"/>
      <color indexed="8"/>
      <name val="Arial"/>
      <family val="2"/>
    </font>
    <font>
      <b/>
      <sz val="11"/>
      <color indexed="8"/>
      <name val="Calibri"/>
      <family val="2"/>
    </font>
    <font>
      <b/>
      <i/>
      <sz val="11"/>
      <color indexed="30"/>
      <name val="Arial"/>
      <family val="2"/>
    </font>
    <font>
      <b/>
      <i/>
      <sz val="12"/>
      <color indexed="30"/>
      <name val="Arial"/>
      <family val="2"/>
    </font>
    <font>
      <sz val="8"/>
      <name val="Arial"/>
      <family val="2"/>
    </font>
    <font>
      <b/>
      <i/>
      <sz val="12"/>
      <name val="Arial"/>
      <family val="2"/>
    </font>
    <font>
      <i/>
      <sz val="11"/>
      <name val="Arial"/>
      <family val="2"/>
    </font>
    <font>
      <i/>
      <sz val="12"/>
      <name val="Arial"/>
      <family val="2"/>
    </font>
    <font>
      <i/>
      <sz val="11"/>
      <color indexed="10"/>
      <name val="Arial"/>
      <family val="2"/>
    </font>
    <font>
      <i/>
      <sz val="11"/>
      <color indexed="12"/>
      <name val="Arial"/>
      <family val="2"/>
    </font>
    <font>
      <i/>
      <sz val="11"/>
      <color indexed="48"/>
      <name val="Arial"/>
      <family val="2"/>
    </font>
    <font>
      <sz val="10"/>
      <name val="Arial"/>
      <family val="2"/>
    </font>
    <font>
      <u/>
      <sz val="10"/>
      <color indexed="60"/>
      <name val="Arial"/>
      <family val="2"/>
    </font>
    <font>
      <sz val="10"/>
      <color indexed="10"/>
      <name val="Arial"/>
      <family val="2"/>
    </font>
    <font>
      <b/>
      <sz val="7"/>
      <color indexed="48"/>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b/>
      <sz val="10"/>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b/>
      <i/>
      <sz val="10"/>
      <color indexed="62"/>
      <name val="Arial"/>
      <family val="2"/>
    </font>
    <font>
      <b/>
      <i/>
      <sz val="10"/>
      <color indexed="17"/>
      <name val="Arial"/>
      <family val="2"/>
    </font>
    <font>
      <i/>
      <sz val="9"/>
      <name val="Arial"/>
      <family val="2"/>
    </font>
    <font>
      <b/>
      <i/>
      <sz val="9"/>
      <color indexed="81"/>
      <name val="Tahoma"/>
      <family val="2"/>
    </font>
  </fonts>
  <fills count="5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8"/>
        <bgColor indexed="64"/>
      </patternFill>
    </fill>
    <fill>
      <patternFill patternType="solid">
        <fgColor indexed="43"/>
        <bgColor indexed="64"/>
      </patternFill>
    </fill>
    <fill>
      <patternFill patternType="solid">
        <fgColor indexed="27"/>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indexed="11"/>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bottom style="thin">
        <color indexed="64"/>
      </bottom>
      <diagonal/>
    </border>
    <border>
      <left style="thin">
        <color indexed="8"/>
      </left>
      <right/>
      <top style="thin">
        <color indexed="8"/>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78">
    <xf numFmtId="0" fontId="0" fillId="0" borderId="0"/>
    <xf numFmtId="0" fontId="90" fillId="9" borderId="0" applyNumberFormat="0" applyBorder="0" applyAlignment="0" applyProtection="0"/>
    <xf numFmtId="0" fontId="90" fillId="10" borderId="0" applyNumberFormat="0" applyBorder="0" applyAlignment="0" applyProtection="0"/>
    <xf numFmtId="0" fontId="90" fillId="11" borderId="0" applyNumberFormat="0" applyBorder="0" applyAlignment="0" applyProtection="0"/>
    <xf numFmtId="0" fontId="90" fillId="12"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1" fillId="21" borderId="0" applyNumberFormat="0" applyBorder="0" applyAlignment="0" applyProtection="0"/>
    <xf numFmtId="0" fontId="91" fillId="22"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91" fillId="25"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91" fillId="29"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92" fillId="33" borderId="0" applyNumberFormat="0" applyBorder="0" applyAlignment="0" applyProtection="0"/>
    <xf numFmtId="0" fontId="93" fillId="34" borderId="93" applyNumberFormat="0" applyAlignment="0" applyProtection="0"/>
    <xf numFmtId="0" fontId="94" fillId="35" borderId="94" applyNumberFormat="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25" fillId="0" borderId="0" applyFont="0" applyFill="0" applyBorder="0" applyAlignment="0" applyProtection="0"/>
    <xf numFmtId="0" fontId="95" fillId="0" borderId="0" applyNumberFormat="0" applyFill="0" applyBorder="0" applyAlignment="0" applyProtection="0"/>
    <xf numFmtId="0" fontId="96" fillId="36" borderId="0" applyNumberFormat="0" applyBorder="0" applyAlignment="0" applyProtection="0"/>
    <xf numFmtId="0" fontId="97" fillId="0" borderId="95" applyNumberFormat="0" applyFill="0" applyAlignment="0" applyProtection="0"/>
    <xf numFmtId="0" fontId="98" fillId="0" borderId="96" applyNumberFormat="0" applyFill="0" applyAlignment="0" applyProtection="0"/>
    <xf numFmtId="0" fontId="99" fillId="0" borderId="97" applyNumberFormat="0" applyFill="0" applyAlignment="0" applyProtection="0"/>
    <xf numFmtId="0" fontId="99" fillId="0" borderId="0" applyNumberFormat="0" applyFill="0" applyBorder="0" applyAlignment="0" applyProtection="0"/>
    <xf numFmtId="0" fontId="100" fillId="37" borderId="93" applyNumberFormat="0" applyAlignment="0" applyProtection="0"/>
    <xf numFmtId="0" fontId="101" fillId="0" borderId="98" applyNumberFormat="0" applyFill="0" applyAlignment="0" applyProtection="0"/>
    <xf numFmtId="0" fontId="102" fillId="38" borderId="0" applyNumberFormat="0" applyBorder="0" applyAlignment="0" applyProtection="0"/>
    <xf numFmtId="0" fontId="90" fillId="0" borderId="0"/>
    <xf numFmtId="0" fontId="24" fillId="0" borderId="0"/>
    <xf numFmtId="0" fontId="3" fillId="0" borderId="0"/>
    <xf numFmtId="0" fontId="3" fillId="0" borderId="0"/>
    <xf numFmtId="0" fontId="25" fillId="0" borderId="0"/>
    <xf numFmtId="0" fontId="3" fillId="0" borderId="0"/>
    <xf numFmtId="0" fontId="3" fillId="0" borderId="0"/>
    <xf numFmtId="0" fontId="3" fillId="0" borderId="0">
      <alignment wrapText="1"/>
    </xf>
    <xf numFmtId="0" fontId="3" fillId="0" borderId="0">
      <alignment wrapText="1"/>
    </xf>
    <xf numFmtId="0" fontId="3" fillId="0" borderId="0">
      <alignment wrapText="1"/>
    </xf>
    <xf numFmtId="0" fontId="25" fillId="39" borderId="99" applyNumberFormat="0" applyFont="0" applyAlignment="0" applyProtection="0"/>
    <xf numFmtId="0" fontId="38" fillId="39" borderId="99" applyNumberFormat="0" applyFont="0" applyAlignment="0" applyProtection="0"/>
    <xf numFmtId="0" fontId="25" fillId="39" borderId="99" applyNumberFormat="0" applyFont="0" applyAlignment="0" applyProtection="0"/>
    <xf numFmtId="0" fontId="103" fillId="34" borderId="100" applyNumberFormat="0" applyAlignment="0" applyProtection="0"/>
    <xf numFmtId="0" fontId="104" fillId="0" borderId="0" applyNumberFormat="0" applyFill="0" applyBorder="0" applyAlignment="0" applyProtection="0"/>
    <xf numFmtId="0" fontId="105" fillId="0" borderId="101" applyNumberFormat="0" applyFill="0" applyAlignment="0" applyProtection="0"/>
    <xf numFmtId="0" fontId="106" fillId="0" borderId="0" applyNumberFormat="0" applyFill="0" applyBorder="0" applyAlignment="0" applyProtection="0"/>
    <xf numFmtId="0" fontId="109" fillId="0" borderId="0"/>
    <xf numFmtId="43" fontId="109" fillId="0" borderId="0" applyFont="0" applyFill="0" applyBorder="0" applyAlignment="0" applyProtection="0"/>
    <xf numFmtId="44" fontId="109" fillId="0" borderId="0" applyFont="0" applyFill="0" applyBorder="0" applyAlignment="0" applyProtection="0"/>
    <xf numFmtId="0" fontId="109" fillId="0" borderId="0"/>
    <xf numFmtId="0" fontId="109" fillId="0" borderId="0"/>
    <xf numFmtId="0" fontId="110"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cellStyleXfs>
  <cellXfs count="1194">
    <xf numFmtId="0" fontId="0" fillId="0" borderId="0" xfId="0"/>
    <xf numFmtId="0" fontId="0" fillId="0" borderId="1" xfId="0" applyBorder="1"/>
    <xf numFmtId="0" fontId="2" fillId="0" borderId="2" xfId="0" applyFont="1" applyBorder="1" applyAlignment="1">
      <alignment horizontal="center" vertical="center"/>
    </xf>
    <xf numFmtId="1" fontId="6" fillId="0" borderId="1" xfId="0" applyNumberFormat="1" applyFont="1" applyBorder="1" applyAlignment="1">
      <alignment horizontal="center"/>
    </xf>
    <xf numFmtId="41" fontId="6" fillId="0" borderId="1" xfId="0" applyNumberFormat="1" applyFont="1" applyBorder="1" applyAlignment="1">
      <alignment horizontal="center"/>
    </xf>
    <xf numFmtId="3" fontId="6" fillId="0" borderId="1" xfId="0" applyNumberFormat="1" applyFont="1" applyBorder="1" applyAlignment="1">
      <alignment horizontal="center"/>
    </xf>
    <xf numFmtId="3" fontId="6" fillId="0" borderId="3" xfId="0" applyNumberFormat="1" applyFont="1" applyBorder="1" applyAlignment="1">
      <alignment horizontal="center"/>
    </xf>
    <xf numFmtId="3" fontId="6" fillId="0" borderId="4" xfId="0" applyNumberFormat="1" applyFont="1" applyBorder="1" applyAlignment="1">
      <alignment horizontal="center"/>
    </xf>
    <xf numFmtId="3" fontId="6" fillId="0" borderId="5" xfId="0" applyNumberFormat="1" applyFont="1" applyBorder="1" applyAlignment="1">
      <alignment horizontal="center"/>
    </xf>
    <xf numFmtId="3" fontId="5" fillId="0" borderId="6" xfId="0" applyNumberFormat="1" applyFont="1" applyBorder="1" applyAlignment="1">
      <alignment horizontal="center"/>
    </xf>
    <xf numFmtId="0" fontId="5" fillId="0" borderId="0" xfId="0" applyFont="1" applyAlignment="1">
      <alignment vertical="top"/>
    </xf>
    <xf numFmtId="0" fontId="5" fillId="0" borderId="7" xfId="0" applyFont="1" applyBorder="1"/>
    <xf numFmtId="0" fontId="7" fillId="0" borderId="0" xfId="0" applyFont="1"/>
    <xf numFmtId="0" fontId="8" fillId="0" borderId="0" xfId="0" applyFont="1"/>
    <xf numFmtId="0" fontId="0" fillId="0" borderId="8" xfId="0" applyBorder="1"/>
    <xf numFmtId="0" fontId="0" fillId="0" borderId="9" xfId="0" applyBorder="1"/>
    <xf numFmtId="0" fontId="0" fillId="0" borderId="2" xfId="0" applyBorder="1"/>
    <xf numFmtId="0" fontId="0" fillId="0" borderId="3" xfId="0" applyBorder="1"/>
    <xf numFmtId="165" fontId="6" fillId="0" borderId="1" xfId="0" applyNumberFormat="1" applyFont="1" applyBorder="1" applyAlignment="1">
      <alignment horizontal="center"/>
    </xf>
    <xf numFmtId="0" fontId="5" fillId="0" borderId="0" xfId="0" applyFont="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3" fontId="0" fillId="0" borderId="8" xfId="0" applyNumberFormat="1" applyBorder="1"/>
    <xf numFmtId="170"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0" fontId="5" fillId="0" borderId="11" xfId="0" applyFont="1" applyBorder="1"/>
    <xf numFmtId="17" fontId="6" fillId="0" borderId="12" xfId="0" applyNumberFormat="1" applyFont="1" applyBorder="1" applyAlignment="1">
      <alignment horizontal="left"/>
    </xf>
    <xf numFmtId="17" fontId="6" fillId="0" borderId="13" xfId="0" applyNumberFormat="1" applyFont="1" applyBorder="1" applyAlignment="1">
      <alignment horizontal="left"/>
    </xf>
    <xf numFmtId="17" fontId="5" fillId="0" borderId="14" xfId="0" applyNumberFormat="1" applyFont="1" applyBorder="1" applyAlignment="1">
      <alignment horizontal="center"/>
    </xf>
    <xf numFmtId="17" fontId="6" fillId="0" borderId="15" xfId="0" applyNumberFormat="1" applyFont="1" applyBorder="1" applyAlignment="1">
      <alignment horizontal="left"/>
    </xf>
    <xf numFmtId="0" fontId="5" fillId="0" borderId="14" xfId="0" applyFont="1" applyBorder="1" applyAlignment="1">
      <alignment horizontal="center"/>
    </xf>
    <xf numFmtId="0" fontId="5" fillId="0" borderId="14" xfId="0" applyFont="1" applyBorder="1"/>
    <xf numFmtId="0" fontId="0" fillId="0" borderId="16" xfId="0" applyBorder="1"/>
    <xf numFmtId="0" fontId="12" fillId="0" borderId="17" xfId="0" applyFont="1" applyBorder="1" applyAlignment="1">
      <alignment horizontal="center"/>
    </xf>
    <xf numFmtId="0" fontId="12" fillId="0" borderId="18" xfId="0" applyFont="1" applyBorder="1" applyAlignment="1">
      <alignment horizontal="center"/>
    </xf>
    <xf numFmtId="0" fontId="7" fillId="0" borderId="19" xfId="0" applyFont="1" applyBorder="1" applyAlignment="1">
      <alignment horizontal="center"/>
    </xf>
    <xf numFmtId="17" fontId="7" fillId="0" borderId="12" xfId="0" applyNumberFormat="1" applyFont="1" applyBorder="1" applyAlignment="1">
      <alignment horizontal="center"/>
    </xf>
    <xf numFmtId="17" fontId="7" fillId="0" borderId="13" xfId="0" applyNumberFormat="1" applyFont="1" applyBorder="1" applyAlignment="1">
      <alignment horizontal="center"/>
    </xf>
    <xf numFmtId="0" fontId="9" fillId="0" borderId="0" xfId="0" applyFont="1" applyAlignment="1">
      <alignment vertical="top"/>
    </xf>
    <xf numFmtId="17" fontId="9" fillId="0" borderId="20" xfId="0" applyNumberFormat="1" applyFont="1" applyBorder="1" applyAlignment="1">
      <alignment horizontal="center"/>
    </xf>
    <xf numFmtId="0" fontId="9" fillId="0" borderId="18" xfId="0" applyFont="1" applyBorder="1" applyAlignment="1">
      <alignment horizontal="center"/>
    </xf>
    <xf numFmtId="0" fontId="8" fillId="0" borderId="21" xfId="0" applyFont="1" applyBorder="1" applyAlignment="1">
      <alignment horizontal="left"/>
    </xf>
    <xf numFmtId="17" fontId="8" fillId="0" borderId="22" xfId="0" applyNumberFormat="1" applyFont="1" applyBorder="1" applyAlignment="1">
      <alignment horizontal="left"/>
    </xf>
    <xf numFmtId="17" fontId="8" fillId="0" borderId="23" xfId="0" applyNumberFormat="1" applyFont="1" applyBorder="1" applyAlignment="1">
      <alignment horizontal="left"/>
    </xf>
    <xf numFmtId="17" fontId="9" fillId="0" borderId="23" xfId="0" applyNumberFormat="1" applyFont="1" applyBorder="1" applyAlignment="1">
      <alignment horizontal="left"/>
    </xf>
    <xf numFmtId="17" fontId="8" fillId="0" borderId="24" xfId="0" applyNumberFormat="1" applyFont="1" applyBorder="1" applyAlignment="1">
      <alignment horizontal="left"/>
    </xf>
    <xf numFmtId="0" fontId="9" fillId="0" borderId="20" xfId="0" applyFont="1" applyBorder="1" applyAlignment="1">
      <alignment horizontal="center"/>
    </xf>
    <xf numFmtId="0" fontId="9" fillId="0" borderId="20" xfId="0" applyFont="1" applyBorder="1"/>
    <xf numFmtId="0" fontId="9" fillId="0" borderId="11" xfId="0" applyFont="1" applyBorder="1"/>
    <xf numFmtId="0" fontId="9" fillId="0" borderId="7" xfId="0" applyFont="1" applyBorder="1"/>
    <xf numFmtId="0" fontId="8" fillId="0" borderId="17" xfId="0" applyFont="1" applyBorder="1"/>
    <xf numFmtId="0" fontId="9" fillId="0" borderId="25" xfId="0" applyFont="1" applyBorder="1" applyAlignment="1">
      <alignment horizontal="center"/>
    </xf>
    <xf numFmtId="0" fontId="9" fillId="0" borderId="26" xfId="0" applyFont="1" applyBorder="1" applyAlignment="1">
      <alignment horizontal="center"/>
    </xf>
    <xf numFmtId="17" fontId="9" fillId="0" borderId="24" xfId="0" applyNumberFormat="1" applyFont="1" applyBorder="1" applyAlignment="1">
      <alignment horizontal="center"/>
    </xf>
    <xf numFmtId="17" fontId="9" fillId="0" borderId="27" xfId="0" applyNumberFormat="1" applyFont="1" applyBorder="1" applyAlignment="1">
      <alignment horizontal="center"/>
    </xf>
    <xf numFmtId="17" fontId="9" fillId="0" borderId="28" xfId="0" applyNumberFormat="1" applyFont="1" applyBorder="1" applyAlignment="1">
      <alignment horizontal="center"/>
    </xf>
    <xf numFmtId="3" fontId="14" fillId="0" borderId="29" xfId="0" applyNumberFormat="1" applyFont="1" applyBorder="1" applyAlignment="1">
      <alignment horizontal="center"/>
    </xf>
    <xf numFmtId="3" fontId="8" fillId="0" borderId="29" xfId="0" applyNumberFormat="1" applyFont="1" applyBorder="1" applyAlignment="1">
      <alignment horizontal="center"/>
    </xf>
    <xf numFmtId="3" fontId="9" fillId="0" borderId="29" xfId="0" applyNumberFormat="1" applyFont="1" applyBorder="1" applyAlignment="1">
      <alignment horizontal="center"/>
    </xf>
    <xf numFmtId="3" fontId="9" fillId="0" borderId="30" xfId="0" applyNumberFormat="1" applyFont="1" applyBorder="1" applyAlignment="1">
      <alignment horizontal="center"/>
    </xf>
    <xf numFmtId="3" fontId="14" fillId="0" borderId="31" xfId="0" applyNumberFormat="1" applyFont="1" applyBorder="1" applyAlignment="1">
      <alignment horizontal="center"/>
    </xf>
    <xf numFmtId="3" fontId="13" fillId="0" borderId="11" xfId="0" applyNumberFormat="1" applyFont="1" applyBorder="1" applyAlignment="1">
      <alignment horizontal="center"/>
    </xf>
    <xf numFmtId="3" fontId="9" fillId="0" borderId="11" xfId="0" applyNumberFormat="1" applyFont="1" applyBorder="1" applyAlignment="1">
      <alignment horizontal="center"/>
    </xf>
    <xf numFmtId="4" fontId="8" fillId="0" borderId="6" xfId="0" applyNumberFormat="1" applyFont="1" applyBorder="1"/>
    <xf numFmtId="4" fontId="8" fillId="0" borderId="32" xfId="0" applyNumberFormat="1" applyFont="1" applyBorder="1"/>
    <xf numFmtId="4" fontId="8" fillId="0" borderId="14" xfId="0" applyNumberFormat="1" applyFont="1" applyBorder="1"/>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1" xfId="0" applyNumberFormat="1" applyFont="1" applyBorder="1" applyAlignment="1">
      <alignment horizontal="center"/>
    </xf>
    <xf numFmtId="3" fontId="8" fillId="0" borderId="5" xfId="0" applyNumberFormat="1" applyFont="1" applyBorder="1" applyAlignment="1">
      <alignment horizontal="center"/>
    </xf>
    <xf numFmtId="3" fontId="8" fillId="0" borderId="33" xfId="0" applyNumberFormat="1" applyFont="1" applyBorder="1" applyAlignment="1">
      <alignment horizontal="center"/>
    </xf>
    <xf numFmtId="3" fontId="8" fillId="0" borderId="34" xfId="0" applyNumberFormat="1" applyFont="1" applyBorder="1" applyAlignment="1">
      <alignment horizontal="center"/>
    </xf>
    <xf numFmtId="3" fontId="9" fillId="0" borderId="35" xfId="0" applyNumberFormat="1" applyFont="1" applyBorder="1" applyAlignment="1">
      <alignment horizontal="center"/>
    </xf>
    <xf numFmtId="3" fontId="9" fillId="0" borderId="6" xfId="0" applyNumberFormat="1" applyFont="1" applyBorder="1" applyAlignment="1">
      <alignment horizontal="center"/>
    </xf>
    <xf numFmtId="3" fontId="9" fillId="0" borderId="32" xfId="0" applyNumberFormat="1" applyFont="1" applyBorder="1" applyAlignment="1">
      <alignment horizontal="center"/>
    </xf>
    <xf numFmtId="3" fontId="9" fillId="0" borderId="36" xfId="0" applyNumberFormat="1" applyFont="1" applyBorder="1" applyAlignment="1">
      <alignment horizontal="center"/>
    </xf>
    <xf numFmtId="4" fontId="14" fillId="0" borderId="11" xfId="0" applyNumberFormat="1" applyFont="1" applyBorder="1"/>
    <xf numFmtId="4" fontId="15" fillId="0" borderId="32" xfId="0" applyNumberFormat="1" applyFont="1" applyBorder="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1" fontId="8" fillId="0" borderId="1" xfId="0" applyNumberFormat="1" applyFont="1" applyBorder="1" applyAlignment="1">
      <alignment horizontal="center"/>
    </xf>
    <xf numFmtId="1" fontId="8" fillId="0" borderId="26" xfId="0" applyNumberFormat="1" applyFont="1" applyBorder="1" applyAlignment="1">
      <alignment horizontal="center"/>
    </xf>
    <xf numFmtId="1" fontId="8" fillId="0" borderId="4" xfId="0" applyNumberFormat="1" applyFont="1" applyBorder="1" applyAlignment="1">
      <alignment horizontal="center"/>
    </xf>
    <xf numFmtId="1" fontId="8" fillId="0" borderId="5" xfId="0" applyNumberFormat="1" applyFont="1" applyBorder="1" applyAlignment="1">
      <alignment horizontal="center"/>
    </xf>
    <xf numFmtId="1" fontId="9" fillId="0" borderId="6" xfId="0" applyNumberFormat="1" applyFont="1" applyBorder="1" applyAlignment="1">
      <alignment horizontal="center"/>
    </xf>
    <xf numFmtId="0" fontId="8" fillId="0" borderId="16" xfId="0" applyFont="1" applyBorder="1"/>
    <xf numFmtId="3" fontId="14" fillId="0" borderId="0" xfId="0" applyNumberFormat="1" applyFont="1" applyAlignment="1">
      <alignment horizontal="center"/>
    </xf>
    <xf numFmtId="3" fontId="9" fillId="0" borderId="14" xfId="0" applyNumberFormat="1" applyFont="1" applyBorder="1" applyAlignment="1">
      <alignment horizontal="center"/>
    </xf>
    <xf numFmtId="3" fontId="14" fillId="0" borderId="37" xfId="0" applyNumberFormat="1" applyFont="1" applyBorder="1" applyAlignment="1">
      <alignment horizontal="center"/>
    </xf>
    <xf numFmtId="3" fontId="8" fillId="0" borderId="38" xfId="0" applyNumberFormat="1" applyFont="1" applyBorder="1" applyAlignment="1">
      <alignment horizontal="center" wrapText="1"/>
    </xf>
    <xf numFmtId="4" fontId="15" fillId="0" borderId="6" xfId="0" applyNumberFormat="1" applyFont="1" applyBorder="1"/>
    <xf numFmtId="4" fontId="9" fillId="0" borderId="6" xfId="0" applyNumberFormat="1" applyFont="1" applyBorder="1"/>
    <xf numFmtId="3" fontId="14" fillId="0" borderId="11" xfId="0" applyNumberFormat="1" applyFont="1" applyBorder="1" applyAlignment="1">
      <alignment horizontal="center"/>
    </xf>
    <xf numFmtId="1" fontId="8" fillId="0" borderId="12" xfId="0" applyNumberFormat="1" applyFont="1" applyBorder="1" applyAlignment="1">
      <alignment horizontal="center"/>
    </xf>
    <xf numFmtId="1" fontId="8" fillId="0" borderId="13" xfId="0" applyNumberFormat="1" applyFont="1" applyBorder="1" applyAlignment="1">
      <alignment horizontal="center"/>
    </xf>
    <xf numFmtId="1" fontId="9" fillId="0" borderId="14" xfId="0" applyNumberFormat="1" applyFont="1" applyBorder="1" applyAlignment="1">
      <alignment horizontal="center"/>
    </xf>
    <xf numFmtId="4" fontId="14" fillId="0" borderId="20" xfId="0" applyNumberFormat="1" applyFont="1" applyBorder="1"/>
    <xf numFmtId="4" fontId="15" fillId="0" borderId="14" xfId="0" applyNumberFormat="1" applyFont="1" applyBorder="1"/>
    <xf numFmtId="3" fontId="9" fillId="0" borderId="38" xfId="0" applyNumberFormat="1" applyFont="1" applyBorder="1" applyAlignment="1">
      <alignment horizontal="center"/>
    </xf>
    <xf numFmtId="3" fontId="8" fillId="0" borderId="6" xfId="0" applyNumberFormat="1" applyFont="1" applyBorder="1" applyAlignment="1">
      <alignment horizontal="center" wrapText="1"/>
    </xf>
    <xf numFmtId="3" fontId="13" fillId="0" borderId="20" xfId="0" applyNumberFormat="1" applyFont="1" applyBorder="1" applyAlignment="1">
      <alignment horizontal="center"/>
    </xf>
    <xf numFmtId="3" fontId="13" fillId="0" borderId="37" xfId="0" applyNumberFormat="1" applyFont="1" applyBorder="1" applyAlignment="1">
      <alignment horizontal="center"/>
    </xf>
    <xf numFmtId="3" fontId="13" fillId="0" borderId="30" xfId="0" applyNumberFormat="1" applyFont="1" applyBorder="1" applyAlignment="1">
      <alignment horizontal="center"/>
    </xf>
    <xf numFmtId="3" fontId="13" fillId="0" borderId="35" xfId="0" applyNumberFormat="1" applyFont="1" applyBorder="1" applyAlignment="1">
      <alignment horizontal="center"/>
    </xf>
    <xf numFmtId="3" fontId="13" fillId="0" borderId="29" xfId="0" applyNumberFormat="1" applyFont="1" applyBorder="1" applyAlignment="1">
      <alignment horizontal="center"/>
    </xf>
    <xf numFmtId="3" fontId="13" fillId="0" borderId="31" xfId="0" applyNumberFormat="1" applyFont="1" applyBorder="1" applyAlignment="1">
      <alignment horizontal="center"/>
    </xf>
    <xf numFmtId="3" fontId="13" fillId="0" borderId="0" xfId="0" applyNumberFormat="1" applyFont="1" applyAlignment="1">
      <alignment horizontal="center"/>
    </xf>
    <xf numFmtId="0" fontId="9" fillId="0" borderId="0" xfId="0" applyFont="1"/>
    <xf numFmtId="3" fontId="9" fillId="0" borderId="0" xfId="0" applyNumberFormat="1" applyFont="1" applyAlignment="1">
      <alignment horizontal="center"/>
    </xf>
    <xf numFmtId="3" fontId="0" fillId="0" borderId="0" xfId="0" applyNumberFormat="1"/>
    <xf numFmtId="1" fontId="6" fillId="0" borderId="19" xfId="0" applyNumberFormat="1" applyFont="1" applyBorder="1" applyAlignment="1">
      <alignment horizontal="center"/>
    </xf>
    <xf numFmtId="1" fontId="6" fillId="0" borderId="3" xfId="0" applyNumberFormat="1" applyFont="1" applyBorder="1" applyAlignment="1">
      <alignment horizontal="center"/>
    </xf>
    <xf numFmtId="3" fontId="18" fillId="0" borderId="37" xfId="0" applyNumberFormat="1" applyFont="1" applyBorder="1" applyAlignment="1">
      <alignment horizontal="center"/>
    </xf>
    <xf numFmtId="3" fontId="18" fillId="0" borderId="11" xfId="0" applyNumberFormat="1" applyFont="1" applyBorder="1" applyAlignment="1">
      <alignment horizontal="center"/>
    </xf>
    <xf numFmtId="17" fontId="7" fillId="0" borderId="13" xfId="0" applyNumberFormat="1" applyFont="1" applyBorder="1" applyAlignment="1">
      <alignment horizontal="left"/>
    </xf>
    <xf numFmtId="1" fontId="6" fillId="0" borderId="26" xfId="0" applyNumberFormat="1" applyFont="1" applyBorder="1" applyAlignment="1">
      <alignment horizontal="center"/>
    </xf>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41" fontId="6" fillId="0" borderId="19" xfId="0" applyNumberFormat="1" applyFont="1" applyBorder="1" applyAlignment="1">
      <alignment horizontal="center"/>
    </xf>
    <xf numFmtId="41" fontId="6" fillId="0" borderId="3" xfId="0" applyNumberFormat="1" applyFont="1" applyBorder="1" applyAlignment="1">
      <alignment horizontal="center"/>
    </xf>
    <xf numFmtId="17" fontId="17" fillId="0" borderId="7" xfId="0" applyNumberFormat="1" applyFont="1" applyBorder="1" applyAlignment="1">
      <alignment horizontal="center"/>
    </xf>
    <xf numFmtId="17" fontId="17" fillId="0" borderId="39" xfId="0" applyNumberFormat="1" applyFont="1" applyBorder="1" applyAlignment="1">
      <alignment horizontal="center"/>
    </xf>
    <xf numFmtId="17" fontId="16" fillId="0" borderId="7" xfId="0" applyNumberFormat="1" applyFont="1" applyBorder="1" applyAlignment="1">
      <alignment horizontal="center"/>
    </xf>
    <xf numFmtId="17" fontId="16" fillId="0" borderId="39" xfId="0" applyNumberFormat="1" applyFont="1" applyBorder="1" applyAlignment="1">
      <alignment horizontal="center"/>
    </xf>
    <xf numFmtId="17" fontId="12" fillId="0" borderId="7" xfId="0" applyNumberFormat="1" applyFont="1" applyBorder="1" applyAlignment="1">
      <alignment horizontal="center"/>
    </xf>
    <xf numFmtId="17" fontId="12" fillId="0" borderId="39" xfId="0" applyNumberFormat="1" applyFont="1" applyBorder="1" applyAlignment="1">
      <alignment horizontal="center"/>
    </xf>
    <xf numFmtId="0" fontId="12" fillId="0" borderId="7" xfId="0" applyFont="1" applyBorder="1" applyAlignment="1">
      <alignment horizontal="center"/>
    </xf>
    <xf numFmtId="0" fontId="12" fillId="0" borderId="39" xfId="0" applyFont="1" applyBorder="1" applyAlignment="1">
      <alignment horizontal="center"/>
    </xf>
    <xf numFmtId="1" fontId="8" fillId="0" borderId="25" xfId="0" applyNumberFormat="1" applyFont="1" applyBorder="1" applyAlignment="1">
      <alignment horizontal="center"/>
    </xf>
    <xf numFmtId="3" fontId="18" fillId="0" borderId="29" xfId="0" applyNumberFormat="1" applyFont="1" applyBorder="1" applyAlignment="1">
      <alignment horizontal="center"/>
    </xf>
    <xf numFmtId="3" fontId="8" fillId="0" borderId="31" xfId="0" applyNumberFormat="1" applyFont="1" applyBorder="1" applyAlignment="1">
      <alignment horizontal="center"/>
    </xf>
    <xf numFmtId="3" fontId="8" fillId="0" borderId="11" xfId="0" applyNumberFormat="1" applyFont="1" applyBorder="1" applyAlignment="1">
      <alignment horizontal="center"/>
    </xf>
    <xf numFmtId="3" fontId="18" fillId="0" borderId="0" xfId="0" applyNumberFormat="1" applyFont="1" applyAlignment="1">
      <alignment horizontal="center"/>
    </xf>
    <xf numFmtId="170" fontId="0" fillId="0" borderId="5" xfId="0" applyNumberFormat="1" applyBorder="1"/>
    <xf numFmtId="0" fontId="2" fillId="0" borderId="40"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2" fillId="0" borderId="41"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2" xfId="0" applyNumberFormat="1" applyBorder="1"/>
    <xf numFmtId="3" fontId="0" fillId="0" borderId="43" xfId="0" applyNumberFormat="1" applyBorder="1"/>
    <xf numFmtId="170" fontId="0" fillId="2" borderId="44" xfId="0" applyNumberFormat="1" applyFill="1" applyBorder="1"/>
    <xf numFmtId="0" fontId="2" fillId="2" borderId="2"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5" fillId="3" borderId="11" xfId="0" applyFont="1" applyFill="1" applyBorder="1"/>
    <xf numFmtId="0" fontId="20" fillId="0" borderId="17" xfId="0" applyFont="1" applyBorder="1" applyAlignment="1">
      <alignment horizontal="center"/>
    </xf>
    <xf numFmtId="0" fontId="20" fillId="0" borderId="18" xfId="0" applyFont="1" applyBorder="1" applyAlignment="1">
      <alignment horizont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6" xfId="0" applyNumberFormat="1" applyBorder="1"/>
    <xf numFmtId="38" fontId="0" fillId="0" borderId="0" xfId="0" applyNumberFormat="1"/>
    <xf numFmtId="0" fontId="26" fillId="0" borderId="0" xfId="0" applyFont="1"/>
    <xf numFmtId="17" fontId="8" fillId="4" borderId="22" xfId="0" applyNumberFormat="1" applyFont="1" applyFill="1" applyBorder="1" applyAlignment="1">
      <alignment horizontal="left"/>
    </xf>
    <xf numFmtId="17" fontId="6" fillId="4" borderId="12" xfId="0" applyNumberFormat="1" applyFont="1" applyFill="1" applyBorder="1" applyAlignment="1">
      <alignment horizontal="left"/>
    </xf>
    <xf numFmtId="3" fontId="6" fillId="4" borderId="3" xfId="0" applyNumberFormat="1" applyFont="1" applyFill="1" applyBorder="1" applyAlignment="1">
      <alignment horizontal="center"/>
    </xf>
    <xf numFmtId="3" fontId="14" fillId="4" borderId="29" xfId="0" applyNumberFormat="1" applyFont="1" applyFill="1" applyBorder="1" applyAlignment="1">
      <alignment horizontal="center"/>
    </xf>
    <xf numFmtId="3" fontId="13" fillId="4" borderId="37" xfId="0" applyNumberFormat="1" applyFont="1" applyFill="1" applyBorder="1" applyAlignment="1">
      <alignment horizontal="center"/>
    </xf>
    <xf numFmtId="3" fontId="8" fillId="4" borderId="3" xfId="0" applyNumberFormat="1" applyFont="1" applyFill="1" applyBorder="1" applyAlignment="1">
      <alignment horizontal="center"/>
    </xf>
    <xf numFmtId="3" fontId="8" fillId="4" borderId="4" xfId="0" applyNumberFormat="1" applyFont="1" applyFill="1" applyBorder="1" applyAlignment="1">
      <alignment horizontal="center"/>
    </xf>
    <xf numFmtId="3" fontId="13" fillId="4" borderId="29" xfId="0" applyNumberFormat="1" applyFont="1" applyFill="1" applyBorder="1" applyAlignment="1">
      <alignment horizontal="center"/>
    </xf>
    <xf numFmtId="3" fontId="8" fillId="4" borderId="29" xfId="0" applyNumberFormat="1" applyFont="1" applyFill="1" applyBorder="1" applyAlignment="1">
      <alignment horizontal="center"/>
    </xf>
    <xf numFmtId="3" fontId="9" fillId="4" borderId="29" xfId="0" applyNumberFormat="1" applyFont="1" applyFill="1" applyBorder="1" applyAlignment="1">
      <alignment horizontal="center"/>
    </xf>
    <xf numFmtId="1" fontId="0" fillId="0" borderId="0" xfId="0" applyNumberFormat="1"/>
    <xf numFmtId="0" fontId="0" fillId="0" borderId="0" xfId="0" applyAlignment="1">
      <alignment wrapText="1"/>
    </xf>
    <xf numFmtId="0" fontId="0" fillId="2" borderId="0" xfId="0" applyFill="1" applyAlignment="1">
      <alignment wrapText="1"/>
    </xf>
    <xf numFmtId="0" fontId="27" fillId="0" borderId="0" xfId="0" applyFont="1"/>
    <xf numFmtId="10" fontId="0" fillId="0" borderId="0" xfId="0" applyNumberFormat="1"/>
    <xf numFmtId="0" fontId="0" fillId="5" borderId="0" xfId="0" applyFill="1"/>
    <xf numFmtId="0" fontId="27" fillId="0" borderId="0" xfId="0" applyFont="1" applyAlignment="1">
      <alignment horizontal="right"/>
    </xf>
    <xf numFmtId="0" fontId="40" fillId="0" borderId="0" xfId="0" applyFont="1"/>
    <xf numFmtId="42" fontId="42" fillId="0" borderId="47" xfId="0" applyNumberFormat="1" applyFont="1" applyBorder="1" applyAlignment="1">
      <alignment horizontal="center"/>
    </xf>
    <xf numFmtId="0" fontId="41" fillId="0" borderId="3" xfId="0" applyFont="1" applyBorder="1"/>
    <xf numFmtId="0" fontId="42" fillId="0" borderId="1" xfId="0" applyFont="1" applyBorder="1"/>
    <xf numFmtId="169" fontId="42" fillId="0" borderId="1" xfId="0" applyNumberFormat="1" applyFont="1" applyBorder="1" applyAlignment="1">
      <alignment horizontal="center"/>
    </xf>
    <xf numFmtId="0" fontId="43" fillId="0" borderId="1" xfId="0" applyFont="1" applyBorder="1"/>
    <xf numFmtId="41" fontId="42" fillId="0" borderId="1" xfId="0" applyNumberFormat="1" applyFont="1" applyBorder="1" applyAlignment="1">
      <alignment horizontal="center"/>
    </xf>
    <xf numFmtId="0" fontId="41" fillId="0" borderId="48" xfId="0" applyFont="1" applyBorder="1"/>
    <xf numFmtId="44" fontId="41" fillId="0" borderId="48" xfId="0" applyNumberFormat="1" applyFont="1" applyBorder="1" applyAlignment="1">
      <alignment horizontal="center"/>
    </xf>
    <xf numFmtId="0" fontId="42" fillId="0" borderId="3" xfId="0" applyFont="1" applyBorder="1"/>
    <xf numFmtId="42" fontId="42" fillId="0" borderId="3" xfId="0" applyNumberFormat="1" applyFont="1" applyBorder="1" applyAlignment="1">
      <alignment horizontal="center"/>
    </xf>
    <xf numFmtId="42" fontId="42" fillId="0" borderId="1" xfId="0" applyNumberFormat="1" applyFont="1" applyBorder="1" applyAlignment="1">
      <alignment horizontal="center"/>
    </xf>
    <xf numFmtId="44" fontId="42" fillId="0" borderId="1" xfId="0" applyNumberFormat="1" applyFont="1" applyBorder="1" applyAlignment="1">
      <alignment horizontal="center"/>
    </xf>
    <xf numFmtId="0" fontId="42" fillId="0" borderId="8" xfId="0" applyFont="1" applyBorder="1"/>
    <xf numFmtId="44" fontId="41" fillId="0" borderId="49" xfId="0" applyNumberFormat="1" applyFont="1" applyBorder="1" applyAlignment="1">
      <alignment horizontal="center"/>
    </xf>
    <xf numFmtId="0" fontId="42" fillId="0" borderId="0" xfId="0" applyFont="1"/>
    <xf numFmtId="44" fontId="42" fillId="0" borderId="0" xfId="0" applyNumberFormat="1" applyFont="1" applyAlignment="1">
      <alignment horizontal="center"/>
    </xf>
    <xf numFmtId="44" fontId="42" fillId="0" borderId="1" xfId="31" applyFont="1" applyBorder="1" applyAlignment="1">
      <alignment horizontal="center"/>
    </xf>
    <xf numFmtId="41" fontId="41" fillId="0" borderId="0" xfId="0" applyNumberFormat="1" applyFont="1" applyAlignment="1">
      <alignment horizontal="center"/>
    </xf>
    <xf numFmtId="0" fontId="41" fillId="0" borderId="0" xfId="0" applyFont="1"/>
    <xf numFmtId="44" fontId="41" fillId="0" borderId="0" xfId="0" applyNumberFormat="1" applyFont="1" applyAlignment="1">
      <alignment horizontal="center"/>
    </xf>
    <xf numFmtId="0" fontId="41" fillId="0" borderId="49" xfId="0" applyFont="1" applyBorder="1"/>
    <xf numFmtId="44" fontId="41" fillId="0" borderId="3" xfId="0" applyNumberFormat="1" applyFont="1" applyBorder="1" applyAlignment="1">
      <alignment horizontal="center"/>
    </xf>
    <xf numFmtId="0" fontId="42" fillId="0" borderId="50" xfId="0" applyFont="1" applyBorder="1"/>
    <xf numFmtId="42" fontId="42" fillId="0" borderId="50" xfId="0" applyNumberFormat="1" applyFont="1" applyBorder="1" applyAlignment="1">
      <alignment horizontal="center"/>
    </xf>
    <xf numFmtId="42" fontId="42" fillId="0" borderId="0" xfId="0" applyNumberFormat="1" applyFont="1" applyAlignment="1">
      <alignment horizontal="center"/>
    </xf>
    <xf numFmtId="0" fontId="43" fillId="0" borderId="0" xfId="0" applyFont="1"/>
    <xf numFmtId="0" fontId="43" fillId="0" borderId="3" xfId="0" applyFont="1" applyBorder="1"/>
    <xf numFmtId="42" fontId="43" fillId="0" borderId="1" xfId="0" applyNumberFormat="1" applyFont="1" applyBorder="1" applyAlignment="1">
      <alignment horizontal="center"/>
    </xf>
    <xf numFmtId="0" fontId="43" fillId="0" borderId="8" xfId="0" applyFont="1" applyBorder="1"/>
    <xf numFmtId="0" fontId="44" fillId="0" borderId="0" xfId="0" applyFont="1"/>
    <xf numFmtId="42" fontId="43" fillId="0" borderId="0" xfId="0" applyNumberFormat="1" applyFont="1" applyAlignment="1">
      <alignment horizontal="center"/>
    </xf>
    <xf numFmtId="0" fontId="45" fillId="0" borderId="0" xfId="0" applyFont="1"/>
    <xf numFmtId="0" fontId="41" fillId="0" borderId="0" xfId="0" applyFont="1" applyAlignment="1">
      <alignment vertical="top"/>
    </xf>
    <xf numFmtId="0" fontId="42" fillId="0" borderId="17" xfId="0" applyFont="1" applyBorder="1"/>
    <xf numFmtId="0" fontId="41" fillId="0" borderId="50" xfId="0" applyFont="1" applyBorder="1"/>
    <xf numFmtId="0" fontId="40" fillId="0" borderId="50" xfId="0" applyFont="1" applyBorder="1"/>
    <xf numFmtId="0" fontId="41" fillId="0" borderId="51" xfId="0" applyFont="1" applyBorder="1"/>
    <xf numFmtId="0" fontId="42" fillId="0" borderId="18" xfId="0" applyFont="1" applyBorder="1"/>
    <xf numFmtId="0" fontId="41" fillId="0" borderId="16" xfId="0" applyFont="1" applyBorder="1"/>
    <xf numFmtId="0" fontId="42" fillId="0" borderId="16" xfId="0" applyFont="1" applyBorder="1"/>
    <xf numFmtId="0" fontId="46" fillId="0" borderId="52" xfId="0" applyFont="1" applyBorder="1"/>
    <xf numFmtId="0" fontId="42" fillId="0" borderId="53" xfId="0" applyFont="1" applyBorder="1"/>
    <xf numFmtId="0" fontId="42" fillId="0" borderId="52" xfId="0" applyFont="1" applyBorder="1"/>
    <xf numFmtId="0" fontId="42" fillId="0" borderId="0" xfId="0" applyFont="1" applyAlignment="1">
      <alignment horizontal="right"/>
    </xf>
    <xf numFmtId="174" fontId="41" fillId="0" borderId="54" xfId="0" applyNumberFormat="1" applyFont="1" applyBorder="1" applyAlignment="1">
      <alignment horizontal="center"/>
    </xf>
    <xf numFmtId="0" fontId="46" fillId="0" borderId="53" xfId="0" applyFont="1" applyBorder="1" applyAlignment="1">
      <alignment horizontal="center"/>
    </xf>
    <xf numFmtId="44" fontId="40" fillId="0" borderId="0" xfId="0" applyNumberFormat="1" applyFont="1"/>
    <xf numFmtId="44" fontId="41" fillId="0" borderId="55" xfId="31" applyFont="1" applyBorder="1"/>
    <xf numFmtId="0" fontId="42" fillId="0" borderId="56" xfId="0" applyFont="1" applyBorder="1" applyAlignment="1">
      <alignment horizontal="right"/>
    </xf>
    <xf numFmtId="0" fontId="47" fillId="0" borderId="0" xfId="0" applyFont="1"/>
    <xf numFmtId="0" fontId="48" fillId="0" borderId="0" xfId="0" applyFont="1" applyAlignment="1">
      <alignment horizontal="center"/>
    </xf>
    <xf numFmtId="0" fontId="42" fillId="0" borderId="0" xfId="0" applyFont="1" applyAlignment="1">
      <alignment horizontal="center"/>
    </xf>
    <xf numFmtId="0" fontId="41" fillId="0" borderId="0" xfId="0" applyFont="1" applyAlignment="1">
      <alignment horizontal="center"/>
    </xf>
    <xf numFmtId="44" fontId="41" fillId="0" borderId="25" xfId="31" applyFont="1" applyBorder="1"/>
    <xf numFmtId="44" fontId="41" fillId="0" borderId="0" xfId="31" applyFont="1" applyBorder="1"/>
    <xf numFmtId="0" fontId="41" fillId="0" borderId="54" xfId="0" applyFont="1" applyBorder="1"/>
    <xf numFmtId="0" fontId="41" fillId="0" borderId="57" xfId="0" applyFont="1" applyBorder="1"/>
    <xf numFmtId="44" fontId="43" fillId="0" borderId="0" xfId="0" applyNumberFormat="1" applyFont="1"/>
    <xf numFmtId="0" fontId="49" fillId="0" borderId="0" xfId="0" applyFont="1"/>
    <xf numFmtId="0" fontId="50" fillId="0" borderId="0" xfId="0" applyFont="1"/>
    <xf numFmtId="0" fontId="51" fillId="0" borderId="33" xfId="0" applyFont="1" applyBorder="1"/>
    <xf numFmtId="44" fontId="51" fillId="0" borderId="33" xfId="0" applyNumberFormat="1" applyFont="1" applyBorder="1" applyAlignment="1">
      <alignment horizontal="center"/>
    </xf>
    <xf numFmtId="0" fontId="42" fillId="0" borderId="56" xfId="0" applyFont="1" applyBorder="1"/>
    <xf numFmtId="0" fontId="49" fillId="0" borderId="0" xfId="0" applyFont="1" applyAlignment="1">
      <alignment horizontal="center"/>
    </xf>
    <xf numFmtId="44" fontId="42" fillId="0" borderId="0" xfId="0" applyNumberFormat="1" applyFont="1"/>
    <xf numFmtId="3" fontId="42" fillId="0" borderId="0" xfId="0" applyNumberFormat="1" applyFont="1"/>
    <xf numFmtId="0" fontId="42" fillId="0" borderId="54" xfId="0" applyFont="1" applyBorder="1"/>
    <xf numFmtId="0" fontId="42" fillId="0" borderId="0" xfId="0" applyFont="1" applyAlignment="1">
      <alignment vertical="center"/>
    </xf>
    <xf numFmtId="0" fontId="41" fillId="0" borderId="1" xfId="0" applyFont="1" applyBorder="1" applyAlignment="1">
      <alignment horizontal="center"/>
    </xf>
    <xf numFmtId="3" fontId="41" fillId="0" borderId="1" xfId="0" applyNumberFormat="1" applyFont="1" applyBorder="1" applyAlignment="1">
      <alignment horizontal="center"/>
    </xf>
    <xf numFmtId="3" fontId="41" fillId="0" borderId="8" xfId="0" applyNumberFormat="1" applyFont="1" applyBorder="1" applyAlignment="1">
      <alignment horizontal="center"/>
    </xf>
    <xf numFmtId="1" fontId="41" fillId="0" borderId="8" xfId="0" applyNumberFormat="1" applyFont="1" applyBorder="1" applyAlignment="1">
      <alignment horizontal="center"/>
    </xf>
    <xf numFmtId="0" fontId="52" fillId="0" borderId="0" xfId="0" applyFont="1"/>
    <xf numFmtId="0" fontId="41" fillId="0" borderId="2" xfId="0" applyFont="1" applyBorder="1" applyAlignment="1">
      <alignment horizontal="center" vertical="center"/>
    </xf>
    <xf numFmtId="0" fontId="41" fillId="0" borderId="2" xfId="0" applyFont="1" applyBorder="1" applyAlignment="1">
      <alignment horizontal="center" vertical="center" wrapText="1"/>
    </xf>
    <xf numFmtId="1" fontId="42" fillId="0" borderId="1" xfId="0" applyNumberFormat="1" applyFont="1" applyBorder="1" applyAlignment="1">
      <alignment horizontal="center"/>
    </xf>
    <xf numFmtId="1" fontId="42" fillId="0" borderId="33" xfId="0" applyNumberFormat="1" applyFont="1" applyBorder="1" applyAlignment="1">
      <alignment horizontal="center"/>
    </xf>
    <xf numFmtId="0" fontId="41" fillId="0" borderId="41" xfId="0" applyFont="1" applyBorder="1" applyAlignment="1">
      <alignment horizontal="center"/>
    </xf>
    <xf numFmtId="44" fontId="41" fillId="0" borderId="41" xfId="0" applyNumberFormat="1" applyFont="1" applyBorder="1" applyAlignment="1">
      <alignment horizontal="center"/>
    </xf>
    <xf numFmtId="1" fontId="41" fillId="0" borderId="58" xfId="0" applyNumberFormat="1" applyFont="1" applyBorder="1" applyAlignment="1">
      <alignment horizontal="center"/>
    </xf>
    <xf numFmtId="0" fontId="41" fillId="0" borderId="59" xfId="0" applyFont="1" applyBorder="1"/>
    <xf numFmtId="0" fontId="42" fillId="0" borderId="1" xfId="0" applyFont="1" applyBorder="1" applyAlignment="1">
      <alignment horizontal="center"/>
    </xf>
    <xf numFmtId="0" fontId="42" fillId="0" borderId="33" xfId="0" applyFont="1" applyBorder="1" applyAlignment="1">
      <alignment horizontal="center"/>
    </xf>
    <xf numFmtId="0" fontId="40" fillId="0" borderId="0" xfId="0" applyFont="1" applyAlignment="1">
      <alignment horizontal="center"/>
    </xf>
    <xf numFmtId="0" fontId="40" fillId="0" borderId="1" xfId="0" applyFont="1" applyBorder="1"/>
    <xf numFmtId="0" fontId="40" fillId="0" borderId="13" xfId="0" applyFont="1" applyBorder="1"/>
    <xf numFmtId="42" fontId="40" fillId="0" borderId="1" xfId="0" applyNumberFormat="1" applyFont="1" applyBorder="1" applyAlignment="1">
      <alignment horizontal="center"/>
    </xf>
    <xf numFmtId="0" fontId="40" fillId="0" borderId="8" xfId="0" applyFont="1" applyBorder="1"/>
    <xf numFmtId="42" fontId="40" fillId="0" borderId="0" xfId="0" applyNumberFormat="1" applyFont="1" applyAlignment="1">
      <alignment horizontal="center"/>
    </xf>
    <xf numFmtId="14" fontId="40" fillId="0" borderId="0" xfId="0" applyNumberFormat="1" applyFont="1" applyAlignment="1">
      <alignment horizontal="center"/>
    </xf>
    <xf numFmtId="8" fontId="42" fillId="0" borderId="1" xfId="0" applyNumberFormat="1" applyFont="1" applyBorder="1"/>
    <xf numFmtId="0" fontId="42" fillId="0" borderId="33" xfId="0" applyFont="1" applyBorder="1"/>
    <xf numFmtId="0" fontId="42" fillId="0" borderId="60" xfId="0" applyFont="1" applyBorder="1"/>
    <xf numFmtId="0" fontId="43" fillId="0" borderId="0" xfId="0" applyFont="1" applyAlignment="1">
      <alignment horizontal="center"/>
    </xf>
    <xf numFmtId="0" fontId="44" fillId="0" borderId="0" xfId="0" applyFont="1" applyAlignment="1">
      <alignment horizontal="center" wrapText="1"/>
    </xf>
    <xf numFmtId="0" fontId="44" fillId="0" borderId="1" xfId="0" applyFont="1" applyBorder="1"/>
    <xf numFmtId="8" fontId="43" fillId="0" borderId="3" xfId="0" applyNumberFormat="1" applyFont="1" applyBorder="1"/>
    <xf numFmtId="164" fontId="43" fillId="0" borderId="3" xfId="0" applyNumberFormat="1" applyFont="1" applyBorder="1" applyAlignment="1">
      <alignment horizontal="center"/>
    </xf>
    <xf numFmtId="167" fontId="43" fillId="0" borderId="4" xfId="0" applyNumberFormat="1" applyFont="1" applyBorder="1" applyAlignment="1">
      <alignment horizontal="center"/>
    </xf>
    <xf numFmtId="6" fontId="43" fillId="0" borderId="47" xfId="0" applyNumberFormat="1" applyFont="1" applyBorder="1" applyAlignment="1">
      <alignment horizontal="center"/>
    </xf>
    <xf numFmtId="8" fontId="43" fillId="0" borderId="13" xfId="0" applyNumberFormat="1" applyFont="1" applyBorder="1"/>
    <xf numFmtId="164" fontId="53" fillId="0" borderId="1" xfId="0" applyNumberFormat="1" applyFont="1" applyBorder="1" applyAlignment="1">
      <alignment horizontal="center"/>
    </xf>
    <xf numFmtId="167" fontId="43" fillId="0" borderId="5" xfId="0" applyNumberFormat="1" applyFont="1" applyBorder="1" applyAlignment="1">
      <alignment horizontal="center"/>
    </xf>
    <xf numFmtId="6" fontId="43" fillId="0" borderId="3" xfId="0" applyNumberFormat="1" applyFont="1" applyBorder="1" applyAlignment="1">
      <alignment horizontal="center"/>
    </xf>
    <xf numFmtId="168" fontId="43" fillId="0" borderId="0" xfId="0" applyNumberFormat="1" applyFont="1"/>
    <xf numFmtId="6" fontId="43" fillId="0" borderId="1" xfId="0" applyNumberFormat="1" applyFont="1" applyBorder="1" applyAlignment="1">
      <alignment horizontal="center"/>
    </xf>
    <xf numFmtId="8" fontId="53" fillId="0" borderId="1" xfId="0" applyNumberFormat="1" applyFont="1" applyBorder="1" applyAlignment="1">
      <alignment horizontal="center"/>
    </xf>
    <xf numFmtId="6" fontId="53" fillId="0" borderId="1" xfId="0" applyNumberFormat="1" applyFont="1" applyBorder="1" applyAlignment="1">
      <alignment horizontal="center"/>
    </xf>
    <xf numFmtId="0" fontId="43" fillId="0" borderId="13" xfId="0" applyFont="1" applyBorder="1"/>
    <xf numFmtId="167" fontId="43" fillId="0" borderId="3" xfId="0" applyNumberFormat="1" applyFont="1" applyBorder="1"/>
    <xf numFmtId="8" fontId="43" fillId="0" borderId="57" xfId="0" applyNumberFormat="1" applyFont="1" applyBorder="1"/>
    <xf numFmtId="164" fontId="43" fillId="0" borderId="57" xfId="0" applyNumberFormat="1" applyFont="1" applyBorder="1" applyAlignment="1">
      <alignment horizontal="center"/>
    </xf>
    <xf numFmtId="167" fontId="43" fillId="0" borderId="57" xfId="0" applyNumberFormat="1" applyFont="1" applyBorder="1" applyAlignment="1">
      <alignment horizontal="center"/>
    </xf>
    <xf numFmtId="6" fontId="43" fillId="0" borderId="57" xfId="0" applyNumberFormat="1" applyFont="1" applyBorder="1" applyAlignment="1">
      <alignment horizontal="center"/>
    </xf>
    <xf numFmtId="42" fontId="43" fillId="0" borderId="13" xfId="0" applyNumberFormat="1" applyFont="1" applyBorder="1" applyAlignment="1">
      <alignment horizontal="center"/>
    </xf>
    <xf numFmtId="167" fontId="43" fillId="0" borderId="1" xfId="0" applyNumberFormat="1" applyFont="1" applyBorder="1" applyAlignment="1">
      <alignment horizontal="center"/>
    </xf>
    <xf numFmtId="167" fontId="43" fillId="0" borderId="1" xfId="0" applyNumberFormat="1" applyFont="1" applyBorder="1"/>
    <xf numFmtId="164" fontId="43" fillId="0" borderId="1" xfId="0" applyNumberFormat="1" applyFont="1" applyBorder="1" applyAlignment="1">
      <alignment horizontal="center"/>
    </xf>
    <xf numFmtId="43" fontId="43" fillId="0" borderId="0" xfId="0" applyNumberFormat="1" applyFont="1"/>
    <xf numFmtId="8" fontId="43" fillId="0" borderId="1" xfId="0" applyNumberFormat="1" applyFont="1" applyBorder="1"/>
    <xf numFmtId="8" fontId="43" fillId="0" borderId="1" xfId="0" applyNumberFormat="1" applyFont="1" applyBorder="1" applyAlignment="1">
      <alignment horizontal="center"/>
    </xf>
    <xf numFmtId="8" fontId="43" fillId="0" borderId="8" xfId="0" applyNumberFormat="1" applyFont="1" applyBorder="1"/>
    <xf numFmtId="167" fontId="43" fillId="0" borderId="8" xfId="0" applyNumberFormat="1" applyFont="1" applyBorder="1" applyAlignment="1">
      <alignment horizontal="center"/>
    </xf>
    <xf numFmtId="6" fontId="43" fillId="0" borderId="8" xfId="0" applyNumberFormat="1" applyFont="1" applyBorder="1" applyAlignment="1">
      <alignment horizontal="center"/>
    </xf>
    <xf numFmtId="0" fontId="43" fillId="0" borderId="33" xfId="0" applyFont="1" applyBorder="1"/>
    <xf numFmtId="8" fontId="43" fillId="0" borderId="33" xfId="0" applyNumberFormat="1" applyFont="1" applyBorder="1"/>
    <xf numFmtId="8" fontId="43" fillId="0" borderId="33" xfId="0" applyNumberFormat="1" applyFont="1" applyBorder="1" applyAlignment="1">
      <alignment horizontal="center"/>
    </xf>
    <xf numFmtId="42" fontId="43" fillId="0" borderId="33" xfId="0" applyNumberFormat="1" applyFont="1" applyBorder="1" applyAlignment="1">
      <alignment horizontal="center"/>
    </xf>
    <xf numFmtId="0" fontId="43" fillId="0" borderId="60" xfId="0" applyFont="1" applyBorder="1"/>
    <xf numFmtId="8" fontId="43" fillId="0" borderId="0" xfId="0" applyNumberFormat="1" applyFont="1"/>
    <xf numFmtId="164" fontId="43" fillId="0" borderId="0" xfId="0" applyNumberFormat="1" applyFont="1" applyAlignment="1">
      <alignment horizontal="center"/>
    </xf>
    <xf numFmtId="167" fontId="43" fillId="0" borderId="61" xfId="0" applyNumberFormat="1" applyFont="1" applyBorder="1" applyAlignment="1">
      <alignment horizontal="center"/>
    </xf>
    <xf numFmtId="8" fontId="44" fillId="0" borderId="0" xfId="0" applyNumberFormat="1" applyFont="1" applyAlignment="1">
      <alignment horizontal="center"/>
    </xf>
    <xf numFmtId="8" fontId="43" fillId="0" borderId="0" xfId="0" applyNumberFormat="1" applyFont="1" applyAlignment="1">
      <alignment horizontal="center"/>
    </xf>
    <xf numFmtId="6" fontId="44" fillId="0" borderId="0" xfId="0" applyNumberFormat="1" applyFont="1" applyAlignment="1">
      <alignment horizontal="center"/>
    </xf>
    <xf numFmtId="6" fontId="43" fillId="0" borderId="0" xfId="0" applyNumberFormat="1" applyFont="1"/>
    <xf numFmtId="14" fontId="43" fillId="0" borderId="0" xfId="0" applyNumberFormat="1" applyFont="1" applyAlignment="1">
      <alignment horizontal="center"/>
    </xf>
    <xf numFmtId="44" fontId="40" fillId="0" borderId="0" xfId="31" applyFont="1"/>
    <xf numFmtId="44" fontId="41" fillId="0" borderId="1" xfId="0" applyNumberFormat="1" applyFont="1" applyBorder="1" applyAlignment="1">
      <alignment horizontal="center"/>
    </xf>
    <xf numFmtId="44" fontId="42" fillId="0" borderId="1" xfId="0" applyNumberFormat="1" applyFont="1" applyBorder="1" applyAlignment="1">
      <alignment horizontal="left"/>
    </xf>
    <xf numFmtId="0" fontId="40" fillId="0" borderId="0" xfId="0" applyFont="1" applyAlignment="1">
      <alignment horizontal="left"/>
    </xf>
    <xf numFmtId="1" fontId="42" fillId="0" borderId="8" xfId="0" applyNumberFormat="1" applyFont="1" applyBorder="1" applyAlignment="1">
      <alignment horizontal="center"/>
    </xf>
    <xf numFmtId="44" fontId="41" fillId="0" borderId="8" xfId="0" applyNumberFormat="1" applyFont="1" applyBorder="1" applyAlignment="1">
      <alignment horizontal="center"/>
    </xf>
    <xf numFmtId="44" fontId="42" fillId="0" borderId="8" xfId="0" applyNumberFormat="1" applyFont="1" applyBorder="1" applyAlignment="1">
      <alignment horizontal="center"/>
    </xf>
    <xf numFmtId="1" fontId="42" fillId="0" borderId="33" xfId="0" applyNumberFormat="1" applyFont="1" applyBorder="1"/>
    <xf numFmtId="44" fontId="42" fillId="0" borderId="33" xfId="0" applyNumberFormat="1" applyFont="1" applyBorder="1" applyAlignment="1">
      <alignment horizontal="center"/>
    </xf>
    <xf numFmtId="0" fontId="48" fillId="0" borderId="0" xfId="0" applyFont="1"/>
    <xf numFmtId="0" fontId="51" fillId="0" borderId="58" xfId="0" applyFont="1" applyBorder="1" applyAlignment="1">
      <alignment horizontal="right"/>
    </xf>
    <xf numFmtId="8" fontId="49" fillId="0" borderId="58" xfId="0" applyNumberFormat="1" applyFont="1" applyBorder="1"/>
    <xf numFmtId="1" fontId="51" fillId="0" borderId="58" xfId="0" applyNumberFormat="1" applyFont="1" applyBorder="1" applyAlignment="1">
      <alignment horizontal="center"/>
    </xf>
    <xf numFmtId="44" fontId="44" fillId="0" borderId="1" xfId="31" applyFont="1" applyFill="1" applyBorder="1" applyAlignment="1">
      <alignment horizontal="center"/>
    </xf>
    <xf numFmtId="0" fontId="45" fillId="0" borderId="62" xfId="0" applyFont="1" applyBorder="1"/>
    <xf numFmtId="0" fontId="45" fillId="0" borderId="0" xfId="0" applyFont="1" applyAlignment="1">
      <alignment horizontal="center" vertical="center"/>
    </xf>
    <xf numFmtId="0" fontId="45" fillId="0" borderId="0" xfId="0" applyFont="1" applyAlignment="1">
      <alignment vertical="center"/>
    </xf>
    <xf numFmtId="0" fontId="54" fillId="0" borderId="2" xfId="0" applyFont="1" applyBorder="1" applyAlignment="1">
      <alignment horizontal="center" vertical="center"/>
    </xf>
    <xf numFmtId="0" fontId="54" fillId="0" borderId="2" xfId="0" applyFont="1" applyBorder="1" applyAlignment="1">
      <alignment horizontal="center" vertical="center" wrapText="1"/>
    </xf>
    <xf numFmtId="0" fontId="51" fillId="0" borderId="2" xfId="0" applyFont="1" applyBorder="1" applyAlignment="1">
      <alignment horizontal="center" vertical="center"/>
    </xf>
    <xf numFmtId="0" fontId="51" fillId="0" borderId="2" xfId="0" applyFont="1" applyBorder="1" applyAlignment="1">
      <alignment horizontal="center" vertical="center" wrapText="1"/>
    </xf>
    <xf numFmtId="0" fontId="51" fillId="0" borderId="2" xfId="47" applyFont="1" applyBorder="1" applyAlignment="1">
      <alignment horizontal="center" vertical="center" wrapText="1"/>
    </xf>
    <xf numFmtId="43" fontId="40" fillId="0" borderId="0" xfId="28" applyFont="1"/>
    <xf numFmtId="0" fontId="55" fillId="0" borderId="2" xfId="0" applyFont="1" applyBorder="1" applyAlignment="1">
      <alignment horizontal="center" vertical="center"/>
    </xf>
    <xf numFmtId="0" fontId="40" fillId="0" borderId="57" xfId="0" applyFont="1" applyBorder="1"/>
    <xf numFmtId="0" fontId="56" fillId="0" borderId="0" xfId="0" applyFont="1"/>
    <xf numFmtId="0" fontId="51" fillId="0" borderId="0" xfId="0" applyFont="1"/>
    <xf numFmtId="0" fontId="54" fillId="0" borderId="0" xfId="0" applyFont="1"/>
    <xf numFmtId="0" fontId="41" fillId="0" borderId="58" xfId="0" applyFont="1" applyBorder="1" applyAlignment="1">
      <alignment horizontal="center" vertical="center"/>
    </xf>
    <xf numFmtId="0" fontId="41" fillId="0" borderId="58" xfId="0" applyFont="1" applyBorder="1" applyAlignment="1">
      <alignment horizontal="center" vertical="center" wrapText="1"/>
    </xf>
    <xf numFmtId="0" fontId="42" fillId="0" borderId="1" xfId="0" applyFont="1" applyBorder="1" applyAlignment="1">
      <alignment vertical="center"/>
    </xf>
    <xf numFmtId="0" fontId="57" fillId="0" borderId="1" xfId="0" applyFont="1" applyBorder="1" applyAlignment="1">
      <alignment horizontal="center" vertical="center" wrapText="1"/>
    </xf>
    <xf numFmtId="44" fontId="41" fillId="0" borderId="1" xfId="31" applyFont="1" applyFill="1" applyBorder="1" applyAlignment="1">
      <alignment horizontal="right" vertical="center"/>
    </xf>
    <xf numFmtId="172" fontId="42" fillId="0" borderId="1" xfId="0" applyNumberFormat="1" applyFont="1" applyBorder="1" applyAlignment="1">
      <alignment horizontal="center" vertical="center"/>
    </xf>
    <xf numFmtId="44" fontId="42" fillId="0" borderId="1" xfId="31" applyFont="1" applyBorder="1" applyAlignment="1">
      <alignment horizontal="right" vertical="center"/>
    </xf>
    <xf numFmtId="0" fontId="41" fillId="0" borderId="32" xfId="0" applyFont="1" applyBorder="1" applyAlignment="1">
      <alignment vertical="center"/>
    </xf>
    <xf numFmtId="0" fontId="41" fillId="0" borderId="72" xfId="0" applyFont="1" applyBorder="1" applyAlignment="1">
      <alignment vertical="center"/>
    </xf>
    <xf numFmtId="44" fontId="42" fillId="0" borderId="72" xfId="31" applyFont="1" applyBorder="1" applyAlignment="1">
      <alignment horizontal="right" vertical="center"/>
    </xf>
    <xf numFmtId="9" fontId="42" fillId="0" borderId="14" xfId="0" applyNumberFormat="1" applyFont="1" applyBorder="1" applyAlignment="1">
      <alignment horizontal="center" vertical="center"/>
    </xf>
    <xf numFmtId="44" fontId="42" fillId="0" borderId="6" xfId="31" applyFont="1" applyBorder="1" applyAlignment="1">
      <alignment horizontal="right" vertical="center"/>
    </xf>
    <xf numFmtId="0" fontId="58" fillId="0" borderId="73" xfId="0" applyFont="1" applyBorder="1" applyAlignment="1">
      <alignment horizontal="left" vertical="center"/>
    </xf>
    <xf numFmtId="0" fontId="58" fillId="0" borderId="68" xfId="0" applyFont="1" applyBorder="1" applyAlignment="1">
      <alignment horizontal="left" vertical="center"/>
    </xf>
    <xf numFmtId="44" fontId="59" fillId="0" borderId="68" xfId="0" applyNumberFormat="1" applyFont="1" applyBorder="1" applyAlignment="1">
      <alignment horizontal="center" vertical="center"/>
    </xf>
    <xf numFmtId="0" fontId="59" fillId="0" borderId="68" xfId="0" applyFont="1" applyBorder="1" applyAlignment="1">
      <alignment vertical="center"/>
    </xf>
    <xf numFmtId="0" fontId="59" fillId="0" borderId="0" xfId="0" applyFont="1"/>
    <xf numFmtId="0" fontId="42" fillId="0" borderId="8" xfId="0" applyFont="1" applyBorder="1" applyAlignment="1">
      <alignment horizontal="center"/>
    </xf>
    <xf numFmtId="170" fontId="42" fillId="0" borderId="61" xfId="0" applyNumberFormat="1" applyFont="1" applyBorder="1"/>
    <xf numFmtId="0" fontId="42" fillId="0" borderId="48" xfId="0" applyFont="1" applyBorder="1" applyAlignment="1">
      <alignment horizontal="center"/>
    </xf>
    <xf numFmtId="0" fontId="42" fillId="0" borderId="4" xfId="0" applyFont="1" applyBorder="1"/>
    <xf numFmtId="0" fontId="42" fillId="0" borderId="3" xfId="0" applyFont="1" applyBorder="1" applyAlignment="1">
      <alignment horizontal="center"/>
    </xf>
    <xf numFmtId="0" fontId="51" fillId="0" borderId="0" xfId="0" applyFont="1" applyAlignment="1">
      <alignment horizontal="center"/>
    </xf>
    <xf numFmtId="170" fontId="41" fillId="0" borderId="0" xfId="0" applyNumberFormat="1" applyFont="1"/>
    <xf numFmtId="0" fontId="51" fillId="0" borderId="5" xfId="0" applyFont="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xf>
    <xf numFmtId="0" fontId="40" fillId="0" borderId="0" xfId="0" applyFont="1" applyAlignment="1">
      <alignment horizontal="center" vertical="center"/>
    </xf>
    <xf numFmtId="0" fontId="41" fillId="0" borderId="74" xfId="0" applyFont="1" applyBorder="1" applyAlignment="1">
      <alignment horizontal="center" vertical="center"/>
    </xf>
    <xf numFmtId="171" fontId="40" fillId="0" borderId="1" xfId="0" applyNumberFormat="1" applyFont="1" applyBorder="1" applyAlignment="1">
      <alignment horizontal="right"/>
    </xf>
    <xf numFmtId="171" fontId="60" fillId="0" borderId="1" xfId="0" applyNumberFormat="1" applyFont="1" applyBorder="1" applyAlignment="1">
      <alignment horizontal="right"/>
    </xf>
    <xf numFmtId="0" fontId="55" fillId="0" borderId="2" xfId="0" applyFont="1" applyBorder="1" applyAlignment="1">
      <alignment horizontal="left"/>
    </xf>
    <xf numFmtId="42" fontId="48" fillId="0" borderId="0" xfId="0" applyNumberFormat="1" applyFont="1" applyAlignment="1">
      <alignment horizontal="center"/>
    </xf>
    <xf numFmtId="42" fontId="41" fillId="0" borderId="0" xfId="0" applyNumberFormat="1" applyFont="1" applyAlignment="1">
      <alignment horizontal="center"/>
    </xf>
    <xf numFmtId="171" fontId="55" fillId="0" borderId="2" xfId="0" applyNumberFormat="1" applyFont="1" applyBorder="1" applyAlignment="1">
      <alignment horizontal="right"/>
    </xf>
    <xf numFmtId="0" fontId="55" fillId="0" borderId="2" xfId="0" applyFont="1" applyBorder="1" applyAlignment="1">
      <alignment horizontal="center" vertical="center" wrapText="1"/>
    </xf>
    <xf numFmtId="42" fontId="55" fillId="0" borderId="2" xfId="0" applyNumberFormat="1" applyFont="1" applyBorder="1" applyAlignment="1">
      <alignment horizontal="center" vertical="center" wrapText="1"/>
    </xf>
    <xf numFmtId="0" fontId="47" fillId="0" borderId="0" xfId="0" applyFont="1" applyAlignment="1">
      <alignment vertical="center"/>
    </xf>
    <xf numFmtId="42" fontId="40" fillId="0" borderId="68" xfId="0" applyNumberFormat="1" applyFont="1" applyBorder="1" applyAlignment="1">
      <alignment horizontal="left" vertical="center"/>
    </xf>
    <xf numFmtId="42" fontId="40" fillId="0" borderId="62" xfId="0" applyNumberFormat="1" applyFont="1" applyBorder="1" applyAlignment="1">
      <alignment horizontal="center" vertical="center"/>
    </xf>
    <xf numFmtId="170" fontId="48" fillId="0" borderId="41" xfId="0" applyNumberFormat="1" applyFont="1" applyBorder="1" applyAlignment="1">
      <alignment horizontal="center" vertical="center"/>
    </xf>
    <xf numFmtId="0" fontId="40" fillId="0" borderId="0" xfId="0" applyFont="1" applyAlignment="1">
      <alignment vertical="center"/>
    </xf>
    <xf numFmtId="0" fontId="40" fillId="0" borderId="1" xfId="0" applyFont="1" applyBorder="1" applyAlignment="1">
      <alignment horizontal="center"/>
    </xf>
    <xf numFmtId="44" fontId="40" fillId="0" borderId="1" xfId="0" applyNumberFormat="1" applyFont="1" applyBorder="1"/>
    <xf numFmtId="0" fontId="55" fillId="0" borderId="0" xfId="0" applyFont="1"/>
    <xf numFmtId="42" fontId="40" fillId="0" borderId="0" xfId="0" applyNumberFormat="1" applyFont="1"/>
    <xf numFmtId="8" fontId="40" fillId="0" borderId="0" xfId="0" applyNumberFormat="1" applyFont="1" applyAlignment="1">
      <alignment horizontal="center"/>
    </xf>
    <xf numFmtId="42" fontId="42" fillId="0" borderId="1" xfId="0" applyNumberFormat="1" applyFont="1" applyBorder="1"/>
    <xf numFmtId="44" fontId="42" fillId="0" borderId="1" xfId="0" applyNumberFormat="1" applyFont="1" applyBorder="1"/>
    <xf numFmtId="49" fontId="42" fillId="0" borderId="1" xfId="0" applyNumberFormat="1" applyFont="1" applyBorder="1" applyAlignment="1">
      <alignment horizontal="center"/>
    </xf>
    <xf numFmtId="0" fontId="51" fillId="0" borderId="2" xfId="0" applyFont="1" applyBorder="1" applyAlignment="1">
      <alignment horizontal="center"/>
    </xf>
    <xf numFmtId="42" fontId="51" fillId="0" borderId="2" xfId="0" applyNumberFormat="1" applyFont="1" applyBorder="1" applyAlignment="1">
      <alignment horizontal="center"/>
    </xf>
    <xf numFmtId="44" fontId="51" fillId="0" borderId="2" xfId="0" applyNumberFormat="1" applyFont="1" applyBorder="1"/>
    <xf numFmtId="44" fontId="51" fillId="0" borderId="0" xfId="0" applyNumberFormat="1" applyFont="1"/>
    <xf numFmtId="42" fontId="42" fillId="0" borderId="0" xfId="0" applyNumberFormat="1" applyFont="1"/>
    <xf numFmtId="8" fontId="42" fillId="0" borderId="0" xfId="0" applyNumberFormat="1" applyFont="1" applyAlignment="1">
      <alignment horizontal="center"/>
    </xf>
    <xf numFmtId="44" fontId="51" fillId="0" borderId="2" xfId="31" applyFont="1" applyBorder="1" applyAlignment="1">
      <alignment horizontal="center" vertical="center" wrapText="1"/>
    </xf>
    <xf numFmtId="44" fontId="41" fillId="0" borderId="1" xfId="31" applyFont="1" applyBorder="1" applyAlignment="1">
      <alignment horizontal="center"/>
    </xf>
    <xf numFmtId="44" fontId="51" fillId="0" borderId="2" xfId="31" applyFont="1" applyBorder="1" applyAlignment="1">
      <alignment horizontal="center"/>
    </xf>
    <xf numFmtId="44" fontId="51" fillId="0" borderId="2" xfId="0" applyNumberFormat="1" applyFont="1" applyBorder="1" applyAlignment="1">
      <alignment horizontal="center"/>
    </xf>
    <xf numFmtId="0" fontId="48" fillId="0" borderId="75" xfId="0" applyFont="1" applyBorder="1"/>
    <xf numFmtId="0" fontId="48" fillId="0" borderId="57" xfId="0" applyFont="1" applyBorder="1"/>
    <xf numFmtId="0" fontId="48" fillId="0" borderId="57" xfId="0" applyFont="1" applyBorder="1" applyAlignment="1">
      <alignment horizontal="center"/>
    </xf>
    <xf numFmtId="0" fontId="48" fillId="0" borderId="13" xfId="0" applyFont="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wrapText="1"/>
    </xf>
    <xf numFmtId="0" fontId="48" fillId="0" borderId="76" xfId="0" applyFont="1" applyBorder="1" applyAlignment="1">
      <alignment horizontal="center" wrapText="1"/>
    </xf>
    <xf numFmtId="10" fontId="48" fillId="0" borderId="1" xfId="0" applyNumberFormat="1" applyFont="1" applyBorder="1" applyAlignment="1">
      <alignment horizontal="center" wrapText="1"/>
    </xf>
    <xf numFmtId="172" fontId="40" fillId="0" borderId="1" xfId="0" applyNumberFormat="1" applyFont="1" applyBorder="1" applyAlignment="1">
      <alignment horizontal="center"/>
    </xf>
    <xf numFmtId="44" fontId="40" fillId="0" borderId="3" xfId="31" applyFont="1" applyFill="1" applyBorder="1" applyAlignment="1">
      <alignment horizontal="center"/>
    </xf>
    <xf numFmtId="0" fontId="40" fillId="0" borderId="52" xfId="0" applyFont="1" applyBorder="1"/>
    <xf numFmtId="0" fontId="40" fillId="0" borderId="75" xfId="0" applyFont="1" applyBorder="1"/>
    <xf numFmtId="0" fontId="48" fillId="0" borderId="57" xfId="0" applyFont="1" applyBorder="1" applyAlignment="1">
      <alignment horizontal="left"/>
    </xf>
    <xf numFmtId="167" fontId="40" fillId="0" borderId="1" xfId="0" applyNumberFormat="1" applyFont="1" applyBorder="1" applyAlignment="1">
      <alignment horizontal="center"/>
    </xf>
    <xf numFmtId="167" fontId="40" fillId="0" borderId="76" xfId="0" applyNumberFormat="1" applyFont="1" applyBorder="1" applyAlignment="1">
      <alignment horizontal="center"/>
    </xf>
    <xf numFmtId="0" fontId="48" fillId="0" borderId="13" xfId="0" applyFont="1" applyBorder="1"/>
    <xf numFmtId="40" fontId="40" fillId="0" borderId="1" xfId="0" applyNumberFormat="1" applyFont="1" applyBorder="1" applyAlignment="1">
      <alignment horizontal="right"/>
    </xf>
    <xf numFmtId="10" fontId="40" fillId="0" borderId="1" xfId="0" applyNumberFormat="1" applyFont="1" applyBorder="1" applyAlignment="1">
      <alignment horizontal="center"/>
    </xf>
    <xf numFmtId="44" fontId="40" fillId="0" borderId="1" xfId="31" applyFont="1" applyFill="1" applyBorder="1" applyAlignment="1">
      <alignment horizontal="center"/>
    </xf>
    <xf numFmtId="40" fontId="60" fillId="0" borderId="1" xfId="0" applyNumberFormat="1" applyFont="1" applyBorder="1" applyAlignment="1">
      <alignment horizontal="right"/>
    </xf>
    <xf numFmtId="0" fontId="40" fillId="0" borderId="1" xfId="0" applyFont="1" applyBorder="1" applyAlignment="1">
      <alignment horizontal="center" wrapText="1"/>
    </xf>
    <xf numFmtId="42" fontId="40" fillId="0" borderId="76" xfId="0" applyNumberFormat="1" applyFont="1" applyBorder="1" applyAlignment="1">
      <alignment horizontal="center"/>
    </xf>
    <xf numFmtId="43" fontId="40" fillId="0" borderId="1" xfId="28" applyFont="1" applyFill="1" applyBorder="1"/>
    <xf numFmtId="0" fontId="40" fillId="0" borderId="1" xfId="0" quotePrefix="1" applyFont="1" applyBorder="1" applyAlignment="1">
      <alignment horizontal="center"/>
    </xf>
    <xf numFmtId="167" fontId="48" fillId="0" borderId="1" xfId="0" applyNumberFormat="1" applyFont="1" applyBorder="1" applyAlignment="1">
      <alignment horizontal="center"/>
    </xf>
    <xf numFmtId="42" fontId="48" fillId="0" borderId="33" xfId="0" applyNumberFormat="1" applyFont="1" applyBorder="1" applyAlignment="1">
      <alignment horizontal="center"/>
    </xf>
    <xf numFmtId="42" fontId="40" fillId="0" borderId="78" xfId="0" applyNumberFormat="1" applyFont="1" applyBorder="1" applyAlignment="1">
      <alignment horizontal="center"/>
    </xf>
    <xf numFmtId="0" fontId="48" fillId="0" borderId="50" xfId="0" applyFont="1" applyBorder="1" applyAlignment="1">
      <alignment horizontal="center"/>
    </xf>
    <xf numFmtId="167" fontId="48" fillId="0" borderId="50" xfId="0" applyNumberFormat="1" applyFont="1" applyBorder="1" applyAlignment="1">
      <alignment horizontal="center"/>
    </xf>
    <xf numFmtId="42" fontId="48" fillId="0" borderId="50" xfId="0" applyNumberFormat="1" applyFont="1" applyBorder="1" applyAlignment="1">
      <alignment horizontal="center"/>
    </xf>
    <xf numFmtId="42" fontId="40" fillId="0" borderId="50" xfId="0" applyNumberFormat="1" applyFont="1" applyBorder="1" applyAlignment="1">
      <alignment horizontal="center"/>
    </xf>
    <xf numFmtId="43" fontId="61" fillId="0" borderId="0" xfId="28" applyFont="1" applyBorder="1" applyAlignment="1">
      <alignment horizontal="center"/>
    </xf>
    <xf numFmtId="167" fontId="61" fillId="0" borderId="0" xfId="0" applyNumberFormat="1" applyFont="1" applyAlignment="1">
      <alignment horizontal="center"/>
    </xf>
    <xf numFmtId="167" fontId="40" fillId="0" borderId="0" xfId="0" applyNumberFormat="1" applyFont="1"/>
    <xf numFmtId="0" fontId="48" fillId="0" borderId="54" xfId="0" applyFont="1" applyBorder="1"/>
    <xf numFmtId="0" fontId="48" fillId="0" borderId="54" xfId="0" applyFont="1" applyBorder="1" applyAlignment="1">
      <alignment horizontal="center"/>
    </xf>
    <xf numFmtId="0" fontId="48" fillId="0" borderId="12" xfId="0" applyFont="1" applyBorder="1" applyAlignment="1">
      <alignment horizontal="center"/>
    </xf>
    <xf numFmtId="0" fontId="48" fillId="0" borderId="3" xfId="0" applyFont="1" applyBorder="1" applyAlignment="1">
      <alignment horizontal="center"/>
    </xf>
    <xf numFmtId="0" fontId="48" fillId="0" borderId="3" xfId="0" applyFont="1" applyBorder="1" applyAlignment="1">
      <alignment horizontal="center" wrapText="1"/>
    </xf>
    <xf numFmtId="0" fontId="55" fillId="0" borderId="14" xfId="0" applyFont="1" applyBorder="1" applyAlignment="1">
      <alignment horizontal="center" vertical="center"/>
    </xf>
    <xf numFmtId="0" fontId="62" fillId="0" borderId="6" xfId="0" applyFont="1" applyBorder="1" applyAlignment="1">
      <alignment horizontal="center" vertical="center"/>
    </xf>
    <xf numFmtId="0" fontId="62" fillId="0" borderId="6" xfId="0" applyFont="1" applyBorder="1" applyAlignment="1">
      <alignment horizontal="center" vertical="center" wrapText="1"/>
    </xf>
    <xf numFmtId="0" fontId="62" fillId="0" borderId="36" xfId="0" applyFont="1" applyBorder="1" applyAlignment="1">
      <alignment horizontal="center" vertical="center" wrapText="1"/>
    </xf>
    <xf numFmtId="10" fontId="48" fillId="0" borderId="4" xfId="0" applyNumberFormat="1" applyFont="1" applyBorder="1" applyAlignment="1">
      <alignment horizontal="center" wrapText="1"/>
    </xf>
    <xf numFmtId="0" fontId="48" fillId="0" borderId="80" xfId="0" applyFont="1" applyBorder="1" applyAlignment="1">
      <alignment horizontal="center" wrapText="1"/>
    </xf>
    <xf numFmtId="0" fontId="55" fillId="0" borderId="70" xfId="0" applyFont="1" applyBorder="1" applyAlignment="1">
      <alignment horizontal="center"/>
    </xf>
    <xf numFmtId="0" fontId="55" fillId="0" borderId="15" xfId="0" applyFont="1" applyBorder="1" applyAlignment="1">
      <alignment horizontal="center"/>
    </xf>
    <xf numFmtId="0" fontId="55" fillId="0" borderId="33" xfId="0" applyFont="1" applyBorder="1" applyAlignment="1">
      <alignment horizontal="center"/>
    </xf>
    <xf numFmtId="0" fontId="55" fillId="0" borderId="70" xfId="0" applyFont="1" applyBorder="1"/>
    <xf numFmtId="0" fontId="55" fillId="0" borderId="62" xfId="0" applyFont="1" applyBorder="1" applyAlignment="1">
      <alignment horizontal="left"/>
    </xf>
    <xf numFmtId="0" fontId="55" fillId="0" borderId="41" xfId="0" applyFont="1" applyBorder="1" applyAlignment="1">
      <alignment horizontal="center"/>
    </xf>
    <xf numFmtId="167" fontId="55" fillId="0" borderId="41" xfId="0" applyNumberFormat="1" applyFont="1" applyBorder="1" applyAlignment="1">
      <alignment horizontal="center"/>
    </xf>
    <xf numFmtId="10" fontId="55" fillId="0" borderId="41" xfId="0" applyNumberFormat="1" applyFont="1" applyBorder="1" applyAlignment="1">
      <alignment horizontal="center"/>
    </xf>
    <xf numFmtId="43" fontId="55" fillId="0" borderId="41" xfId="28" applyFont="1" applyFill="1" applyBorder="1" applyAlignment="1">
      <alignment horizontal="center"/>
    </xf>
    <xf numFmtId="167" fontId="47" fillId="0" borderId="0" xfId="0" applyNumberFormat="1" applyFont="1"/>
    <xf numFmtId="0" fontId="56" fillId="0" borderId="6" xfId="0" applyFont="1" applyBorder="1" applyAlignment="1">
      <alignment horizontal="center" vertical="center" wrapText="1"/>
    </xf>
    <xf numFmtId="0" fontId="41" fillId="0" borderId="0" xfId="0" applyFont="1" applyAlignment="1">
      <alignment vertical="center"/>
    </xf>
    <xf numFmtId="44" fontId="40" fillId="0" borderId="1" xfId="31" applyFont="1" applyBorder="1"/>
    <xf numFmtId="173" fontId="40" fillId="0" borderId="76" xfId="31" applyNumberFormat="1" applyFont="1" applyBorder="1"/>
    <xf numFmtId="0" fontId="63" fillId="0" borderId="13" xfId="0" applyFont="1" applyBorder="1"/>
    <xf numFmtId="44" fontId="48" fillId="0" borderId="1" xfId="31" applyFont="1" applyBorder="1"/>
    <xf numFmtId="44" fontId="40" fillId="0" borderId="76" xfId="31" applyFont="1" applyBorder="1"/>
    <xf numFmtId="44" fontId="40" fillId="0" borderId="8" xfId="31" applyFont="1" applyBorder="1"/>
    <xf numFmtId="44" fontId="48" fillId="0" borderId="48" xfId="31" applyFont="1" applyBorder="1"/>
    <xf numFmtId="3" fontId="40" fillId="0" borderId="47" xfId="0" applyNumberFormat="1" applyFont="1" applyBorder="1" applyAlignment="1">
      <alignment horizontal="right"/>
    </xf>
    <xf numFmtId="44" fontId="40" fillId="0" borderId="13" xfId="0" applyNumberFormat="1" applyFont="1" applyBorder="1"/>
    <xf numFmtId="44" fontId="40" fillId="0" borderId="1" xfId="31" applyFont="1" applyBorder="1" applyAlignment="1">
      <alignment horizontal="right"/>
    </xf>
    <xf numFmtId="44" fontId="40" fillId="0" borderId="1" xfId="0" applyNumberFormat="1" applyFont="1" applyBorder="1" applyAlignment="1">
      <alignment horizontal="right"/>
    </xf>
    <xf numFmtId="3" fontId="40" fillId="0" borderId="1" xfId="0" applyNumberFormat="1" applyFont="1" applyBorder="1" applyAlignment="1">
      <alignment horizontal="right"/>
    </xf>
    <xf numFmtId="3" fontId="40" fillId="0" borderId="1" xfId="0" applyNumberFormat="1" applyFont="1" applyBorder="1"/>
    <xf numFmtId="44" fontId="40" fillId="0" borderId="3" xfId="31" applyFont="1" applyBorder="1" applyAlignment="1">
      <alignment horizontal="right"/>
    </xf>
    <xf numFmtId="3" fontId="40" fillId="0" borderId="8" xfId="0" applyNumberFormat="1" applyFont="1" applyBorder="1"/>
    <xf numFmtId="44" fontId="40" fillId="0" borderId="8" xfId="0" applyNumberFormat="1" applyFont="1" applyBorder="1"/>
    <xf numFmtId="0" fontId="57" fillId="0" borderId="0" xfId="0" applyFont="1"/>
    <xf numFmtId="0" fontId="48" fillId="0" borderId="6" xfId="0" applyFont="1" applyBorder="1" applyAlignment="1">
      <alignment horizontal="center" vertical="center" wrapText="1"/>
    </xf>
    <xf numFmtId="0" fontId="48" fillId="0" borderId="36" xfId="0" applyFont="1" applyBorder="1" applyAlignment="1">
      <alignment horizontal="center" vertical="center" wrapText="1"/>
    </xf>
    <xf numFmtId="0" fontId="40" fillId="0" borderId="0" xfId="0" applyFont="1" applyAlignment="1">
      <alignment horizontal="center" vertical="center" wrapText="1"/>
    </xf>
    <xf numFmtId="0" fontId="41" fillId="0" borderId="7" xfId="0" applyFont="1" applyBorder="1"/>
    <xf numFmtId="0" fontId="42" fillId="0" borderId="21" xfId="0" applyFont="1" applyBorder="1" applyAlignment="1">
      <alignment horizontal="left"/>
    </xf>
    <xf numFmtId="3" fontId="42" fillId="0" borderId="29" xfId="0" applyNumberFormat="1" applyFont="1" applyBorder="1" applyAlignment="1">
      <alignment horizontal="center"/>
    </xf>
    <xf numFmtId="3" fontId="41" fillId="0" borderId="29" xfId="0" applyNumberFormat="1" applyFont="1" applyBorder="1" applyAlignment="1">
      <alignment horizontal="center"/>
    </xf>
    <xf numFmtId="17" fontId="42" fillId="0" borderId="22" xfId="0" applyNumberFormat="1" applyFont="1" applyBorder="1" applyAlignment="1">
      <alignment horizontal="left"/>
    </xf>
    <xf numFmtId="17" fontId="42" fillId="0" borderId="23" xfId="0" applyNumberFormat="1" applyFont="1" applyBorder="1" applyAlignment="1">
      <alignment horizontal="left"/>
    </xf>
    <xf numFmtId="17" fontId="43" fillId="0" borderId="23" xfId="0" applyNumberFormat="1" applyFont="1" applyBorder="1" applyAlignment="1">
      <alignment horizontal="left"/>
    </xf>
    <xf numFmtId="3" fontId="42" fillId="0" borderId="3" xfId="0" applyNumberFormat="1" applyFont="1" applyBorder="1" applyAlignment="1">
      <alignment horizontal="center"/>
    </xf>
    <xf numFmtId="3" fontId="41" fillId="0" borderId="30" xfId="0" applyNumberFormat="1" applyFont="1" applyBorder="1" applyAlignment="1">
      <alignment horizontal="center"/>
    </xf>
    <xf numFmtId="0" fontId="41" fillId="0" borderId="18" xfId="0" applyFont="1" applyBorder="1" applyAlignment="1">
      <alignment horizontal="center" vertical="center"/>
    </xf>
    <xf numFmtId="0" fontId="44" fillId="0" borderId="7" xfId="0" applyFont="1" applyBorder="1" applyAlignment="1">
      <alignment horizontal="center" wrapText="1"/>
    </xf>
    <xf numFmtId="0" fontId="43" fillId="0" borderId="39" xfId="0" applyFont="1" applyBorder="1"/>
    <xf numFmtId="17" fontId="44" fillId="0" borderId="20" xfId="0" applyNumberFormat="1" applyFont="1" applyBorder="1" applyAlignment="1">
      <alignment horizontal="center"/>
    </xf>
    <xf numFmtId="17" fontId="44" fillId="0" borderId="6" xfId="0" applyNumberFormat="1" applyFont="1" applyBorder="1" applyAlignment="1">
      <alignment horizontal="center"/>
    </xf>
    <xf numFmtId="17" fontId="44" fillId="0" borderId="36" xfId="0" applyNumberFormat="1" applyFont="1" applyBorder="1" applyAlignment="1">
      <alignment horizontal="center"/>
    </xf>
    <xf numFmtId="3" fontId="43" fillId="0" borderId="29" xfId="0" applyNumberFormat="1" applyFont="1" applyBorder="1" applyAlignment="1">
      <alignment horizontal="center"/>
    </xf>
    <xf numFmtId="3" fontId="44" fillId="0" borderId="30" xfId="0" applyNumberFormat="1" applyFont="1" applyBorder="1" applyAlignment="1">
      <alignment horizontal="center"/>
    </xf>
    <xf numFmtId="17" fontId="43" fillId="0" borderId="0" xfId="0" applyNumberFormat="1" applyFont="1" applyAlignment="1">
      <alignment horizontal="left"/>
    </xf>
    <xf numFmtId="3" fontId="43" fillId="0" borderId="0" xfId="0" applyNumberFormat="1" applyFont="1" applyAlignment="1">
      <alignment horizontal="center"/>
    </xf>
    <xf numFmtId="3" fontId="44" fillId="0" borderId="0" xfId="0" applyNumberFormat="1" applyFont="1" applyAlignment="1">
      <alignment horizontal="center"/>
    </xf>
    <xf numFmtId="3" fontId="43" fillId="0" borderId="3" xfId="0" applyNumberFormat="1" applyFont="1" applyBorder="1" applyAlignment="1">
      <alignment horizontal="center"/>
    </xf>
    <xf numFmtId="3" fontId="43" fillId="0" borderId="4" xfId="0" applyNumberFormat="1" applyFont="1" applyBorder="1" applyAlignment="1">
      <alignment horizontal="center"/>
    </xf>
    <xf numFmtId="3" fontId="43" fillId="0" borderId="30" xfId="0" applyNumberFormat="1" applyFont="1" applyBorder="1" applyAlignment="1">
      <alignment horizontal="center"/>
    </xf>
    <xf numFmtId="38" fontId="3" fillId="0" borderId="0" xfId="0" applyNumberFormat="1" applyFont="1"/>
    <xf numFmtId="49" fontId="6" fillId="0" borderId="13" xfId="0" applyNumberFormat="1" applyFont="1" applyBorder="1" applyAlignment="1">
      <alignment horizontal="center"/>
    </xf>
    <xf numFmtId="0" fontId="5" fillId="7" borderId="11" xfId="0" applyFont="1" applyFill="1" applyBorder="1"/>
    <xf numFmtId="3" fontId="43" fillId="0" borderId="70" xfId="0" applyNumberFormat="1" applyFont="1" applyBorder="1" applyAlignment="1">
      <alignment horizontal="center"/>
    </xf>
    <xf numFmtId="3" fontId="44" fillId="0" borderId="70" xfId="0" applyNumberFormat="1" applyFont="1" applyBorder="1" applyAlignment="1">
      <alignment horizontal="center"/>
    </xf>
    <xf numFmtId="17" fontId="8" fillId="7" borderId="22" xfId="0" applyNumberFormat="1" applyFont="1" applyFill="1" applyBorder="1" applyAlignment="1">
      <alignment horizontal="left"/>
    </xf>
    <xf numFmtId="49" fontId="6" fillId="7" borderId="12" xfId="0" applyNumberFormat="1" applyFont="1" applyFill="1" applyBorder="1" applyAlignment="1">
      <alignment horizontal="center"/>
    </xf>
    <xf numFmtId="3" fontId="6" fillId="7" borderId="3" xfId="0" applyNumberFormat="1" applyFont="1" applyFill="1" applyBorder="1" applyAlignment="1">
      <alignment horizontal="center"/>
    </xf>
    <xf numFmtId="3" fontId="14" fillId="7" borderId="29" xfId="0" applyNumberFormat="1" applyFont="1" applyFill="1" applyBorder="1" applyAlignment="1">
      <alignment horizontal="center"/>
    </xf>
    <xf numFmtId="3" fontId="13" fillId="7" borderId="37" xfId="0" applyNumberFormat="1" applyFont="1" applyFill="1" applyBorder="1" applyAlignment="1">
      <alignment horizontal="center"/>
    </xf>
    <xf numFmtId="3" fontId="8" fillId="7" borderId="3" xfId="0" applyNumberFormat="1" applyFont="1" applyFill="1" applyBorder="1" applyAlignment="1">
      <alignment horizontal="center"/>
    </xf>
    <xf numFmtId="3" fontId="8" fillId="7" borderId="4" xfId="0" applyNumberFormat="1" applyFont="1" applyFill="1" applyBorder="1" applyAlignment="1">
      <alignment horizontal="center"/>
    </xf>
    <xf numFmtId="3" fontId="13" fillId="7" borderId="29" xfId="0" applyNumberFormat="1" applyFont="1" applyFill="1" applyBorder="1" applyAlignment="1">
      <alignment horizontal="center"/>
    </xf>
    <xf numFmtId="3" fontId="8" fillId="7" borderId="29" xfId="0" applyNumberFormat="1" applyFont="1" applyFill="1" applyBorder="1" applyAlignment="1">
      <alignment horizontal="center"/>
    </xf>
    <xf numFmtId="3" fontId="9" fillId="7" borderId="29" xfId="0" applyNumberFormat="1" applyFont="1" applyFill="1" applyBorder="1" applyAlignment="1">
      <alignment horizontal="center"/>
    </xf>
    <xf numFmtId="0" fontId="43" fillId="0" borderId="0" xfId="0" applyFont="1" applyAlignment="1">
      <alignment horizontal="left"/>
    </xf>
    <xf numFmtId="0" fontId="63" fillId="0" borderId="0" xfId="0" applyFont="1" applyAlignment="1">
      <alignment horizontal="center"/>
    </xf>
    <xf numFmtId="41" fontId="42" fillId="0" borderId="0" xfId="0" applyNumberFormat="1" applyFont="1" applyAlignment="1">
      <alignment horizontal="center"/>
    </xf>
    <xf numFmtId="1" fontId="42" fillId="0" borderId="0" xfId="0" applyNumberFormat="1" applyFont="1" applyAlignment="1">
      <alignment horizontal="center"/>
    </xf>
    <xf numFmtId="17" fontId="63" fillId="0" borderId="0" xfId="0" applyNumberFormat="1" applyFont="1" applyAlignment="1">
      <alignment horizontal="center"/>
    </xf>
    <xf numFmtId="17" fontId="44" fillId="0" borderId="0" xfId="0" applyNumberFormat="1" applyFont="1" applyAlignment="1">
      <alignment horizontal="left"/>
    </xf>
    <xf numFmtId="17" fontId="63" fillId="0" borderId="0" xfId="0" applyNumberFormat="1" applyFont="1" applyAlignment="1">
      <alignment horizontal="left"/>
    </xf>
    <xf numFmtId="17" fontId="42" fillId="0" borderId="0" xfId="0" applyNumberFormat="1" applyFont="1" applyAlignment="1">
      <alignment horizontal="left"/>
    </xf>
    <xf numFmtId="165" fontId="42" fillId="0" borderId="0" xfId="0" applyNumberFormat="1" applyFont="1" applyAlignment="1">
      <alignment horizontal="center"/>
    </xf>
    <xf numFmtId="44" fontId="64" fillId="0" borderId="1" xfId="31" applyFont="1" applyBorder="1"/>
    <xf numFmtId="0" fontId="37" fillId="0" borderId="0" xfId="0" applyFont="1"/>
    <xf numFmtId="0" fontId="3" fillId="0" borderId="0" xfId="47"/>
    <xf numFmtId="0" fontId="7" fillId="0" borderId="8" xfId="47" applyFont="1" applyBorder="1" applyAlignment="1">
      <alignment horizontal="center"/>
    </xf>
    <xf numFmtId="0" fontId="7" fillId="0" borderId="66" xfId="47" applyFont="1" applyBorder="1" applyAlignment="1">
      <alignment horizontal="center"/>
    </xf>
    <xf numFmtId="0" fontId="7" fillId="0" borderId="3" xfId="47" applyFont="1" applyBorder="1" applyAlignment="1">
      <alignment horizontal="center"/>
    </xf>
    <xf numFmtId="0" fontId="7" fillId="0" borderId="54" xfId="47" applyFont="1" applyBorder="1" applyAlignment="1">
      <alignment horizontal="center"/>
    </xf>
    <xf numFmtId="0" fontId="7" fillId="0" borderId="12" xfId="47" applyFont="1" applyBorder="1" applyAlignment="1">
      <alignment horizontal="center"/>
    </xf>
    <xf numFmtId="0" fontId="7" fillId="0" borderId="0" xfId="47" applyFont="1" applyAlignment="1">
      <alignment horizontal="center"/>
    </xf>
    <xf numFmtId="0" fontId="7" fillId="0" borderId="65" xfId="47" applyFont="1" applyBorder="1" applyAlignment="1">
      <alignment horizontal="center"/>
    </xf>
    <xf numFmtId="0" fontId="7" fillId="0" borderId="65" xfId="47" applyFont="1" applyBorder="1"/>
    <xf numFmtId="0" fontId="7" fillId="0" borderId="4" xfId="47" applyFont="1" applyBorder="1" applyAlignment="1">
      <alignment horizontal="center"/>
    </xf>
    <xf numFmtId="0" fontId="7" fillId="0" borderId="66" xfId="47" applyFont="1" applyBorder="1"/>
    <xf numFmtId="0" fontId="7" fillId="0" borderId="9" xfId="47" applyFont="1" applyBorder="1" applyAlignment="1">
      <alignment horizontal="center"/>
    </xf>
    <xf numFmtId="0" fontId="7" fillId="0" borderId="9" xfId="47" applyFont="1" applyBorder="1"/>
    <xf numFmtId="0" fontId="62" fillId="0" borderId="0" xfId="47" applyFont="1" applyAlignment="1">
      <alignment vertical="center" wrapText="1"/>
    </xf>
    <xf numFmtId="0" fontId="0" fillId="7" borderId="0" xfId="0" applyFill="1"/>
    <xf numFmtId="1" fontId="0" fillId="7" borderId="0" xfId="0" applyNumberFormat="1" applyFill="1"/>
    <xf numFmtId="10" fontId="0" fillId="7" borderId="0" xfId="0" applyNumberFormat="1" applyFill="1"/>
    <xf numFmtId="0" fontId="28" fillId="0" borderId="0" xfId="0" applyFont="1" applyAlignment="1">
      <alignment wrapText="1"/>
    </xf>
    <xf numFmtId="0" fontId="4" fillId="7" borderId="0" xfId="0" applyFont="1" applyFill="1"/>
    <xf numFmtId="0" fontId="23" fillId="7" borderId="0" xfId="0" applyFont="1" applyFill="1"/>
    <xf numFmtId="1" fontId="23" fillId="7" borderId="0" xfId="0" applyNumberFormat="1" applyFont="1" applyFill="1"/>
    <xf numFmtId="0" fontId="3" fillId="7" borderId="0" xfId="0" applyFont="1" applyFill="1" applyAlignment="1">
      <alignment wrapText="1"/>
    </xf>
    <xf numFmtId="0" fontId="3" fillId="5" borderId="0" xfId="0" applyFont="1" applyFill="1"/>
    <xf numFmtId="0" fontId="3" fillId="0" borderId="0" xfId="0" applyFont="1" applyAlignment="1">
      <alignment wrapText="1"/>
    </xf>
    <xf numFmtId="0" fontId="0" fillId="2" borderId="0" xfId="0" applyFill="1" applyAlignment="1">
      <alignment vertical="top" wrapText="1"/>
    </xf>
    <xf numFmtId="0" fontId="23" fillId="0" borderId="0" xfId="44" applyFont="1"/>
    <xf numFmtId="0" fontId="51" fillId="0" borderId="0" xfId="0" applyFont="1" applyAlignment="1">
      <alignment vertical="center"/>
    </xf>
    <xf numFmtId="0" fontId="2" fillId="0" borderId="73" xfId="0" applyFont="1" applyBorder="1" applyAlignment="1">
      <alignment horizontal="center" vertical="center"/>
    </xf>
    <xf numFmtId="170" fontId="0" fillId="2" borderId="81" xfId="0" applyNumberFormat="1" applyFill="1" applyBorder="1"/>
    <xf numFmtId="44" fontId="0" fillId="0" borderId="1" xfId="0" applyNumberFormat="1" applyBorder="1"/>
    <xf numFmtId="0" fontId="37" fillId="2" borderId="46" xfId="0" applyFont="1" applyFill="1" applyBorder="1" applyAlignment="1">
      <alignment horizontal="center" vertical="center"/>
    </xf>
    <xf numFmtId="44" fontId="0" fillId="0" borderId="0" xfId="0" applyNumberFormat="1"/>
    <xf numFmtId="0" fontId="3" fillId="0" borderId="1" xfId="0" applyFont="1" applyBorder="1"/>
    <xf numFmtId="4" fontId="3" fillId="0" borderId="1" xfId="0" applyNumberFormat="1" applyFont="1" applyBorder="1"/>
    <xf numFmtId="3" fontId="3" fillId="0" borderId="1" xfId="0" applyNumberFormat="1" applyFont="1" applyBorder="1"/>
    <xf numFmtId="0" fontId="40" fillId="0" borderId="61" xfId="0" applyFont="1" applyBorder="1"/>
    <xf numFmtId="0" fontId="35" fillId="0" borderId="13" xfId="0" applyFont="1" applyBorder="1"/>
    <xf numFmtId="44" fontId="35" fillId="0" borderId="1" xfId="31" applyFont="1" applyBorder="1"/>
    <xf numFmtId="44" fontId="35" fillId="0" borderId="76" xfId="31" applyFont="1" applyBorder="1"/>
    <xf numFmtId="0" fontId="35" fillId="0" borderId="75" xfId="0" applyFont="1" applyBorder="1"/>
    <xf numFmtId="0" fontId="35" fillId="0" borderId="71" xfId="0" applyFont="1" applyBorder="1"/>
    <xf numFmtId="44" fontId="35" fillId="0" borderId="71" xfId="31" applyFont="1" applyBorder="1"/>
    <xf numFmtId="44" fontId="40" fillId="0" borderId="48" xfId="31" applyFont="1" applyBorder="1"/>
    <xf numFmtId="44" fontId="40" fillId="0" borderId="82" xfId="31" applyFont="1" applyBorder="1"/>
    <xf numFmtId="0" fontId="41" fillId="0" borderId="14" xfId="0" applyFont="1" applyBorder="1"/>
    <xf numFmtId="44" fontId="41" fillId="0" borderId="32" xfId="0" applyNumberFormat="1" applyFont="1" applyBorder="1"/>
    <xf numFmtId="44" fontId="41" fillId="0" borderId="14" xfId="0" applyNumberFormat="1" applyFont="1" applyBorder="1"/>
    <xf numFmtId="40" fontId="41" fillId="0" borderId="14" xfId="0" applyNumberFormat="1" applyFont="1" applyBorder="1"/>
    <xf numFmtId="44" fontId="41" fillId="0" borderId="6" xfId="0" applyNumberFormat="1" applyFont="1" applyBorder="1"/>
    <xf numFmtId="0" fontId="40" fillId="0" borderId="5" xfId="0" applyFont="1" applyBorder="1"/>
    <xf numFmtId="0" fontId="40" fillId="0" borderId="9" xfId="0" applyFont="1" applyBorder="1"/>
    <xf numFmtId="40" fontId="40" fillId="0" borderId="0" xfId="0" applyNumberFormat="1" applyFont="1"/>
    <xf numFmtId="43" fontId="47" fillId="0" borderId="0" xfId="0" applyNumberFormat="1" applyFont="1"/>
    <xf numFmtId="43" fontId="40" fillId="0" borderId="0" xfId="0" applyNumberFormat="1" applyFont="1"/>
    <xf numFmtId="0" fontId="63" fillId="0" borderId="0" xfId="0" applyFont="1"/>
    <xf numFmtId="0" fontId="63" fillId="0" borderId="0" xfId="0" applyFont="1" applyAlignment="1">
      <alignment horizontal="center" vertical="center" wrapText="1"/>
    </xf>
    <xf numFmtId="44" fontId="63" fillId="0" borderId="0" xfId="31" applyFont="1"/>
    <xf numFmtId="44" fontId="63" fillId="0" borderId="0" xfId="31" applyFont="1" applyBorder="1"/>
    <xf numFmtId="0" fontId="55" fillId="0" borderId="83" xfId="0" applyFont="1" applyBorder="1"/>
    <xf numFmtId="0" fontId="55" fillId="0" borderId="58" xfId="0" applyFont="1" applyBorder="1"/>
    <xf numFmtId="3" fontId="40" fillId="0" borderId="0" xfId="0" applyNumberFormat="1" applyFont="1"/>
    <xf numFmtId="44" fontId="63" fillId="0" borderId="0" xfId="0" applyNumberFormat="1" applyFont="1"/>
    <xf numFmtId="9" fontId="8" fillId="0" borderId="38" xfId="0" applyNumberFormat="1" applyFont="1" applyBorder="1" applyAlignment="1">
      <alignment horizontal="center" wrapText="1"/>
    </xf>
    <xf numFmtId="44" fontId="35" fillId="0" borderId="1" xfId="31" applyFont="1" applyFill="1" applyBorder="1"/>
    <xf numFmtId="44" fontId="40" fillId="0" borderId="1" xfId="31" applyFont="1" applyFill="1" applyBorder="1"/>
    <xf numFmtId="44" fontId="48" fillId="0" borderId="1" xfId="31" applyFont="1" applyFill="1" applyBorder="1"/>
    <xf numFmtId="0" fontId="67" fillId="0" borderId="25" xfId="0" applyFont="1" applyBorder="1" applyAlignment="1">
      <alignment horizontal="center"/>
    </xf>
    <xf numFmtId="0" fontId="41" fillId="0" borderId="32" xfId="0" applyFont="1" applyBorder="1"/>
    <xf numFmtId="0" fontId="35" fillId="0" borderId="5" xfId="0" applyFont="1" applyBorder="1"/>
    <xf numFmtId="170" fontId="0" fillId="0" borderId="47" xfId="0" applyNumberFormat="1" applyBorder="1"/>
    <xf numFmtId="3" fontId="40" fillId="0" borderId="3" xfId="0" applyNumberFormat="1" applyFont="1" applyBorder="1" applyAlignment="1">
      <alignment horizontal="right"/>
    </xf>
    <xf numFmtId="0" fontId="9" fillId="0" borderId="31" xfId="0" applyFont="1" applyBorder="1"/>
    <xf numFmtId="0" fontId="76" fillId="0" borderId="0" xfId="0" applyFont="1"/>
    <xf numFmtId="0" fontId="77" fillId="0" borderId="0" xfId="0" applyFont="1"/>
    <xf numFmtId="3" fontId="76" fillId="0" borderId="0" xfId="0" applyNumberFormat="1" applyFont="1" applyAlignment="1">
      <alignment horizontal="center"/>
    </xf>
    <xf numFmtId="8" fontId="39" fillId="0" borderId="1" xfId="0" applyNumberFormat="1" applyFont="1" applyBorder="1" applyAlignment="1">
      <alignment horizontal="center"/>
    </xf>
    <xf numFmtId="0" fontId="62" fillId="0" borderId="0" xfId="0" applyFont="1"/>
    <xf numFmtId="0" fontId="35" fillId="0" borderId="57" xfId="0" applyFont="1" applyBorder="1"/>
    <xf numFmtId="3" fontId="0" fillId="0" borderId="0" xfId="0" applyNumberFormat="1" applyAlignment="1">
      <alignment vertical="top" wrapText="1"/>
    </xf>
    <xf numFmtId="0" fontId="37" fillId="0" borderId="1" xfId="0" applyFont="1" applyBorder="1" applyAlignment="1">
      <alignment horizontal="center"/>
    </xf>
    <xf numFmtId="0" fontId="3" fillId="0" borderId="1" xfId="0" applyFont="1" applyBorder="1" applyAlignment="1">
      <alignment vertical="top" wrapText="1"/>
    </xf>
    <xf numFmtId="0" fontId="23" fillId="0" borderId="0" xfId="0" applyFont="1"/>
    <xf numFmtId="0" fontId="23" fillId="0" borderId="0" xfId="47" applyFont="1"/>
    <xf numFmtId="0" fontId="69" fillId="0" borderId="0" xfId="47" applyFont="1"/>
    <xf numFmtId="3" fontId="75" fillId="0" borderId="8" xfId="0" applyNumberFormat="1" applyFont="1" applyBorder="1"/>
    <xf numFmtId="4" fontId="0" fillId="0" borderId="0" xfId="0" applyNumberFormat="1" applyAlignment="1">
      <alignment vertical="top" wrapText="1"/>
    </xf>
    <xf numFmtId="4" fontId="0" fillId="0" borderId="1" xfId="0" applyNumberFormat="1" applyBorder="1" applyAlignment="1">
      <alignment vertical="top" wrapText="1"/>
    </xf>
    <xf numFmtId="0" fontId="75" fillId="0" borderId="0" xfId="0" applyFont="1"/>
    <xf numFmtId="3" fontId="75" fillId="0" borderId="1" xfId="0" applyNumberFormat="1" applyFont="1" applyBorder="1"/>
    <xf numFmtId="0" fontId="0" fillId="0" borderId="0" xfId="0" applyAlignment="1">
      <alignment vertical="top" wrapText="1"/>
    </xf>
    <xf numFmtId="3" fontId="75" fillId="0" borderId="0" xfId="0" applyNumberFormat="1" applyFont="1" applyAlignment="1">
      <alignment vertical="top" wrapText="1"/>
    </xf>
    <xf numFmtId="3" fontId="75" fillId="0" borderId="1" xfId="0" applyNumberFormat="1" applyFont="1" applyBorder="1" applyAlignment="1">
      <alignment vertical="top" wrapText="1"/>
    </xf>
    <xf numFmtId="0" fontId="75" fillId="0" borderId="1" xfId="0" applyFont="1" applyBorder="1" applyAlignment="1">
      <alignment vertical="top" wrapText="1"/>
    </xf>
    <xf numFmtId="3" fontId="0" fillId="0" borderId="1" xfId="0" applyNumberFormat="1" applyBorder="1" applyAlignment="1">
      <alignment vertical="top" wrapText="1"/>
    </xf>
    <xf numFmtId="0" fontId="0" fillId="0" borderId="1" xfId="0" applyBorder="1" applyAlignment="1">
      <alignment vertical="top" wrapText="1"/>
    </xf>
    <xf numFmtId="0" fontId="7" fillId="0" borderId="13" xfId="47" applyFont="1" applyBorder="1"/>
    <xf numFmtId="0" fontId="7" fillId="0" borderId="57" xfId="47" applyFont="1" applyBorder="1"/>
    <xf numFmtId="0" fontId="7" fillId="0" borderId="5" xfId="47" applyFont="1" applyBorder="1"/>
    <xf numFmtId="4" fontId="37" fillId="0" borderId="0" xfId="0" applyNumberFormat="1" applyFont="1"/>
    <xf numFmtId="0" fontId="0" fillId="8" borderId="1" xfId="0" applyFill="1" applyBorder="1" applyAlignment="1">
      <alignment horizontal="center"/>
    </xf>
    <xf numFmtId="0" fontId="3" fillId="8" borderId="1" xfId="0" applyFont="1" applyFill="1" applyBorder="1" applyAlignment="1">
      <alignment horizontal="center"/>
    </xf>
    <xf numFmtId="0" fontId="37" fillId="3" borderId="1" xfId="0" applyFont="1" applyFill="1" applyBorder="1" applyAlignment="1">
      <alignment horizontal="center"/>
    </xf>
    <xf numFmtId="3" fontId="37" fillId="0" borderId="0" xfId="0" applyNumberFormat="1" applyFont="1"/>
    <xf numFmtId="0" fontId="3" fillId="0" borderId="1" xfId="0" applyFont="1" applyBorder="1" applyAlignment="1">
      <alignment horizontal="center"/>
    </xf>
    <xf numFmtId="0" fontId="0" fillId="0" borderId="1" xfId="0" applyBorder="1" applyAlignment="1">
      <alignment horizontal="center"/>
    </xf>
    <xf numFmtId="0" fontId="70" fillId="0" borderId="0" xfId="0" applyFont="1" applyAlignment="1">
      <alignment horizontal="center"/>
    </xf>
    <xf numFmtId="0" fontId="0" fillId="0" borderId="0" xfId="0" applyAlignment="1">
      <alignment horizontal="center"/>
    </xf>
    <xf numFmtId="0" fontId="37" fillId="0" borderId="0" xfId="0" applyFont="1" applyAlignment="1">
      <alignment horizontal="center"/>
    </xf>
    <xf numFmtId="0" fontId="71" fillId="5" borderId="0" xfId="0" applyFont="1" applyFill="1"/>
    <xf numFmtId="0" fontId="72" fillId="0" borderId="0" xfId="0" applyFont="1"/>
    <xf numFmtId="0" fontId="72" fillId="0" borderId="0" xfId="0" applyFont="1" applyAlignment="1">
      <alignment horizontal="right"/>
    </xf>
    <xf numFmtId="0" fontId="71" fillId="0" borderId="0" xfId="0" applyFont="1" applyAlignment="1">
      <alignment wrapText="1"/>
    </xf>
    <xf numFmtId="0" fontId="0" fillId="2" borderId="0" xfId="0" applyFill="1" applyAlignment="1">
      <alignment vertical="top"/>
    </xf>
    <xf numFmtId="0" fontId="37" fillId="6" borderId="0" xfId="0" applyFont="1" applyFill="1"/>
    <xf numFmtId="1" fontId="37" fillId="6" borderId="0" xfId="0" applyNumberFormat="1" applyFont="1" applyFill="1"/>
    <xf numFmtId="10" fontId="37" fillId="6" borderId="0" xfId="0" applyNumberFormat="1" applyFont="1" applyFill="1"/>
    <xf numFmtId="0" fontId="71" fillId="6" borderId="0" xfId="0" applyFont="1" applyFill="1" applyAlignment="1">
      <alignment wrapText="1"/>
    </xf>
    <xf numFmtId="0" fontId="0" fillId="6" borderId="0" xfId="0" applyFill="1"/>
    <xf numFmtId="1" fontId="0" fillId="6" borderId="0" xfId="0" applyNumberFormat="1" applyFill="1"/>
    <xf numFmtId="10" fontId="0" fillId="6" borderId="0" xfId="0" applyNumberFormat="1" applyFill="1"/>
    <xf numFmtId="1" fontId="37" fillId="6" borderId="1" xfId="0" applyNumberFormat="1" applyFont="1" applyFill="1" applyBorder="1"/>
    <xf numFmtId="0" fontId="73" fillId="0" borderId="0" xfId="0" applyFont="1"/>
    <xf numFmtId="0" fontId="35" fillId="0" borderId="84" xfId="0" applyFont="1" applyBorder="1" applyAlignment="1">
      <alignment horizontal="center" vertical="center" wrapText="1"/>
    </xf>
    <xf numFmtId="4" fontId="3" fillId="0" borderId="13" xfId="0" applyNumberFormat="1" applyFont="1" applyBorder="1"/>
    <xf numFmtId="0" fontId="37" fillId="40" borderId="1" xfId="0" applyFont="1" applyFill="1" applyBorder="1" applyAlignment="1">
      <alignment horizontal="center"/>
    </xf>
    <xf numFmtId="0" fontId="37" fillId="40" borderId="0" xfId="0" applyFont="1" applyFill="1" applyAlignment="1">
      <alignment horizontal="center"/>
    </xf>
    <xf numFmtId="3" fontId="75" fillId="40" borderId="0" xfId="0" applyNumberFormat="1" applyFont="1" applyFill="1"/>
    <xf numFmtId="0" fontId="12" fillId="40" borderId="5" xfId="48" applyFont="1" applyFill="1" applyBorder="1"/>
    <xf numFmtId="0" fontId="12" fillId="40" borderId="57" xfId="48" applyFont="1" applyFill="1" applyBorder="1"/>
    <xf numFmtId="0" fontId="12" fillId="40" borderId="13" xfId="48" applyFont="1" applyFill="1" applyBorder="1" applyAlignment="1">
      <alignment horizontal="right"/>
    </xf>
    <xf numFmtId="0" fontId="0" fillId="40" borderId="0" xfId="0" applyFill="1"/>
    <xf numFmtId="3" fontId="75" fillId="40" borderId="1" xfId="0" applyNumberFormat="1" applyFont="1" applyFill="1" applyBorder="1"/>
    <xf numFmtId="0" fontId="0" fillId="40" borderId="0" xfId="0" applyFill="1" applyAlignment="1">
      <alignment wrapText="1"/>
    </xf>
    <xf numFmtId="0" fontId="5" fillId="41" borderId="11" xfId="0" applyFont="1" applyFill="1" applyBorder="1"/>
    <xf numFmtId="17" fontId="8" fillId="41" borderId="22" xfId="0" applyNumberFormat="1" applyFont="1" applyFill="1" applyBorder="1" applyAlignment="1">
      <alignment horizontal="left"/>
    </xf>
    <xf numFmtId="49" fontId="6" fillId="41" borderId="12" xfId="0" applyNumberFormat="1" applyFont="1" applyFill="1" applyBorder="1" applyAlignment="1">
      <alignment horizontal="center"/>
    </xf>
    <xf numFmtId="3" fontId="6" fillId="41" borderId="3" xfId="0" applyNumberFormat="1" applyFont="1" applyFill="1" applyBorder="1" applyAlignment="1">
      <alignment horizontal="center"/>
    </xf>
    <xf numFmtId="3" fontId="14" fillId="41" borderId="29" xfId="0" applyNumberFormat="1" applyFont="1" applyFill="1" applyBorder="1" applyAlignment="1">
      <alignment horizontal="center"/>
    </xf>
    <xf numFmtId="3" fontId="13" fillId="41" borderId="37" xfId="0" applyNumberFormat="1" applyFont="1" applyFill="1" applyBorder="1" applyAlignment="1">
      <alignment horizontal="center"/>
    </xf>
    <xf numFmtId="3" fontId="8" fillId="41" borderId="3" xfId="0" applyNumberFormat="1" applyFont="1" applyFill="1" applyBorder="1" applyAlignment="1">
      <alignment horizontal="center"/>
    </xf>
    <xf numFmtId="3" fontId="8" fillId="41" borderId="4" xfId="0" applyNumberFormat="1" applyFont="1" applyFill="1" applyBorder="1" applyAlignment="1">
      <alignment horizontal="center"/>
    </xf>
    <xf numFmtId="3" fontId="13" fillId="41" borderId="29" xfId="0" applyNumberFormat="1" applyFont="1" applyFill="1" applyBorder="1" applyAlignment="1">
      <alignment horizontal="center"/>
    </xf>
    <xf numFmtId="3" fontId="8" fillId="41" borderId="29" xfId="0" applyNumberFormat="1" applyFont="1" applyFill="1" applyBorder="1" applyAlignment="1">
      <alignment horizontal="center"/>
    </xf>
    <xf numFmtId="3" fontId="9" fillId="41" borderId="29" xfId="0" applyNumberFormat="1" applyFont="1" applyFill="1" applyBorder="1" applyAlignment="1">
      <alignment horizontal="center"/>
    </xf>
    <xf numFmtId="0" fontId="4" fillId="0" borderId="0" xfId="0" applyFont="1"/>
    <xf numFmtId="0" fontId="80" fillId="0" borderId="0" xfId="0" applyFont="1"/>
    <xf numFmtId="0" fontId="81" fillId="0" borderId="0" xfId="0" applyFont="1"/>
    <xf numFmtId="3" fontId="80" fillId="0" borderId="0" xfId="0" applyNumberFormat="1" applyFont="1" applyAlignment="1">
      <alignment horizontal="center"/>
    </xf>
    <xf numFmtId="3" fontId="82" fillId="0" borderId="0" xfId="0" applyNumberFormat="1" applyFont="1" applyAlignment="1">
      <alignment horizontal="center"/>
    </xf>
    <xf numFmtId="3" fontId="83" fillId="0" borderId="0" xfId="0" applyNumberFormat="1" applyFont="1" applyAlignment="1">
      <alignment horizontal="center"/>
    </xf>
    <xf numFmtId="3" fontId="84" fillId="0" borderId="0" xfId="0" applyNumberFormat="1" applyFont="1" applyAlignment="1">
      <alignment horizontal="center"/>
    </xf>
    <xf numFmtId="0" fontId="79" fillId="42" borderId="11" xfId="0" applyFont="1" applyFill="1" applyBorder="1"/>
    <xf numFmtId="17" fontId="8" fillId="42" borderId="22" xfId="0" applyNumberFormat="1" applyFont="1" applyFill="1" applyBorder="1" applyAlignment="1">
      <alignment horizontal="left"/>
    </xf>
    <xf numFmtId="49" fontId="6" fillId="42" borderId="12" xfId="0" applyNumberFormat="1" applyFont="1" applyFill="1" applyBorder="1" applyAlignment="1">
      <alignment horizontal="center"/>
    </xf>
    <xf numFmtId="3" fontId="6" fillId="42" borderId="3" xfId="0" applyNumberFormat="1" applyFont="1" applyFill="1" applyBorder="1" applyAlignment="1">
      <alignment horizontal="center"/>
    </xf>
    <xf numFmtId="3" fontId="14" fillId="42" borderId="29" xfId="0" applyNumberFormat="1" applyFont="1" applyFill="1" applyBorder="1" applyAlignment="1">
      <alignment horizontal="center"/>
    </xf>
    <xf numFmtId="3" fontId="13" fillId="42" borderId="37" xfId="0" applyNumberFormat="1" applyFont="1" applyFill="1" applyBorder="1" applyAlignment="1">
      <alignment horizontal="center"/>
    </xf>
    <xf numFmtId="3" fontId="8" fillId="42" borderId="3" xfId="0" applyNumberFormat="1" applyFont="1" applyFill="1" applyBorder="1" applyAlignment="1">
      <alignment horizontal="center"/>
    </xf>
    <xf numFmtId="3" fontId="8" fillId="42" borderId="4" xfId="0" applyNumberFormat="1" applyFont="1" applyFill="1" applyBorder="1" applyAlignment="1">
      <alignment horizontal="center"/>
    </xf>
    <xf numFmtId="3" fontId="13" fillId="42" borderId="29" xfId="0" applyNumberFormat="1" applyFont="1" applyFill="1" applyBorder="1" applyAlignment="1">
      <alignment horizontal="center"/>
    </xf>
    <xf numFmtId="3" fontId="8" fillId="42" borderId="29" xfId="0" applyNumberFormat="1" applyFont="1" applyFill="1" applyBorder="1" applyAlignment="1">
      <alignment horizontal="center"/>
    </xf>
    <xf numFmtId="3" fontId="9" fillId="42" borderId="29" xfId="0" applyNumberFormat="1" applyFont="1" applyFill="1" applyBorder="1" applyAlignment="1">
      <alignment horizontal="center"/>
    </xf>
    <xf numFmtId="17" fontId="43" fillId="0" borderId="52" xfId="0" applyNumberFormat="1" applyFont="1" applyBorder="1" applyAlignment="1">
      <alignment horizontal="left"/>
    </xf>
    <xf numFmtId="3" fontId="9" fillId="43" borderId="11" xfId="0" applyNumberFormat="1" applyFont="1" applyFill="1" applyBorder="1" applyAlignment="1">
      <alignment horizontal="center"/>
    </xf>
    <xf numFmtId="17" fontId="41" fillId="44" borderId="20" xfId="0" applyNumberFormat="1" applyFont="1" applyFill="1" applyBorder="1" applyAlignment="1">
      <alignment horizontal="center"/>
    </xf>
    <xf numFmtId="3" fontId="41" fillId="44" borderId="11" xfId="0" applyNumberFormat="1" applyFont="1" applyFill="1" applyBorder="1" applyAlignment="1">
      <alignment horizontal="center"/>
    </xf>
    <xf numFmtId="0" fontId="41" fillId="44" borderId="20" xfId="0" applyFont="1" applyFill="1" applyBorder="1" applyAlignment="1">
      <alignment horizontal="center"/>
    </xf>
    <xf numFmtId="3" fontId="41" fillId="44" borderId="6" xfId="0" applyNumberFormat="1" applyFont="1" applyFill="1" applyBorder="1" applyAlignment="1">
      <alignment horizontal="center"/>
    </xf>
    <xf numFmtId="1" fontId="42" fillId="0" borderId="13" xfId="0" applyNumberFormat="1" applyFont="1" applyBorder="1" applyAlignment="1">
      <alignment horizontal="center"/>
    </xf>
    <xf numFmtId="17" fontId="41" fillId="0" borderId="35" xfId="0" applyNumberFormat="1" applyFont="1" applyBorder="1" applyAlignment="1">
      <alignment horizontal="center" vertical="center"/>
    </xf>
    <xf numFmtId="0" fontId="85" fillId="5" borderId="0" xfId="0" applyFont="1" applyFill="1"/>
    <xf numFmtId="0" fontId="86" fillId="0" borderId="0" xfId="0" applyFont="1"/>
    <xf numFmtId="0" fontId="86" fillId="0" borderId="0" xfId="0" applyFont="1" applyAlignment="1">
      <alignment horizontal="right"/>
    </xf>
    <xf numFmtId="0" fontId="85" fillId="0" borderId="0" xfId="0" applyFont="1" applyAlignment="1">
      <alignment wrapText="1"/>
    </xf>
    <xf numFmtId="0" fontId="87" fillId="0" borderId="0" xfId="0" applyFont="1"/>
    <xf numFmtId="0" fontId="0" fillId="44" borderId="0" xfId="0" applyFill="1" applyAlignment="1">
      <alignment wrapText="1"/>
    </xf>
    <xf numFmtId="1" fontId="37" fillId="0" borderId="0" xfId="0" applyNumberFormat="1" applyFont="1"/>
    <xf numFmtId="10" fontId="37" fillId="0" borderId="0" xfId="0" applyNumberFormat="1" applyFont="1"/>
    <xf numFmtId="0" fontId="85" fillId="44" borderId="0" xfId="0" applyFont="1" applyFill="1" applyAlignment="1">
      <alignment wrapText="1"/>
    </xf>
    <xf numFmtId="0" fontId="0" fillId="44" borderId="0" xfId="0" applyFill="1"/>
    <xf numFmtId="1" fontId="0" fillId="44" borderId="0" xfId="0" applyNumberFormat="1" applyFill="1"/>
    <xf numFmtId="10" fontId="0" fillId="44" borderId="0" xfId="0" applyNumberFormat="1" applyFill="1"/>
    <xf numFmtId="1" fontId="37" fillId="44" borderId="0" xfId="0" applyNumberFormat="1" applyFont="1" applyFill="1"/>
    <xf numFmtId="10" fontId="37" fillId="44" borderId="0" xfId="0" applyNumberFormat="1" applyFont="1" applyFill="1"/>
    <xf numFmtId="0" fontId="37" fillId="44" borderId="0" xfId="0" applyFont="1" applyFill="1"/>
    <xf numFmtId="0" fontId="37" fillId="44" borderId="1" xfId="0" applyFont="1" applyFill="1" applyBorder="1"/>
    <xf numFmtId="0" fontId="45" fillId="0" borderId="0" xfId="0" applyFont="1" applyAlignment="1">
      <alignment horizontal="center" wrapText="1"/>
    </xf>
    <xf numFmtId="0" fontId="74" fillId="0" borderId="1" xfId="50" applyFont="1" applyBorder="1" applyAlignment="1">
      <alignment horizontal="center" vertical="top" wrapText="1"/>
    </xf>
    <xf numFmtId="42" fontId="63" fillId="0" borderId="0" xfId="0" applyNumberFormat="1" applyFont="1" applyAlignment="1">
      <alignment horizontal="center"/>
    </xf>
    <xf numFmtId="44" fontId="57" fillId="0" borderId="0" xfId="0" applyNumberFormat="1" applyFont="1"/>
    <xf numFmtId="0" fontId="90" fillId="0" borderId="1" xfId="42" applyBorder="1" applyAlignment="1">
      <alignment horizontal="center"/>
    </xf>
    <xf numFmtId="0" fontId="37" fillId="43" borderId="1" xfId="0" applyFont="1" applyFill="1" applyBorder="1" applyAlignment="1">
      <alignment horizontal="center"/>
    </xf>
    <xf numFmtId="0" fontId="105" fillId="0" borderId="102" xfId="0" applyFont="1" applyBorder="1" applyAlignment="1">
      <alignment horizontal="center" vertical="top" wrapText="1"/>
    </xf>
    <xf numFmtId="1" fontId="105" fillId="0" borderId="103" xfId="0" applyNumberFormat="1" applyFont="1" applyBorder="1" applyAlignment="1">
      <alignment horizontal="center" vertical="top" wrapText="1"/>
    </xf>
    <xf numFmtId="1" fontId="105" fillId="0" borderId="104" xfId="0" applyNumberFormat="1" applyFont="1" applyBorder="1" applyAlignment="1">
      <alignment horizontal="center" vertical="top" wrapText="1"/>
    </xf>
    <xf numFmtId="0" fontId="0" fillId="44" borderId="105" xfId="0" applyFill="1" applyBorder="1" applyAlignment="1">
      <alignment vertical="top" wrapText="1"/>
    </xf>
    <xf numFmtId="1" fontId="0" fillId="44" borderId="106" xfId="0" applyNumberFormat="1" applyFill="1" applyBorder="1" applyAlignment="1">
      <alignment vertical="top" wrapText="1"/>
    </xf>
    <xf numFmtId="1" fontId="0" fillId="44" borderId="107" xfId="0" applyNumberFormat="1" applyFill="1" applyBorder="1" applyAlignment="1">
      <alignment vertical="top" wrapText="1"/>
    </xf>
    <xf numFmtId="0" fontId="107" fillId="0" borderId="0" xfId="0" applyFont="1"/>
    <xf numFmtId="1" fontId="107" fillId="0" borderId="0" xfId="0" applyNumberFormat="1" applyFont="1"/>
    <xf numFmtId="0" fontId="0" fillId="0" borderId="105" xfId="0" applyBorder="1" applyAlignment="1">
      <alignment vertical="top" wrapText="1"/>
    </xf>
    <xf numFmtId="1" fontId="0" fillId="0" borderId="106" xfId="0" applyNumberFormat="1" applyBorder="1" applyAlignment="1">
      <alignment vertical="top" wrapText="1"/>
    </xf>
    <xf numFmtId="1" fontId="0" fillId="0" borderId="107" xfId="0" applyNumberFormat="1" applyBorder="1" applyAlignment="1">
      <alignment vertical="top" wrapText="1"/>
    </xf>
    <xf numFmtId="0" fontId="0" fillId="0" borderId="108" xfId="0" applyBorder="1" applyAlignment="1">
      <alignment vertical="top" wrapText="1"/>
    </xf>
    <xf numFmtId="1" fontId="0" fillId="0" borderId="109" xfId="0" applyNumberFormat="1" applyBorder="1" applyAlignment="1">
      <alignment vertical="top" wrapText="1"/>
    </xf>
    <xf numFmtId="0" fontId="108" fillId="0" borderId="0" xfId="0" applyFont="1" applyAlignment="1">
      <alignment horizontal="center"/>
    </xf>
    <xf numFmtId="0" fontId="108" fillId="0" borderId="0" xfId="0" applyFont="1" applyAlignment="1">
      <alignment horizontal="left"/>
    </xf>
    <xf numFmtId="0" fontId="3" fillId="0" borderId="105" xfId="0" applyFont="1" applyBorder="1" applyAlignment="1">
      <alignment vertical="top" wrapText="1"/>
    </xf>
    <xf numFmtId="167" fontId="55" fillId="43" borderId="85" xfId="0" applyNumberFormat="1" applyFont="1" applyFill="1" applyBorder="1" applyAlignment="1">
      <alignment horizontal="center"/>
    </xf>
    <xf numFmtId="167" fontId="55" fillId="43" borderId="33" xfId="0" applyNumberFormat="1" applyFont="1" applyFill="1" applyBorder="1" applyAlignment="1">
      <alignment horizontal="center"/>
    </xf>
    <xf numFmtId="0" fontId="36" fillId="0" borderId="2" xfId="0" applyFont="1" applyBorder="1" applyAlignment="1">
      <alignment horizontal="center" vertical="center" wrapText="1"/>
    </xf>
    <xf numFmtId="0" fontId="37" fillId="0" borderId="2" xfId="0" applyFont="1" applyBorder="1" applyAlignment="1">
      <alignment horizontal="center" vertical="center"/>
    </xf>
    <xf numFmtId="44" fontId="2" fillId="43" borderId="2" xfId="0" applyNumberFormat="1" applyFont="1" applyFill="1" applyBorder="1" applyAlignment="1">
      <alignment horizontal="center" vertical="center"/>
    </xf>
    <xf numFmtId="1" fontId="105" fillId="41" borderId="1" xfId="0" applyNumberFormat="1" applyFont="1" applyFill="1" applyBorder="1" applyAlignment="1">
      <alignment horizontal="center"/>
    </xf>
    <xf numFmtId="0" fontId="107" fillId="41" borderId="105" xfId="0" applyFont="1" applyFill="1" applyBorder="1" applyAlignment="1">
      <alignment vertical="top" wrapText="1"/>
    </xf>
    <xf numFmtId="1" fontId="107" fillId="41" borderId="106" xfId="0" applyNumberFormat="1" applyFont="1" applyFill="1" applyBorder="1" applyAlignment="1">
      <alignment vertical="top" wrapText="1"/>
    </xf>
    <xf numFmtId="166" fontId="107" fillId="41" borderId="106" xfId="28" applyNumberFormat="1" applyFont="1" applyFill="1" applyBorder="1" applyAlignment="1">
      <alignment vertical="top" wrapText="1"/>
    </xf>
    <xf numFmtId="166" fontId="107" fillId="41" borderId="107" xfId="28" applyNumberFormat="1" applyFont="1" applyFill="1" applyBorder="1" applyAlignment="1">
      <alignment vertical="top" wrapText="1"/>
    </xf>
    <xf numFmtId="44" fontId="42" fillId="0" borderId="80" xfId="31" applyFont="1" applyBorder="1"/>
    <xf numFmtId="44" fontId="42" fillId="0" borderId="55" xfId="31" applyFont="1" applyBorder="1"/>
    <xf numFmtId="0" fontId="41" fillId="0" borderId="52" xfId="0" applyFont="1" applyBorder="1"/>
    <xf numFmtId="44" fontId="48" fillId="43" borderId="7" xfId="0" applyNumberFormat="1" applyFont="1" applyFill="1" applyBorder="1" applyAlignment="1">
      <alignment horizontal="center" wrapText="1"/>
    </xf>
    <xf numFmtId="2" fontId="0" fillId="0" borderId="0" xfId="0" applyNumberFormat="1"/>
    <xf numFmtId="17" fontId="9" fillId="45" borderId="20" xfId="0" applyNumberFormat="1" applyFont="1" applyFill="1" applyBorder="1" applyAlignment="1">
      <alignment horizontal="center"/>
    </xf>
    <xf numFmtId="17" fontId="5" fillId="45" borderId="14" xfId="0" applyNumberFormat="1" applyFont="1" applyFill="1" applyBorder="1" applyAlignment="1">
      <alignment horizontal="center"/>
    </xf>
    <xf numFmtId="3" fontId="9" fillId="45" borderId="6" xfId="0" applyNumberFormat="1" applyFont="1" applyFill="1" applyBorder="1" applyAlignment="1">
      <alignment horizontal="center"/>
    </xf>
    <xf numFmtId="3" fontId="13" fillId="45" borderId="11" xfId="0" applyNumberFormat="1" applyFont="1" applyFill="1" applyBorder="1" applyAlignment="1">
      <alignment horizontal="center"/>
    </xf>
    <xf numFmtId="3" fontId="13" fillId="45" borderId="37" xfId="0" applyNumberFormat="1" applyFont="1" applyFill="1" applyBorder="1" applyAlignment="1">
      <alignment horizontal="center"/>
    </xf>
    <xf numFmtId="3" fontId="9" fillId="45" borderId="14" xfId="0" applyNumberFormat="1" applyFont="1" applyFill="1" applyBorder="1" applyAlignment="1">
      <alignment horizontal="center"/>
    </xf>
    <xf numFmtId="3" fontId="18" fillId="45" borderId="37" xfId="0" applyNumberFormat="1" applyFont="1" applyFill="1" applyBorder="1" applyAlignment="1">
      <alignment horizontal="center"/>
    </xf>
    <xf numFmtId="3" fontId="5" fillId="45" borderId="6" xfId="0" applyNumberFormat="1" applyFont="1" applyFill="1" applyBorder="1" applyAlignment="1">
      <alignment horizontal="center"/>
    </xf>
    <xf numFmtId="3" fontId="9" fillId="45" borderId="32" xfId="0" applyNumberFormat="1" applyFont="1" applyFill="1" applyBorder="1" applyAlignment="1">
      <alignment horizontal="center"/>
    </xf>
    <xf numFmtId="3" fontId="18" fillId="45" borderId="11" xfId="0" applyNumberFormat="1" applyFont="1" applyFill="1" applyBorder="1" applyAlignment="1">
      <alignment horizontal="center"/>
    </xf>
    <xf numFmtId="3" fontId="9" fillId="45" borderId="11" xfId="0" applyNumberFormat="1" applyFont="1" applyFill="1" applyBorder="1" applyAlignment="1">
      <alignment horizontal="center"/>
    </xf>
    <xf numFmtId="17" fontId="8" fillId="46" borderId="22" xfId="0" applyNumberFormat="1" applyFont="1" applyFill="1" applyBorder="1" applyAlignment="1">
      <alignment horizontal="left"/>
    </xf>
    <xf numFmtId="49" fontId="6" fillId="46" borderId="12" xfId="0" applyNumberFormat="1" applyFont="1" applyFill="1" applyBorder="1" applyAlignment="1">
      <alignment horizontal="center"/>
    </xf>
    <xf numFmtId="3" fontId="6" fillId="46" borderId="3" xfId="0" applyNumberFormat="1" applyFont="1" applyFill="1" applyBorder="1" applyAlignment="1">
      <alignment horizontal="center"/>
    </xf>
    <xf numFmtId="3" fontId="14" fillId="46" borderId="29" xfId="0" applyNumberFormat="1" applyFont="1" applyFill="1" applyBorder="1" applyAlignment="1">
      <alignment horizontal="center"/>
    </xf>
    <xf numFmtId="3" fontId="13" fillId="46" borderId="37" xfId="0" applyNumberFormat="1" applyFont="1" applyFill="1" applyBorder="1" applyAlignment="1">
      <alignment horizontal="center"/>
    </xf>
    <xf numFmtId="3" fontId="8" fillId="46" borderId="3" xfId="0" applyNumberFormat="1" applyFont="1" applyFill="1" applyBorder="1" applyAlignment="1">
      <alignment horizontal="center"/>
    </xf>
    <xf numFmtId="3" fontId="8" fillId="46" borderId="4" xfId="0" applyNumberFormat="1" applyFont="1" applyFill="1" applyBorder="1" applyAlignment="1">
      <alignment horizontal="center"/>
    </xf>
    <xf numFmtId="3" fontId="13" fillId="46" borderId="29" xfId="0" applyNumberFormat="1" applyFont="1" applyFill="1" applyBorder="1" applyAlignment="1">
      <alignment horizontal="center"/>
    </xf>
    <xf numFmtId="3" fontId="8" fillId="46" borderId="29" xfId="0" applyNumberFormat="1" applyFont="1" applyFill="1" applyBorder="1" applyAlignment="1">
      <alignment horizontal="center"/>
    </xf>
    <xf numFmtId="3" fontId="9" fillId="46" borderId="29" xfId="0" applyNumberFormat="1" applyFont="1" applyFill="1" applyBorder="1" applyAlignment="1">
      <alignment horizontal="center"/>
    </xf>
    <xf numFmtId="3" fontId="9" fillId="46" borderId="11" xfId="0" applyNumberFormat="1" applyFont="1" applyFill="1" applyBorder="1" applyAlignment="1">
      <alignment horizontal="center"/>
    </xf>
    <xf numFmtId="0" fontId="79" fillId="46" borderId="11" xfId="0" applyFont="1" applyFill="1" applyBorder="1"/>
    <xf numFmtId="0" fontId="41" fillId="47" borderId="2" xfId="0" applyFont="1" applyFill="1" applyBorder="1" applyAlignment="1">
      <alignment horizontal="center" vertical="center" wrapText="1"/>
    </xf>
    <xf numFmtId="44" fontId="42" fillId="47" borderId="5" xfId="0" applyNumberFormat="1" applyFont="1" applyFill="1" applyBorder="1" applyAlignment="1">
      <alignment horizontal="center"/>
    </xf>
    <xf numFmtId="44" fontId="41" fillId="47" borderId="41" xfId="0" applyNumberFormat="1" applyFont="1" applyFill="1" applyBorder="1" applyAlignment="1">
      <alignment horizontal="center"/>
    </xf>
    <xf numFmtId="0" fontId="41" fillId="0" borderId="58" xfId="28" applyNumberFormat="1" applyFont="1" applyBorder="1" applyAlignment="1">
      <alignment horizontal="center"/>
    </xf>
    <xf numFmtId="44" fontId="51" fillId="47" borderId="58" xfId="0" applyNumberFormat="1" applyFont="1" applyFill="1" applyBorder="1" applyAlignment="1">
      <alignment horizontal="right"/>
    </xf>
    <xf numFmtId="0" fontId="105" fillId="0" borderId="103" xfId="0" applyFont="1" applyBorder="1" applyAlignment="1">
      <alignment horizontal="center" vertical="top" wrapText="1"/>
    </xf>
    <xf numFmtId="3" fontId="105" fillId="0" borderId="103" xfId="0" applyNumberFormat="1" applyFont="1" applyBorder="1" applyAlignment="1">
      <alignment horizontal="center" vertical="top" wrapText="1"/>
    </xf>
    <xf numFmtId="3" fontId="105" fillId="0" borderId="104" xfId="0" applyNumberFormat="1" applyFont="1" applyBorder="1" applyAlignment="1">
      <alignment horizontal="center" vertical="top" wrapText="1"/>
    </xf>
    <xf numFmtId="0" fontId="0" fillId="47" borderId="105" xfId="0" applyFill="1" applyBorder="1" applyAlignment="1">
      <alignment vertical="top" wrapText="1"/>
    </xf>
    <xf numFmtId="0" fontId="0" fillId="47" borderId="106" xfId="0" applyFill="1" applyBorder="1" applyAlignment="1">
      <alignment vertical="top" wrapText="1"/>
    </xf>
    <xf numFmtId="3" fontId="0" fillId="47" borderId="106" xfId="0" applyNumberFormat="1" applyFill="1" applyBorder="1" applyAlignment="1">
      <alignment vertical="top" wrapText="1"/>
    </xf>
    <xf numFmtId="3" fontId="0" fillId="47" borderId="107" xfId="0" applyNumberFormat="1" applyFill="1" applyBorder="1" applyAlignment="1">
      <alignment vertical="top" wrapText="1"/>
    </xf>
    <xf numFmtId="0" fontId="105" fillId="0" borderId="0" xfId="0" applyFont="1"/>
    <xf numFmtId="0" fontId="105" fillId="41" borderId="105" xfId="0" applyFont="1" applyFill="1" applyBorder="1" applyAlignment="1">
      <alignment vertical="top" wrapText="1"/>
    </xf>
    <xf numFmtId="3" fontId="0" fillId="41" borderId="106" xfId="0" applyNumberFormat="1" applyFill="1" applyBorder="1" applyAlignment="1">
      <alignment vertical="top" wrapText="1"/>
    </xf>
    <xf numFmtId="3" fontId="105" fillId="41" borderId="106" xfId="0" applyNumberFormat="1" applyFont="1" applyFill="1" applyBorder="1" applyAlignment="1">
      <alignment vertical="top" wrapText="1"/>
    </xf>
    <xf numFmtId="3" fontId="105" fillId="41" borderId="107" xfId="0" applyNumberFormat="1" applyFont="1" applyFill="1" applyBorder="1" applyAlignment="1">
      <alignment vertical="top" wrapText="1"/>
    </xf>
    <xf numFmtId="3" fontId="105" fillId="41" borderId="1" xfId="0" applyNumberFormat="1" applyFont="1" applyFill="1" applyBorder="1" applyAlignment="1">
      <alignment horizontal="center"/>
    </xf>
    <xf numFmtId="0" fontId="0" fillId="0" borderId="106" xfId="0" applyBorder="1" applyAlignment="1">
      <alignment vertical="top" wrapText="1"/>
    </xf>
    <xf numFmtId="3" fontId="0" fillId="0" borderId="106" xfId="0" applyNumberFormat="1" applyBorder="1" applyAlignment="1">
      <alignment vertical="top" wrapText="1"/>
    </xf>
    <xf numFmtId="3" fontId="0" fillId="0" borderId="107" xfId="0" applyNumberFormat="1" applyBorder="1" applyAlignment="1">
      <alignment vertical="top" wrapText="1"/>
    </xf>
    <xf numFmtId="0" fontId="0" fillId="48" borderId="105" xfId="0" applyFill="1" applyBorder="1" applyAlignment="1">
      <alignment vertical="top" wrapText="1"/>
    </xf>
    <xf numFmtId="0" fontId="0" fillId="48" borderId="106" xfId="0" applyFill="1" applyBorder="1" applyAlignment="1">
      <alignment vertical="top" wrapText="1"/>
    </xf>
    <xf numFmtId="3" fontId="0" fillId="48" borderId="106" xfId="0" applyNumberFormat="1" applyFill="1" applyBorder="1" applyAlignment="1">
      <alignment vertical="top" wrapText="1"/>
    </xf>
    <xf numFmtId="3" fontId="0" fillId="48" borderId="107" xfId="0" applyNumberFormat="1" applyFill="1" applyBorder="1" applyAlignment="1">
      <alignment vertical="top" wrapText="1"/>
    </xf>
    <xf numFmtId="0" fontId="0" fillId="48" borderId="108" xfId="0" applyFill="1" applyBorder="1" applyAlignment="1">
      <alignment vertical="top" wrapText="1"/>
    </xf>
    <xf numFmtId="0" fontId="0" fillId="48" borderId="109" xfId="0" applyFill="1" applyBorder="1" applyAlignment="1">
      <alignment vertical="top" wrapText="1"/>
    </xf>
    <xf numFmtId="3" fontId="0" fillId="48" borderId="109" xfId="0" applyNumberFormat="1" applyFill="1" applyBorder="1" applyAlignment="1">
      <alignment vertical="top" wrapText="1"/>
    </xf>
    <xf numFmtId="3" fontId="0" fillId="48" borderId="110" xfId="0" applyNumberFormat="1" applyFill="1" applyBorder="1" applyAlignment="1">
      <alignment vertical="top" wrapText="1"/>
    </xf>
    <xf numFmtId="0" fontId="0" fillId="0" borderId="48" xfId="0" applyBorder="1" applyAlignment="1">
      <alignment horizontal="center"/>
    </xf>
    <xf numFmtId="0" fontId="3" fillId="0" borderId="0" xfId="0" applyFont="1" applyAlignment="1">
      <alignment horizontal="right"/>
    </xf>
    <xf numFmtId="0" fontId="0" fillId="0" borderId="0" xfId="0" applyAlignment="1">
      <alignment horizontal="right"/>
    </xf>
    <xf numFmtId="2" fontId="0" fillId="0" borderId="1" xfId="0" applyNumberFormat="1" applyBorder="1" applyAlignment="1">
      <alignment horizontal="center"/>
    </xf>
    <xf numFmtId="4" fontId="37" fillId="3" borderId="0" xfId="0" applyNumberFormat="1" applyFont="1" applyFill="1"/>
    <xf numFmtId="0" fontId="0" fillId="0" borderId="54" xfId="0" applyBorder="1"/>
    <xf numFmtId="17" fontId="41" fillId="0" borderId="86" xfId="0" applyNumberFormat="1" applyFont="1" applyBorder="1" applyAlignment="1">
      <alignment horizontal="center" vertical="center"/>
    </xf>
    <xf numFmtId="4" fontId="42" fillId="0" borderId="72" xfId="0" applyNumberFormat="1" applyFont="1" applyBorder="1"/>
    <xf numFmtId="1" fontId="42" fillId="0" borderId="72" xfId="0" applyNumberFormat="1" applyFont="1" applyBorder="1" applyAlignment="1">
      <alignment horizontal="center"/>
    </xf>
    <xf numFmtId="3" fontId="42" fillId="0" borderId="72" xfId="0" applyNumberFormat="1" applyFont="1" applyBorder="1" applyAlignment="1">
      <alignment horizontal="center" wrapText="1"/>
    </xf>
    <xf numFmtId="3" fontId="41" fillId="0" borderId="38" xfId="0" applyNumberFormat="1" applyFont="1" applyBorder="1" applyAlignment="1">
      <alignment horizontal="center"/>
    </xf>
    <xf numFmtId="0" fontId="41" fillId="46" borderId="20" xfId="0" applyFont="1" applyFill="1" applyBorder="1"/>
    <xf numFmtId="3" fontId="41" fillId="46" borderId="6" xfId="0" applyNumberFormat="1" applyFont="1" applyFill="1" applyBorder="1" applyAlignment="1">
      <alignment horizontal="center"/>
    </xf>
    <xf numFmtId="3" fontId="41" fillId="46" borderId="11" xfId="0" applyNumberFormat="1" applyFont="1" applyFill="1" applyBorder="1" applyAlignment="1">
      <alignment horizontal="center"/>
    </xf>
    <xf numFmtId="3" fontId="41" fillId="46" borderId="36" xfId="0" applyNumberFormat="1" applyFont="1" applyFill="1" applyBorder="1" applyAlignment="1">
      <alignment horizontal="center"/>
    </xf>
    <xf numFmtId="0" fontId="47" fillId="0" borderId="0" xfId="0" applyFont="1" applyAlignment="1">
      <alignment horizontal="right"/>
    </xf>
    <xf numFmtId="0" fontId="89" fillId="5" borderId="0" xfId="0" applyFont="1" applyFill="1"/>
    <xf numFmtId="0" fontId="89" fillId="0" borderId="0" xfId="0" applyFont="1" applyAlignment="1">
      <alignment wrapText="1"/>
    </xf>
    <xf numFmtId="0" fontId="27" fillId="49" borderId="0" xfId="0" applyFont="1" applyFill="1"/>
    <xf numFmtId="0" fontId="27" fillId="49" borderId="0" xfId="0" applyFont="1" applyFill="1" applyAlignment="1">
      <alignment horizontal="right"/>
    </xf>
    <xf numFmtId="0" fontId="28" fillId="49" borderId="0" xfId="0" applyFont="1" applyFill="1"/>
    <xf numFmtId="0" fontId="0" fillId="49" borderId="0" xfId="0" applyFill="1"/>
    <xf numFmtId="0" fontId="0" fillId="46" borderId="0" xfId="0" applyFill="1" applyAlignment="1">
      <alignment wrapText="1"/>
    </xf>
    <xf numFmtId="0" fontId="89" fillId="46" borderId="0" xfId="0" applyFont="1" applyFill="1" applyAlignment="1">
      <alignment wrapText="1"/>
    </xf>
    <xf numFmtId="0" fontId="0" fillId="46" borderId="0" xfId="0" applyFill="1"/>
    <xf numFmtId="1" fontId="0" fillId="46" borderId="0" xfId="0" applyNumberFormat="1" applyFill="1"/>
    <xf numFmtId="10" fontId="0" fillId="46" borderId="0" xfId="0" applyNumberFormat="1" applyFill="1"/>
    <xf numFmtId="0" fontId="37" fillId="46" borderId="0" xfId="0" applyFont="1" applyFill="1"/>
    <xf numFmtId="1" fontId="37" fillId="46" borderId="0" xfId="0" applyNumberFormat="1" applyFont="1" applyFill="1"/>
    <xf numFmtId="10" fontId="37" fillId="46" borderId="0" xfId="0" applyNumberFormat="1" applyFont="1" applyFill="1"/>
    <xf numFmtId="1" fontId="37" fillId="46" borderId="1" xfId="0" applyNumberFormat="1" applyFont="1" applyFill="1" applyBorder="1"/>
    <xf numFmtId="0" fontId="42" fillId="0" borderId="47" xfId="0" applyFont="1" applyBorder="1"/>
    <xf numFmtId="37" fontId="42" fillId="0" borderId="1" xfId="0" applyNumberFormat="1" applyFont="1" applyBorder="1" applyAlignment="1">
      <alignment horizontal="right"/>
    </xf>
    <xf numFmtId="166" fontId="42" fillId="0" borderId="1" xfId="0" applyNumberFormat="1" applyFont="1" applyBorder="1" applyAlignment="1">
      <alignment horizontal="center"/>
    </xf>
    <xf numFmtId="0" fontId="37" fillId="50" borderId="1" xfId="0" applyFont="1" applyFill="1" applyBorder="1" applyAlignment="1">
      <alignment horizontal="center"/>
    </xf>
    <xf numFmtId="3" fontId="37" fillId="46" borderId="1" xfId="0" applyNumberFormat="1" applyFont="1" applyFill="1" applyBorder="1" applyAlignment="1">
      <alignment horizontal="center"/>
    </xf>
    <xf numFmtId="41" fontId="41" fillId="44" borderId="12" xfId="0" applyNumberFormat="1" applyFont="1" applyFill="1" applyBorder="1" applyAlignment="1">
      <alignment horizontal="center"/>
    </xf>
    <xf numFmtId="41" fontId="42" fillId="0" borderId="49" xfId="0" applyNumberFormat="1" applyFont="1" applyBorder="1" applyAlignment="1">
      <alignment horizontal="center"/>
    </xf>
    <xf numFmtId="1" fontId="42" fillId="0" borderId="64" xfId="0" applyNumberFormat="1" applyFont="1" applyBorder="1" applyAlignment="1">
      <alignment horizontal="center"/>
    </xf>
    <xf numFmtId="1" fontId="42" fillId="0" borderId="51" xfId="0" applyNumberFormat="1" applyFont="1" applyBorder="1" applyAlignment="1">
      <alignment horizontal="center"/>
    </xf>
    <xf numFmtId="41" fontId="42" fillId="0" borderId="3" xfId="0" applyNumberFormat="1" applyFont="1" applyBorder="1" applyAlignment="1">
      <alignment horizontal="center"/>
    </xf>
    <xf numFmtId="1" fontId="42" fillId="0" borderId="12" xfId="0" applyNumberFormat="1" applyFont="1" applyBorder="1" applyAlignment="1">
      <alignment horizontal="center"/>
    </xf>
    <xf numFmtId="1" fontId="42" fillId="0" borderId="80" xfId="0" applyNumberFormat="1" applyFont="1" applyBorder="1" applyAlignment="1">
      <alignment horizontal="center"/>
    </xf>
    <xf numFmtId="1" fontId="42" fillId="0" borderId="55" xfId="0" applyNumberFormat="1" applyFont="1" applyBorder="1" applyAlignment="1">
      <alignment horizontal="center"/>
    </xf>
    <xf numFmtId="1" fontId="42" fillId="0" borderId="111" xfId="0" applyNumberFormat="1" applyFont="1" applyBorder="1" applyAlignment="1">
      <alignment horizontal="center"/>
    </xf>
    <xf numFmtId="0" fontId="8" fillId="0" borderId="29" xfId="0" applyFont="1" applyBorder="1" applyAlignment="1">
      <alignment horizontal="center"/>
    </xf>
    <xf numFmtId="0" fontId="2" fillId="0" borderId="0" xfId="0" applyFont="1"/>
    <xf numFmtId="0" fontId="2" fillId="0" borderId="0" xfId="0" applyFont="1" applyAlignment="1">
      <alignment horizontal="center"/>
    </xf>
    <xf numFmtId="0" fontId="2" fillId="51" borderId="1" xfId="0" applyFont="1" applyFill="1" applyBorder="1" applyAlignment="1">
      <alignment horizontal="center"/>
    </xf>
    <xf numFmtId="0" fontId="2" fillId="51" borderId="0" xfId="0" applyFont="1" applyFill="1" applyAlignment="1">
      <alignment horizontal="center"/>
    </xf>
    <xf numFmtId="0" fontId="0" fillId="50" borderId="1" xfId="0" applyFill="1" applyBorder="1" applyAlignment="1">
      <alignment horizontal="center"/>
    </xf>
    <xf numFmtId="0" fontId="3" fillId="50" borderId="1" xfId="0" applyFont="1" applyFill="1" applyBorder="1" applyAlignment="1">
      <alignment horizontal="center"/>
    </xf>
    <xf numFmtId="0" fontId="2" fillId="0" borderId="1" xfId="0" applyFont="1" applyBorder="1" applyAlignment="1">
      <alignment horizontal="center"/>
    </xf>
    <xf numFmtId="2" fontId="3" fillId="0" borderId="1" xfId="0" applyNumberFormat="1" applyFont="1" applyBorder="1" applyAlignment="1">
      <alignment horizontal="center"/>
    </xf>
    <xf numFmtId="3" fontId="2" fillId="51" borderId="0" xfId="0" applyNumberFormat="1" applyFont="1" applyFill="1" applyAlignment="1">
      <alignment horizontal="center"/>
    </xf>
    <xf numFmtId="0" fontId="2" fillId="3" borderId="1" xfId="0" applyFont="1" applyFill="1" applyBorder="1" applyAlignment="1">
      <alignment horizontal="center"/>
    </xf>
    <xf numFmtId="0" fontId="0" fillId="0" borderId="1" xfId="0" applyBorder="1" applyAlignment="1">
      <alignment horizontal="center" vertical="center"/>
    </xf>
    <xf numFmtId="4" fontId="2" fillId="3" borderId="0" xfId="0" applyNumberFormat="1" applyFont="1" applyFill="1" applyAlignment="1">
      <alignment horizontal="center"/>
    </xf>
    <xf numFmtId="164" fontId="25" fillId="0" borderId="1" xfId="0" applyNumberFormat="1" applyFont="1" applyBorder="1" applyAlignment="1">
      <alignment horizontal="center"/>
    </xf>
    <xf numFmtId="164" fontId="39" fillId="0" borderId="1" xfId="0" applyNumberFormat="1" applyFont="1" applyBorder="1" applyAlignment="1">
      <alignment horizontal="center"/>
    </xf>
    <xf numFmtId="44" fontId="44" fillId="44" borderId="1" xfId="31" applyFont="1" applyFill="1" applyBorder="1" applyAlignment="1">
      <alignment horizontal="center"/>
    </xf>
    <xf numFmtId="44" fontId="45" fillId="0" borderId="0" xfId="0" applyNumberFormat="1" applyFont="1"/>
    <xf numFmtId="44" fontId="54" fillId="44" borderId="41" xfId="31" applyFont="1" applyFill="1" applyBorder="1" applyAlignment="1">
      <alignment horizontal="right"/>
    </xf>
    <xf numFmtId="0" fontId="3" fillId="0" borderId="0" xfId="0" applyFont="1"/>
    <xf numFmtId="0" fontId="3" fillId="0" borderId="2" xfId="0" applyFont="1" applyBorder="1" applyAlignment="1">
      <alignment horizontal="center" vertical="center"/>
    </xf>
    <xf numFmtId="44" fontId="3" fillId="0" borderId="2" xfId="31"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3" fillId="0" borderId="3" xfId="0" applyFont="1" applyBorder="1"/>
    <xf numFmtId="8" fontId="3" fillId="0" borderId="63" xfId="0" applyNumberFormat="1" applyFont="1" applyBorder="1"/>
    <xf numFmtId="8" fontId="3" fillId="0" borderId="19" xfId="0" applyNumberFormat="1" applyFont="1" applyBorder="1"/>
    <xf numFmtId="44" fontId="3" fillId="0" borderId="64" xfId="31" applyFont="1" applyBorder="1" applyAlignment="1">
      <alignment horizontal="right"/>
    </xf>
    <xf numFmtId="44" fontId="3" fillId="0" borderId="3" xfId="31" applyFont="1" applyBorder="1" applyAlignment="1">
      <alignment horizontal="right"/>
    </xf>
    <xf numFmtId="44" fontId="3" fillId="0" borderId="3" xfId="31" applyFont="1" applyFill="1" applyBorder="1" applyAlignment="1">
      <alignment horizontal="right"/>
    </xf>
    <xf numFmtId="8" fontId="3" fillId="0" borderId="13" xfId="0" applyNumberFormat="1" applyFont="1" applyBorder="1"/>
    <xf numFmtId="44" fontId="3" fillId="0" borderId="1" xfId="31" applyFont="1" applyBorder="1" applyAlignment="1">
      <alignment horizontal="right"/>
    </xf>
    <xf numFmtId="44" fontId="3" fillId="0" borderId="1" xfId="31" applyFont="1" applyFill="1" applyBorder="1" applyAlignment="1">
      <alignment horizontal="right"/>
    </xf>
    <xf numFmtId="0" fontId="3" fillId="0" borderId="5" xfId="0" applyFont="1" applyBorder="1"/>
    <xf numFmtId="44" fontId="3" fillId="0" borderId="0" xfId="0" applyNumberFormat="1" applyFont="1"/>
    <xf numFmtId="8" fontId="3" fillId="0" borderId="57" xfId="0" applyNumberFormat="1" applyFont="1" applyBorder="1"/>
    <xf numFmtId="0" fontId="3" fillId="0" borderId="57" xfId="0" applyFont="1" applyBorder="1"/>
    <xf numFmtId="0" fontId="3" fillId="0" borderId="8" xfId="0" applyFont="1" applyBorder="1"/>
    <xf numFmtId="0" fontId="3" fillId="0" borderId="9" xfId="0" applyFont="1" applyBorder="1"/>
    <xf numFmtId="0" fontId="3" fillId="0" borderId="65" xfId="0" applyFont="1" applyBorder="1"/>
    <xf numFmtId="44" fontId="3" fillId="0" borderId="8" xfId="31" applyFont="1" applyBorder="1" applyAlignment="1">
      <alignment horizontal="right"/>
    </xf>
    <xf numFmtId="44" fontId="3" fillId="0" borderId="8" xfId="31" applyFont="1" applyFill="1" applyBorder="1" applyAlignment="1">
      <alignment horizontal="right"/>
    </xf>
    <xf numFmtId="0" fontId="3" fillId="0" borderId="33" xfId="0" applyFont="1" applyBorder="1"/>
    <xf numFmtId="8" fontId="3" fillId="0" borderId="34" xfId="0" applyNumberFormat="1" applyFont="1" applyBorder="1"/>
    <xf numFmtId="8" fontId="3" fillId="0" borderId="15" xfId="0" applyNumberFormat="1" applyFont="1" applyBorder="1"/>
    <xf numFmtId="44" fontId="3" fillId="0" borderId="16" xfId="31" applyFont="1" applyBorder="1" applyAlignment="1">
      <alignment horizontal="right"/>
    </xf>
    <xf numFmtId="44" fontId="3" fillId="0" borderId="33" xfId="31" applyFont="1" applyBorder="1" applyAlignment="1">
      <alignment horizontal="right"/>
    </xf>
    <xf numFmtId="44" fontId="3" fillId="0" borderId="1" xfId="0" applyNumberFormat="1" applyFont="1" applyBorder="1"/>
    <xf numFmtId="0" fontId="3" fillId="0" borderId="1" xfId="0" applyFont="1" applyBorder="1" applyAlignment="1">
      <alignment horizontal="right"/>
    </xf>
    <xf numFmtId="44" fontId="3" fillId="0" borderId="15" xfId="31" applyFont="1" applyBorder="1" applyAlignment="1">
      <alignment horizontal="right"/>
    </xf>
    <xf numFmtId="0" fontId="3" fillId="0" borderId="48" xfId="0" applyFont="1" applyBorder="1"/>
    <xf numFmtId="44" fontId="3" fillId="0" borderId="13" xfId="31" applyFont="1" applyBorder="1" applyAlignment="1">
      <alignment horizontal="right"/>
    </xf>
    <xf numFmtId="43" fontId="3" fillId="0" borderId="0" xfId="28" applyFont="1"/>
    <xf numFmtId="44" fontId="3" fillId="0" borderId="13" xfId="31" applyFont="1" applyFill="1" applyBorder="1" applyAlignment="1">
      <alignment horizontal="right"/>
    </xf>
    <xf numFmtId="44" fontId="3" fillId="0" borderId="16" xfId="31" applyFont="1" applyFill="1" applyBorder="1" applyAlignment="1">
      <alignment horizontal="right"/>
    </xf>
    <xf numFmtId="44" fontId="3" fillId="0" borderId="33" xfId="31" applyFont="1" applyFill="1" applyBorder="1" applyAlignment="1">
      <alignment horizontal="right"/>
    </xf>
    <xf numFmtId="43" fontId="3" fillId="0" borderId="1" xfId="28" applyFont="1" applyBorder="1"/>
    <xf numFmtId="44" fontId="3" fillId="0" borderId="19" xfId="31" applyFont="1" applyBorder="1" applyAlignment="1">
      <alignment horizontal="right"/>
    </xf>
    <xf numFmtId="44" fontId="3" fillId="0" borderId="61" xfId="31" applyFont="1" applyBorder="1" applyAlignment="1">
      <alignment horizontal="right"/>
    </xf>
    <xf numFmtId="44" fontId="3" fillId="0" borderId="70" xfId="31" applyFont="1" applyBorder="1" applyAlignment="1">
      <alignment horizontal="right"/>
    </xf>
    <xf numFmtId="0" fontId="3" fillId="0" borderId="58" xfId="0" applyFont="1" applyBorder="1" applyAlignment="1">
      <alignment horizontal="center"/>
    </xf>
    <xf numFmtId="0" fontId="3" fillId="0" borderId="67" xfId="0" applyFont="1" applyBorder="1" applyAlignment="1">
      <alignment horizontal="center"/>
    </xf>
    <xf numFmtId="0" fontId="3" fillId="0" borderId="68" xfId="0" applyFont="1" applyBorder="1" applyAlignment="1">
      <alignment horizontal="center"/>
    </xf>
    <xf numFmtId="44" fontId="3" fillId="0" borderId="68" xfId="31" applyFont="1" applyBorder="1" applyAlignment="1">
      <alignment horizontal="right"/>
    </xf>
    <xf numFmtId="44" fontId="3" fillId="0" borderId="62" xfId="31" applyFont="1" applyBorder="1" applyAlignment="1">
      <alignment horizontal="right"/>
    </xf>
    <xf numFmtId="44" fontId="3" fillId="0" borderId="41" xfId="31" applyFont="1" applyFill="1" applyBorder="1" applyAlignment="1">
      <alignment horizontal="center"/>
    </xf>
    <xf numFmtId="43" fontId="3" fillId="0" borderId="0" xfId="28" applyFont="1" applyBorder="1"/>
    <xf numFmtId="8" fontId="3" fillId="0" borderId="0" xfId="0" applyNumberFormat="1" applyFont="1"/>
    <xf numFmtId="44" fontId="3" fillId="0" borderId="0" xfId="31" applyFont="1" applyBorder="1" applyAlignment="1">
      <alignment horizontal="right"/>
    </xf>
    <xf numFmtId="44" fontId="3" fillId="0" borderId="0" xfId="31" applyFont="1" applyFill="1" applyBorder="1" applyAlignment="1">
      <alignment horizontal="right"/>
    </xf>
    <xf numFmtId="0" fontId="111" fillId="0" borderId="0" xfId="0" applyFont="1"/>
    <xf numFmtId="44" fontId="3" fillId="0" borderId="0" xfId="31" applyFont="1" applyFill="1" applyBorder="1" applyAlignment="1">
      <alignment horizontal="center"/>
    </xf>
    <xf numFmtId="44" fontId="3" fillId="0" borderId="0" xfId="31" applyFont="1" applyAlignment="1">
      <alignment horizontal="right"/>
    </xf>
    <xf numFmtId="44" fontId="3" fillId="0" borderId="0" xfId="31" applyFont="1" applyFill="1" applyAlignment="1">
      <alignment horizontal="right"/>
    </xf>
    <xf numFmtId="0" fontId="112" fillId="0" borderId="112" xfId="64" applyFont="1" applyBorder="1"/>
    <xf numFmtId="8" fontId="2" fillId="0" borderId="13" xfId="0" applyNumberFormat="1" applyFont="1" applyBorder="1"/>
    <xf numFmtId="0" fontId="109" fillId="0" borderId="112" xfId="63" applyBorder="1"/>
    <xf numFmtId="0" fontId="109" fillId="0" borderId="60" xfId="63" applyBorder="1" applyAlignment="1">
      <alignment horizontal="right"/>
    </xf>
    <xf numFmtId="44" fontId="2" fillId="0" borderId="1" xfId="31" applyFont="1" applyBorder="1" applyAlignment="1">
      <alignment horizontal="right"/>
    </xf>
    <xf numFmtId="8" fontId="2" fillId="0" borderId="57" xfId="0" applyNumberFormat="1" applyFont="1" applyBorder="1"/>
    <xf numFmtId="0" fontId="2" fillId="0" borderId="5" xfId="0" applyFont="1" applyBorder="1"/>
    <xf numFmtId="44" fontId="2" fillId="0" borderId="8" xfId="31" applyFont="1" applyBorder="1" applyAlignment="1">
      <alignment horizontal="right"/>
    </xf>
    <xf numFmtId="0" fontId="2" fillId="0" borderId="65" xfId="0" applyFont="1" applyBorder="1"/>
    <xf numFmtId="0" fontId="3" fillId="0" borderId="13" xfId="0" applyFont="1" applyBorder="1"/>
    <xf numFmtId="44" fontId="3" fillId="44" borderId="1" xfId="31" applyFont="1" applyFill="1" applyBorder="1" applyAlignment="1">
      <alignment horizontal="center" vertical="center"/>
    </xf>
    <xf numFmtId="0" fontId="109" fillId="0" borderId="0" xfId="63" applyAlignment="1">
      <alignment horizontal="right"/>
    </xf>
    <xf numFmtId="0" fontId="114" fillId="0" borderId="112" xfId="63" applyFont="1" applyBorder="1"/>
    <xf numFmtId="44" fontId="4" fillId="0" borderId="1" xfId="31" applyFont="1" applyBorder="1" applyAlignment="1">
      <alignment horizontal="right"/>
    </xf>
    <xf numFmtId="44" fontId="2" fillId="0" borderId="1" xfId="31" applyFont="1" applyFill="1" applyBorder="1" applyAlignment="1">
      <alignment horizontal="right"/>
    </xf>
    <xf numFmtId="44" fontId="2" fillId="0" borderId="8" xfId="31" applyFont="1" applyFill="1" applyBorder="1" applyAlignment="1">
      <alignment horizontal="right"/>
    </xf>
    <xf numFmtId="44" fontId="4" fillId="0" borderId="0" xfId="0" applyNumberFormat="1" applyFont="1"/>
    <xf numFmtId="8" fontId="4" fillId="0" borderId="13" xfId="0" applyNumberFormat="1" applyFont="1" applyBorder="1"/>
    <xf numFmtId="0" fontId="23" fillId="0" borderId="2" xfId="0" applyFont="1" applyBorder="1" applyAlignment="1">
      <alignment horizontal="center" vertical="center"/>
    </xf>
    <xf numFmtId="44" fontId="23" fillId="0" borderId="2" xfId="31" applyFont="1" applyFill="1" applyBorder="1" applyAlignment="1">
      <alignment horizontal="center" vertical="center" wrapText="1"/>
    </xf>
    <xf numFmtId="0" fontId="2" fillId="0" borderId="47" xfId="0" applyFont="1" applyBorder="1" applyAlignment="1">
      <alignment wrapText="1"/>
    </xf>
    <xf numFmtId="44" fontId="3" fillId="0" borderId="69" xfId="31" applyFont="1" applyBorder="1" applyAlignment="1">
      <alignment horizontal="right"/>
    </xf>
    <xf numFmtId="44" fontId="3" fillId="0" borderId="47" xfId="31" applyFont="1" applyBorder="1" applyAlignment="1">
      <alignment horizontal="right"/>
    </xf>
    <xf numFmtId="44" fontId="2" fillId="0" borderId="47" xfId="31" applyFont="1" applyFill="1" applyBorder="1" applyAlignment="1">
      <alignment horizontal="right"/>
    </xf>
    <xf numFmtId="0" fontId="2" fillId="0" borderId="3" xfId="0" applyFont="1" applyBorder="1"/>
    <xf numFmtId="8" fontId="3" fillId="0" borderId="4" xfId="0" applyNumberFormat="1" applyFont="1" applyBorder="1"/>
    <xf numFmtId="8" fontId="3" fillId="0" borderId="12" xfId="0" applyNumberFormat="1" applyFont="1" applyBorder="1"/>
    <xf numFmtId="8" fontId="2" fillId="0" borderId="5" xfId="0" applyNumberFormat="1" applyFont="1" applyBorder="1"/>
    <xf numFmtId="0" fontId="2" fillId="0" borderId="9" xfId="0" applyFont="1" applyBorder="1"/>
    <xf numFmtId="0" fontId="2" fillId="0" borderId="33" xfId="0" applyFont="1" applyBorder="1"/>
    <xf numFmtId="0" fontId="3" fillId="0" borderId="34" xfId="0" applyFont="1" applyBorder="1" applyAlignment="1">
      <alignment horizontal="left" vertical="center" wrapText="1"/>
    </xf>
    <xf numFmtId="0" fontId="3" fillId="0" borderId="15" xfId="0" applyFont="1" applyBorder="1" applyAlignment="1">
      <alignment horizontal="left" vertical="center" wrapText="1"/>
    </xf>
    <xf numFmtId="44" fontId="2" fillId="44" borderId="48" xfId="31" applyFont="1" applyFill="1" applyBorder="1" applyAlignment="1">
      <alignment horizontal="right"/>
    </xf>
    <xf numFmtId="0" fontId="2" fillId="0" borderId="47" xfId="0" applyFont="1" applyBorder="1"/>
    <xf numFmtId="44" fontId="3" fillId="0" borderId="34" xfId="31" applyFont="1" applyBorder="1" applyAlignment="1">
      <alignment horizontal="right"/>
    </xf>
    <xf numFmtId="0" fontId="2" fillId="0" borderId="3" xfId="0" applyFont="1" applyBorder="1" applyAlignment="1">
      <alignment wrapText="1"/>
    </xf>
    <xf numFmtId="44" fontId="3" fillId="0" borderId="12" xfId="31" applyFont="1" applyBorder="1" applyAlignment="1">
      <alignment horizontal="right"/>
    </xf>
    <xf numFmtId="44" fontId="2" fillId="0" borderId="71" xfId="31" applyFont="1" applyFill="1" applyBorder="1" applyAlignment="1">
      <alignment horizontal="right"/>
    </xf>
    <xf numFmtId="0" fontId="3" fillId="0" borderId="15" xfId="0" applyFont="1" applyBorder="1" applyAlignment="1">
      <alignment horizontal="left" vertical="center"/>
    </xf>
    <xf numFmtId="40" fontId="3" fillId="0" borderId="15" xfId="0" applyNumberFormat="1" applyFont="1" applyBorder="1" applyAlignment="1">
      <alignment horizontal="right" vertical="center" wrapText="1"/>
    </xf>
    <xf numFmtId="43" fontId="3" fillId="0" borderId="0" xfId="0" applyNumberFormat="1" applyFont="1"/>
    <xf numFmtId="0" fontId="2" fillId="0" borderId="71" xfId="0" applyFont="1" applyBorder="1"/>
    <xf numFmtId="44" fontId="3" fillId="0" borderId="71" xfId="31" applyFont="1" applyBorder="1" applyAlignment="1">
      <alignment horizontal="right"/>
    </xf>
    <xf numFmtId="0" fontId="2" fillId="0" borderId="1" xfId="0" applyFont="1" applyBorder="1"/>
    <xf numFmtId="44" fontId="3" fillId="0" borderId="27" xfId="31" applyFont="1" applyBorder="1" applyAlignment="1">
      <alignment horizontal="right"/>
    </xf>
    <xf numFmtId="8" fontId="3" fillId="0" borderId="27" xfId="31" applyNumberFormat="1" applyFont="1" applyBorder="1" applyAlignment="1">
      <alignment horizontal="right"/>
    </xf>
    <xf numFmtId="0" fontId="2" fillId="0" borderId="71" xfId="0" applyFont="1" applyBorder="1" applyAlignment="1">
      <alignment horizontal="center" wrapText="1"/>
    </xf>
    <xf numFmtId="8" fontId="3" fillId="0" borderId="33" xfId="31" applyNumberFormat="1" applyFont="1" applyBorder="1" applyAlignment="1">
      <alignment horizontal="right"/>
    </xf>
    <xf numFmtId="0" fontId="2" fillId="0" borderId="71" xfId="0" applyFont="1" applyBorder="1" applyAlignment="1">
      <alignment wrapText="1"/>
    </xf>
    <xf numFmtId="44" fontId="3" fillId="0" borderId="71" xfId="31" applyFont="1" applyFill="1" applyBorder="1" applyAlignment="1">
      <alignment horizontal="right"/>
    </xf>
    <xf numFmtId="44" fontId="3" fillId="0" borderId="19" xfId="31" applyFont="1" applyFill="1" applyBorder="1" applyAlignment="1">
      <alignment horizontal="right"/>
    </xf>
    <xf numFmtId="0" fontId="2" fillId="0" borderId="27" xfId="0" applyFont="1" applyBorder="1"/>
    <xf numFmtId="0" fontId="3" fillId="0" borderId="32" xfId="0" applyFont="1" applyBorder="1"/>
    <xf numFmtId="0" fontId="23" fillId="0" borderId="58" xfId="0" applyFont="1" applyBorder="1" applyAlignment="1">
      <alignment horizontal="center"/>
    </xf>
    <xf numFmtId="0" fontId="23" fillId="0" borderId="67" xfId="0" applyFont="1" applyBorder="1" applyAlignment="1">
      <alignment horizontal="center"/>
    </xf>
    <xf numFmtId="0" fontId="23" fillId="0" borderId="68" xfId="0" applyFont="1" applyBorder="1" applyAlignment="1">
      <alignment horizontal="center"/>
    </xf>
    <xf numFmtId="44" fontId="23" fillId="0" borderId="68" xfId="31" applyFont="1" applyBorder="1" applyAlignment="1">
      <alignment horizontal="right"/>
    </xf>
    <xf numFmtId="44" fontId="23" fillId="0" borderId="62" xfId="31" applyFont="1" applyBorder="1" applyAlignment="1">
      <alignment horizontal="right"/>
    </xf>
    <xf numFmtId="44" fontId="23" fillId="0" borderId="41" xfId="31" applyFont="1" applyFill="1" applyBorder="1" applyAlignment="1">
      <alignment horizontal="center"/>
    </xf>
    <xf numFmtId="0" fontId="115" fillId="0" borderId="0" xfId="0" applyFont="1"/>
    <xf numFmtId="0" fontId="116" fillId="0" borderId="0" xfId="0" applyFont="1"/>
    <xf numFmtId="8" fontId="3" fillId="0" borderId="1" xfId="31" applyNumberFormat="1" applyFont="1" applyFill="1" applyBorder="1" applyAlignment="1">
      <alignment horizontal="right"/>
    </xf>
    <xf numFmtId="44" fontId="113" fillId="0" borderId="8" xfId="31" applyFont="1" applyFill="1" applyBorder="1" applyAlignment="1">
      <alignment horizontal="right"/>
    </xf>
    <xf numFmtId="44" fontId="113" fillId="0" borderId="8" xfId="31" applyFont="1" applyBorder="1" applyAlignment="1">
      <alignment horizontal="right"/>
    </xf>
    <xf numFmtId="8" fontId="3" fillId="0" borderId="65" xfId="0" applyNumberFormat="1" applyFont="1" applyBorder="1"/>
    <xf numFmtId="44" fontId="3" fillId="0" borderId="1" xfId="28" applyNumberFormat="1" applyFont="1" applyBorder="1"/>
    <xf numFmtId="8" fontId="2" fillId="0" borderId="65" xfId="0" applyNumberFormat="1" applyFont="1" applyBorder="1"/>
    <xf numFmtId="44" fontId="2" fillId="44" borderId="1" xfId="31" applyFont="1" applyFill="1" applyBorder="1" applyAlignment="1">
      <alignment horizontal="center" vertical="center"/>
    </xf>
    <xf numFmtId="44" fontId="2" fillId="44" borderId="33" xfId="31" applyFont="1" applyFill="1" applyBorder="1" applyAlignment="1">
      <alignment horizontal="right"/>
    </xf>
    <xf numFmtId="8" fontId="2" fillId="0" borderId="0" xfId="28" applyNumberFormat="1" applyFont="1"/>
    <xf numFmtId="44" fontId="3" fillId="0" borderId="74" xfId="0" applyNumberFormat="1" applyFont="1" applyBorder="1"/>
    <xf numFmtId="44" fontId="3" fillId="0" borderId="0" xfId="31" applyFont="1"/>
    <xf numFmtId="8" fontId="117" fillId="0" borderId="0" xfId="0" applyNumberFormat="1" applyFont="1"/>
    <xf numFmtId="0" fontId="117" fillId="0" borderId="0" xfId="0" applyFont="1"/>
    <xf numFmtId="170" fontId="42" fillId="0" borderId="12" xfId="0" applyNumberFormat="1" applyFont="1" applyBorder="1"/>
    <xf numFmtId="170" fontId="51" fillId="44" borderId="0" xfId="0" applyNumberFormat="1" applyFont="1" applyFill="1"/>
    <xf numFmtId="42" fontId="51" fillId="44" borderId="2" xfId="0" applyNumberFormat="1" applyFont="1" applyFill="1" applyBorder="1" applyAlignment="1">
      <alignment horizontal="center"/>
    </xf>
    <xf numFmtId="42" fontId="51" fillId="44" borderId="2" xfId="0" applyNumberFormat="1" applyFont="1" applyFill="1" applyBorder="1"/>
    <xf numFmtId="171" fontId="55" fillId="44" borderId="2" xfId="0" applyNumberFormat="1" applyFont="1" applyFill="1" applyBorder="1" applyAlignment="1">
      <alignment horizontal="right"/>
    </xf>
    <xf numFmtId="170" fontId="55" fillId="44" borderId="2" xfId="0" applyNumberFormat="1" applyFont="1" applyFill="1" applyBorder="1" applyAlignment="1">
      <alignment horizontal="right"/>
    </xf>
    <xf numFmtId="0" fontId="47" fillId="0" borderId="0" xfId="0" applyFont="1" applyAlignment="1">
      <alignment horizontal="center"/>
    </xf>
    <xf numFmtId="44" fontId="40" fillId="0" borderId="0" xfId="0" applyNumberFormat="1" applyFont="1" applyAlignment="1">
      <alignment horizontal="center"/>
    </xf>
    <xf numFmtId="0" fontId="55" fillId="0" borderId="0" xfId="0" applyFont="1" applyAlignment="1">
      <alignment horizontal="center"/>
    </xf>
    <xf numFmtId="44" fontId="51" fillId="44" borderId="2" xfId="0" applyNumberFormat="1" applyFont="1" applyFill="1" applyBorder="1" applyAlignment="1">
      <alignment horizontal="center"/>
    </xf>
    <xf numFmtId="0" fontId="36" fillId="0" borderId="1" xfId="0" applyFont="1" applyBorder="1" applyAlignment="1">
      <alignment horizontal="center"/>
    </xf>
    <xf numFmtId="40" fontId="47" fillId="0" borderId="0" xfId="0" applyNumberFormat="1" applyFont="1"/>
    <xf numFmtId="0" fontId="47" fillId="0" borderId="52" xfId="0" applyFont="1" applyBorder="1"/>
    <xf numFmtId="0" fontId="58" fillId="0" borderId="0" xfId="0" applyFont="1" applyAlignment="1">
      <alignment horizontal="left" vertical="center"/>
    </xf>
    <xf numFmtId="44" fontId="59" fillId="0" borderId="0" xfId="0" applyNumberFormat="1" applyFont="1" applyAlignment="1">
      <alignment horizontal="center" vertical="center"/>
    </xf>
    <xf numFmtId="0" fontId="59" fillId="0" borderId="0" xfId="0" applyFont="1" applyAlignment="1">
      <alignment vertical="center"/>
    </xf>
    <xf numFmtId="0" fontId="47" fillId="0" borderId="0" xfId="0" applyFont="1" applyAlignment="1">
      <alignment horizontal="left" vertical="center"/>
    </xf>
    <xf numFmtId="44" fontId="58" fillId="0" borderId="0" xfId="31" applyFont="1" applyFill="1" applyBorder="1" applyAlignment="1">
      <alignment horizontal="right" vertical="center"/>
    </xf>
    <xf numFmtId="44" fontId="58" fillId="44" borderId="41" xfId="31" applyFont="1" applyFill="1" applyBorder="1" applyAlignment="1">
      <alignment horizontal="right" vertical="center"/>
    </xf>
    <xf numFmtId="44" fontId="41" fillId="44" borderId="36" xfId="31" applyFont="1" applyFill="1" applyBorder="1"/>
    <xf numFmtId="44" fontId="55" fillId="44" borderId="2" xfId="0" applyNumberFormat="1" applyFont="1" applyFill="1" applyBorder="1"/>
    <xf numFmtId="38" fontId="55" fillId="44" borderId="2" xfId="0" applyNumberFormat="1" applyFont="1" applyFill="1" applyBorder="1"/>
    <xf numFmtId="44" fontId="55" fillId="44" borderId="2" xfId="31" applyFont="1" applyFill="1" applyBorder="1"/>
    <xf numFmtId="44" fontId="55" fillId="44" borderId="46" xfId="31" applyFont="1" applyFill="1" applyBorder="1" applyAlignment="1">
      <alignment horizontal="right"/>
    </xf>
    <xf numFmtId="44" fontId="55" fillId="44" borderId="2" xfId="31" applyFont="1" applyFill="1" applyBorder="1" applyAlignment="1">
      <alignment horizontal="right"/>
    </xf>
    <xf numFmtId="44" fontId="55" fillId="44" borderId="87" xfId="31" applyFont="1" applyFill="1" applyBorder="1" applyAlignment="1">
      <alignment horizontal="right"/>
    </xf>
    <xf numFmtId="3" fontId="58" fillId="44" borderId="0" xfId="0" applyNumberFormat="1" applyFont="1" applyFill="1" applyAlignment="1">
      <alignment horizontal="center" vertical="center"/>
    </xf>
    <xf numFmtId="0" fontId="47" fillId="0" borderId="57" xfId="0" applyFont="1" applyBorder="1"/>
    <xf numFmtId="0" fontId="47" fillId="0" borderId="13" xfId="0" applyFont="1" applyBorder="1"/>
    <xf numFmtId="0" fontId="36" fillId="0" borderId="77" xfId="0" applyFont="1" applyBorder="1"/>
    <xf numFmtId="0" fontId="4" fillId="0" borderId="79" xfId="0" applyFont="1" applyBorder="1"/>
    <xf numFmtId="167" fontId="36" fillId="6" borderId="50" xfId="0" applyNumberFormat="1" applyFont="1" applyFill="1" applyBorder="1" applyAlignment="1">
      <alignment horizontal="right"/>
    </xf>
    <xf numFmtId="0" fontId="47" fillId="6" borderId="0" xfId="0" applyFont="1" applyFill="1"/>
    <xf numFmtId="10" fontId="47" fillId="0" borderId="3" xfId="0" applyNumberFormat="1" applyFont="1" applyBorder="1" applyAlignment="1">
      <alignment horizontal="center" wrapText="1"/>
    </xf>
    <xf numFmtId="0" fontId="40" fillId="0" borderId="54" xfId="0" applyFont="1" applyBorder="1"/>
    <xf numFmtId="166" fontId="2" fillId="44" borderId="12" xfId="28" applyNumberFormat="1" applyFont="1" applyFill="1" applyBorder="1"/>
    <xf numFmtId="166" fontId="2" fillId="44" borderId="54" xfId="28" applyNumberFormat="1" applyFont="1" applyFill="1" applyBorder="1"/>
    <xf numFmtId="0" fontId="2" fillId="44" borderId="54" xfId="0" applyFont="1" applyFill="1" applyBorder="1"/>
    <xf numFmtId="0" fontId="2" fillId="44" borderId="4" xfId="0" applyFont="1" applyFill="1" applyBorder="1"/>
    <xf numFmtId="0" fontId="0" fillId="44" borderId="9" xfId="0" applyFill="1" applyBorder="1" applyAlignment="1">
      <alignment wrapText="1"/>
    </xf>
    <xf numFmtId="10" fontId="2" fillId="44" borderId="12" xfId="0" applyNumberFormat="1" applyFont="1" applyFill="1" applyBorder="1"/>
    <xf numFmtId="10" fontId="2" fillId="44" borderId="54" xfId="0" applyNumberFormat="1" applyFont="1" applyFill="1" applyBorder="1"/>
    <xf numFmtId="1" fontId="2" fillId="44" borderId="54" xfId="0" applyNumberFormat="1" applyFont="1" applyFill="1" applyBorder="1"/>
    <xf numFmtId="166" fontId="2" fillId="44" borderId="4" xfId="28" applyNumberFormat="1" applyFont="1" applyFill="1" applyBorder="1"/>
    <xf numFmtId="10" fontId="0" fillId="44" borderId="61" xfId="0" applyNumberFormat="1" applyFill="1" applyBorder="1"/>
    <xf numFmtId="0" fontId="0" fillId="44" borderId="61" xfId="0" applyFill="1" applyBorder="1"/>
    <xf numFmtId="166" fontId="0" fillId="44" borderId="60" xfId="28" applyNumberFormat="1" applyFont="1" applyFill="1" applyBorder="1"/>
    <xf numFmtId="0" fontId="3" fillId="44" borderId="13" xfId="0" applyFont="1" applyFill="1" applyBorder="1" applyAlignment="1">
      <alignment wrapText="1"/>
    </xf>
    <xf numFmtId="0" fontId="3" fillId="44" borderId="57" xfId="0" applyFont="1" applyFill="1" applyBorder="1" applyAlignment="1">
      <alignment wrapText="1"/>
    </xf>
    <xf numFmtId="0" fontId="0" fillId="44" borderId="5" xfId="0" applyFill="1" applyBorder="1" applyAlignment="1">
      <alignment wrapText="1"/>
    </xf>
    <xf numFmtId="0" fontId="27" fillId="49" borderId="65" xfId="0" applyFont="1" applyFill="1" applyBorder="1"/>
    <xf numFmtId="0" fontId="27" fillId="49" borderId="65" xfId="0" applyFont="1" applyFill="1" applyBorder="1" applyAlignment="1">
      <alignment horizontal="right"/>
    </xf>
    <xf numFmtId="0" fontId="27" fillId="49" borderId="66" xfId="0" applyFont="1" applyFill="1" applyBorder="1" applyAlignment="1">
      <alignment horizontal="right"/>
    </xf>
    <xf numFmtId="0" fontId="28" fillId="49" borderId="60" xfId="0" applyFont="1" applyFill="1" applyBorder="1"/>
    <xf numFmtId="166" fontId="0" fillId="49" borderId="0" xfId="28" applyNumberFormat="1" applyFont="1" applyFill="1" applyBorder="1"/>
    <xf numFmtId="166" fontId="0" fillId="49" borderId="61" xfId="28" applyNumberFormat="1" applyFont="1" applyFill="1" applyBorder="1"/>
    <xf numFmtId="0" fontId="0" fillId="49" borderId="60" xfId="0" applyFill="1" applyBorder="1"/>
    <xf numFmtId="166" fontId="23" fillId="0" borderId="0" xfId="28" applyNumberFormat="1" applyFont="1" applyFill="1"/>
    <xf numFmtId="0" fontId="105" fillId="52" borderId="72" xfId="0" applyFont="1" applyFill="1" applyBorder="1" applyAlignment="1">
      <alignment wrapText="1"/>
    </xf>
    <xf numFmtId="0" fontId="0" fillId="0" borderId="113" xfId="0" applyBorder="1" applyAlignment="1">
      <alignment horizontal="left" indent="1"/>
    </xf>
    <xf numFmtId="1" fontId="0" fillId="0" borderId="114" xfId="0" applyNumberFormat="1" applyBorder="1"/>
    <xf numFmtId="1" fontId="0" fillId="0" borderId="115" xfId="0" applyNumberFormat="1" applyBorder="1"/>
    <xf numFmtId="0" fontId="0" fillId="0" borderId="116" xfId="0" applyBorder="1" applyAlignment="1">
      <alignment horizontal="left" indent="1"/>
    </xf>
    <xf numFmtId="1" fontId="0" fillId="0" borderId="117" xfId="0" applyNumberFormat="1" applyBorder="1"/>
    <xf numFmtId="1" fontId="0" fillId="0" borderId="118" xfId="0" applyNumberFormat="1" applyBorder="1"/>
    <xf numFmtId="0" fontId="105" fillId="0" borderId="0" xfId="62" applyFont="1"/>
    <xf numFmtId="0" fontId="0" fillId="0" borderId="119" xfId="0" applyBorder="1" applyAlignment="1">
      <alignment horizontal="left" indent="1"/>
    </xf>
    <xf numFmtId="1" fontId="0" fillId="0" borderId="120" xfId="0" applyNumberFormat="1" applyBorder="1"/>
    <xf numFmtId="1" fontId="0" fillId="0" borderId="121" xfId="0" applyNumberFormat="1" applyBorder="1"/>
    <xf numFmtId="166" fontId="105" fillId="43" borderId="72" xfId="28" applyNumberFormat="1" applyFont="1" applyFill="1" applyBorder="1"/>
    <xf numFmtId="166" fontId="105" fillId="43" borderId="38" xfId="28" applyNumberFormat="1" applyFont="1" applyFill="1" applyBorder="1"/>
    <xf numFmtId="0" fontId="105" fillId="43" borderId="11" xfId="0" applyFont="1" applyFill="1" applyBorder="1" applyAlignment="1">
      <alignment horizontal="center"/>
    </xf>
    <xf numFmtId="0" fontId="0" fillId="0" borderId="114" xfId="0" applyBorder="1"/>
    <xf numFmtId="0" fontId="0" fillId="0" borderId="115" xfId="0" applyBorder="1"/>
    <xf numFmtId="0" fontId="0" fillId="0" borderId="117" xfId="0" applyBorder="1"/>
    <xf numFmtId="0" fontId="0" fillId="0" borderId="118" xfId="0" applyBorder="1"/>
    <xf numFmtId="0" fontId="0" fillId="0" borderId="120" xfId="0" applyBorder="1"/>
    <xf numFmtId="0" fontId="0" fillId="0" borderId="121" xfId="0" applyBorder="1"/>
    <xf numFmtId="0" fontId="105" fillId="53" borderId="72" xfId="0" applyFont="1" applyFill="1" applyBorder="1"/>
    <xf numFmtId="0" fontId="105" fillId="53" borderId="38" xfId="0" applyFont="1" applyFill="1" applyBorder="1"/>
    <xf numFmtId="0" fontId="105" fillId="52" borderId="11" xfId="0" applyFont="1" applyFill="1" applyBorder="1"/>
    <xf numFmtId="0" fontId="105" fillId="52" borderId="11" xfId="0" applyFont="1" applyFill="1" applyBorder="1" applyAlignment="1">
      <alignment wrapText="1"/>
    </xf>
    <xf numFmtId="166" fontId="105" fillId="43" borderId="11" xfId="28" applyNumberFormat="1" applyFont="1" applyFill="1" applyBorder="1" applyAlignment="1">
      <alignment horizontal="left"/>
    </xf>
    <xf numFmtId="166" fontId="105" fillId="43" borderId="86" xfId="28" applyNumberFormat="1" applyFont="1" applyFill="1" applyBorder="1"/>
    <xf numFmtId="166" fontId="105" fillId="43" borderId="11" xfId="28" applyNumberFormat="1" applyFont="1" applyFill="1" applyBorder="1"/>
    <xf numFmtId="0" fontId="105" fillId="53" borderId="11" xfId="0" applyFont="1" applyFill="1" applyBorder="1" applyAlignment="1">
      <alignment horizontal="left"/>
    </xf>
    <xf numFmtId="0" fontId="105" fillId="53" borderId="11" xfId="0" applyFont="1" applyFill="1" applyBorder="1"/>
    <xf numFmtId="0" fontId="2" fillId="43" borderId="46" xfId="0" applyFont="1" applyFill="1" applyBorder="1" applyAlignment="1">
      <alignment horizontal="center" vertical="center"/>
    </xf>
    <xf numFmtId="0" fontId="51" fillId="0" borderId="74" xfId="0" applyFont="1" applyBorder="1" applyAlignment="1">
      <alignment horizontal="center" vertical="center"/>
    </xf>
    <xf numFmtId="0" fontId="51" fillId="0" borderId="16" xfId="0" applyFont="1" applyBorder="1" applyAlignment="1">
      <alignment horizontal="center" vertical="top"/>
    </xf>
    <xf numFmtId="0" fontId="41" fillId="0" borderId="86" xfId="0" applyFont="1" applyBorder="1" applyAlignment="1">
      <alignment horizontal="center"/>
    </xf>
    <xf numFmtId="0" fontId="41" fillId="0" borderId="72" xfId="0" applyFont="1" applyBorder="1" applyAlignment="1">
      <alignment horizontal="center"/>
    </xf>
    <xf numFmtId="0" fontId="41" fillId="0" borderId="38" xfId="0" applyFont="1" applyBorder="1" applyAlignment="1">
      <alignment horizontal="center"/>
    </xf>
    <xf numFmtId="0" fontId="45" fillId="0" borderId="50" xfId="0" applyFont="1" applyBorder="1" applyAlignment="1">
      <alignment horizontal="left" wrapText="1"/>
    </xf>
    <xf numFmtId="0" fontId="41" fillId="0" borderId="86" xfId="0" applyFont="1" applyBorder="1" applyAlignment="1">
      <alignment horizontal="center" vertical="center"/>
    </xf>
    <xf numFmtId="0" fontId="41" fillId="0" borderId="72" xfId="0" applyFont="1" applyBorder="1" applyAlignment="1">
      <alignment horizontal="center" vertical="center"/>
    </xf>
    <xf numFmtId="0" fontId="41" fillId="0" borderId="38" xfId="0" applyFont="1" applyBorder="1" applyAlignment="1">
      <alignment horizontal="center" vertical="center"/>
    </xf>
    <xf numFmtId="0" fontId="51" fillId="0" borderId="0" xfId="0" applyFont="1" applyAlignment="1">
      <alignment horizontal="center"/>
    </xf>
    <xf numFmtId="0" fontId="51" fillId="0" borderId="74" xfId="0" applyFont="1" applyBorder="1" applyAlignment="1">
      <alignment horizontal="center" vertical="top"/>
    </xf>
    <xf numFmtId="0" fontId="54" fillId="0" borderId="74" xfId="0" applyFont="1" applyBorder="1" applyAlignment="1">
      <alignment horizontal="center" vertical="center"/>
    </xf>
    <xf numFmtId="8" fontId="54" fillId="0" borderId="73" xfId="0" applyNumberFormat="1" applyFont="1" applyBorder="1" applyAlignment="1">
      <alignment horizontal="center"/>
    </xf>
    <xf numFmtId="8" fontId="54" fillId="0" borderId="68" xfId="0" applyNumberFormat="1" applyFont="1" applyBorder="1" applyAlignment="1">
      <alignment horizontal="center"/>
    </xf>
    <xf numFmtId="0" fontId="3" fillId="0" borderId="40" xfId="0" applyFont="1" applyBorder="1" applyAlignment="1">
      <alignment horizontal="center" vertical="center" wrapText="1"/>
    </xf>
    <xf numFmtId="0" fontId="3" fillId="0" borderId="46" xfId="0" applyFont="1" applyBorder="1" applyAlignment="1">
      <alignment horizontal="center" vertical="center" wrapText="1"/>
    </xf>
    <xf numFmtId="44" fontId="3" fillId="0" borderId="40" xfId="31" applyFont="1" applyBorder="1" applyAlignment="1">
      <alignment horizontal="center" vertical="center" wrapText="1"/>
    </xf>
    <xf numFmtId="44" fontId="3" fillId="0" borderId="46" xfId="31" applyFont="1" applyBorder="1" applyAlignment="1">
      <alignment horizontal="center" vertical="center" wrapText="1"/>
    </xf>
    <xf numFmtId="0" fontId="3" fillId="0" borderId="74" xfId="0" applyFont="1" applyBorder="1" applyAlignment="1">
      <alignment horizontal="center" vertical="center"/>
    </xf>
    <xf numFmtId="0" fontId="3" fillId="0" borderId="63" xfId="0" applyFont="1" applyBorder="1" applyAlignment="1">
      <alignment horizontal="left" vertical="center" wrapText="1"/>
    </xf>
    <xf numFmtId="0" fontId="3" fillId="0" borderId="19" xfId="0" applyFont="1" applyBorder="1" applyAlignment="1">
      <alignment horizontal="left" vertical="center" wrapText="1"/>
    </xf>
    <xf numFmtId="0" fontId="3" fillId="0" borderId="34" xfId="0" applyFont="1" applyBorder="1" applyAlignment="1">
      <alignment horizontal="left"/>
    </xf>
    <xf numFmtId="0" fontId="3" fillId="0" borderId="15" xfId="0" applyFont="1" applyBorder="1" applyAlignment="1">
      <alignment horizontal="left"/>
    </xf>
    <xf numFmtId="0" fontId="2" fillId="0" borderId="5" xfId="0" applyFont="1" applyBorder="1" applyAlignment="1">
      <alignment horizontal="left"/>
    </xf>
    <xf numFmtId="0" fontId="2" fillId="0" borderId="13" xfId="0" applyFont="1" applyBorder="1" applyAlignment="1">
      <alignment horizontal="left"/>
    </xf>
    <xf numFmtId="0" fontId="3" fillId="0" borderId="5" xfId="0" applyFont="1" applyBorder="1" applyAlignment="1">
      <alignment horizontal="left"/>
    </xf>
    <xf numFmtId="0" fontId="3" fillId="0" borderId="13" xfId="0" applyFont="1" applyBorder="1" applyAlignment="1">
      <alignment horizontal="left"/>
    </xf>
    <xf numFmtId="0" fontId="3" fillId="0" borderId="90" xfId="0" applyFont="1" applyBorder="1" applyAlignment="1">
      <alignment horizontal="left"/>
    </xf>
    <xf numFmtId="0" fontId="3" fillId="0" borderId="91" xfId="0" applyFont="1" applyBorder="1" applyAlignment="1">
      <alignment horizontal="left"/>
    </xf>
    <xf numFmtId="0" fontId="2" fillId="0" borderId="74" xfId="0" applyFont="1" applyBorder="1" applyAlignment="1">
      <alignment horizontal="center" vertical="center"/>
    </xf>
    <xf numFmtId="44" fontId="23" fillId="0" borderId="40" xfId="31" applyFont="1" applyBorder="1" applyAlignment="1">
      <alignment horizontal="center" vertical="center" wrapText="1"/>
    </xf>
    <xf numFmtId="44" fontId="23" fillId="0" borderId="46" xfId="31" applyFont="1" applyBorder="1" applyAlignment="1">
      <alignment horizontal="center" vertical="center" wrapText="1"/>
    </xf>
    <xf numFmtId="0" fontId="3" fillId="0" borderId="88" xfId="0" applyFont="1" applyBorder="1" applyAlignment="1">
      <alignment horizontal="left" vertical="center" wrapText="1"/>
    </xf>
    <xf numFmtId="0" fontId="3" fillId="0" borderId="89" xfId="0" applyFont="1" applyBorder="1" applyAlignment="1">
      <alignment horizontal="left" vertical="center" wrapText="1"/>
    </xf>
    <xf numFmtId="0" fontId="23" fillId="0" borderId="40" xfId="0" applyFont="1" applyBorder="1" applyAlignment="1">
      <alignment horizontal="center" vertical="center" wrapText="1"/>
    </xf>
    <xf numFmtId="0" fontId="23" fillId="0" borderId="46" xfId="0" applyFont="1" applyBorder="1" applyAlignment="1">
      <alignment horizontal="center" vertical="center" wrapText="1"/>
    </xf>
    <xf numFmtId="0" fontId="3" fillId="0" borderId="88" xfId="0" applyFont="1" applyBorder="1" applyAlignment="1">
      <alignment horizontal="left" wrapText="1"/>
    </xf>
    <xf numFmtId="0" fontId="3" fillId="0" borderId="89" xfId="0" applyFont="1" applyBorder="1" applyAlignment="1">
      <alignment horizontal="left" wrapText="1"/>
    </xf>
    <xf numFmtId="0" fontId="58" fillId="0" borderId="16" xfId="0" applyFont="1" applyBorder="1" applyAlignment="1">
      <alignment horizontal="center" vertical="center"/>
    </xf>
    <xf numFmtId="0" fontId="41" fillId="0" borderId="0" xfId="0" applyFont="1" applyAlignment="1">
      <alignment horizontal="center"/>
    </xf>
    <xf numFmtId="42" fontId="41" fillId="0" borderId="0" xfId="0" applyNumberFormat="1" applyFont="1" applyAlignment="1">
      <alignment horizontal="center"/>
    </xf>
    <xf numFmtId="0" fontId="41" fillId="0" borderId="74" xfId="0" applyFont="1" applyBorder="1" applyAlignment="1">
      <alignment horizontal="center"/>
    </xf>
    <xf numFmtId="0" fontId="41" fillId="0" borderId="0" xfId="0" applyFont="1" applyAlignment="1">
      <alignment horizontal="center" vertical="center"/>
    </xf>
    <xf numFmtId="0" fontId="44" fillId="0" borderId="74" xfId="0" applyFont="1" applyBorder="1" applyAlignment="1">
      <alignment horizontal="center" vertical="center"/>
    </xf>
    <xf numFmtId="0" fontId="51" fillId="0" borderId="16" xfId="0" applyFont="1" applyBorder="1" applyAlignment="1">
      <alignment horizontal="center" vertical="center"/>
    </xf>
    <xf numFmtId="0" fontId="47" fillId="0" borderId="57" xfId="0" applyFont="1" applyBorder="1" applyAlignment="1">
      <alignment horizontal="left"/>
    </xf>
    <xf numFmtId="0" fontId="47" fillId="0" borderId="13" xfId="0" applyFont="1" applyBorder="1" applyAlignment="1">
      <alignment horizontal="left"/>
    </xf>
    <xf numFmtId="0" fontId="36" fillId="0" borderId="84" xfId="0" applyFont="1" applyBorder="1" applyAlignment="1">
      <alignment horizontal="left"/>
    </xf>
    <xf numFmtId="0" fontId="55" fillId="0" borderId="68" xfId="0" applyFont="1" applyBorder="1" applyAlignment="1">
      <alignment horizontal="left"/>
    </xf>
    <xf numFmtId="0" fontId="62" fillId="0" borderId="6" xfId="0" applyFont="1" applyBorder="1" applyAlignment="1">
      <alignment horizontal="center" vertical="center" wrapText="1"/>
    </xf>
    <xf numFmtId="0" fontId="55" fillId="0" borderId="86" xfId="0" applyFont="1" applyBorder="1" applyAlignment="1">
      <alignment horizontal="center" vertical="center"/>
    </xf>
    <xf numFmtId="0" fontId="55" fillId="0" borderId="72" xfId="0" applyFont="1" applyBorder="1" applyAlignment="1">
      <alignment horizontal="center" vertical="center"/>
    </xf>
    <xf numFmtId="0" fontId="51" fillId="0" borderId="0" xfId="0" applyFont="1" applyAlignment="1">
      <alignment horizontal="center" vertical="center"/>
    </xf>
    <xf numFmtId="0" fontId="40" fillId="0" borderId="5" xfId="0" applyFont="1" applyBorder="1"/>
    <xf numFmtId="0" fontId="40" fillId="0" borderId="13" xfId="0" applyFont="1" applyBorder="1"/>
    <xf numFmtId="0" fontId="48" fillId="0" borderId="20" xfId="0" applyFont="1" applyBorder="1" applyAlignment="1">
      <alignment horizontal="center" vertical="center"/>
    </xf>
    <xf numFmtId="0" fontId="48" fillId="0" borderId="6" xfId="0" applyFont="1" applyBorder="1" applyAlignment="1">
      <alignment horizontal="center" vertical="center"/>
    </xf>
    <xf numFmtId="3" fontId="48" fillId="0" borderId="6" xfId="0" applyNumberFormat="1" applyFont="1" applyBorder="1" applyAlignment="1">
      <alignment horizontal="center" vertical="center"/>
    </xf>
    <xf numFmtId="0" fontId="54" fillId="0" borderId="40" xfId="0" applyFont="1" applyBorder="1" applyAlignment="1">
      <alignment horizontal="center" vertical="center"/>
    </xf>
    <xf numFmtId="0" fontId="54" fillId="0" borderId="46" xfId="0" applyFont="1" applyBorder="1" applyAlignment="1">
      <alignment horizontal="center" vertical="center"/>
    </xf>
    <xf numFmtId="0" fontId="41" fillId="0" borderId="92" xfId="0" applyFont="1" applyBorder="1" applyAlignment="1">
      <alignment horizontal="center" vertical="center"/>
    </xf>
    <xf numFmtId="0" fontId="41" fillId="0" borderId="25" xfId="0" applyFont="1" applyBorder="1" applyAlignment="1">
      <alignment horizontal="center" vertical="center"/>
    </xf>
    <xf numFmtId="0" fontId="41" fillId="0" borderId="26" xfId="0" applyFont="1" applyBorder="1" applyAlignment="1">
      <alignment horizontal="center" vertical="center"/>
    </xf>
    <xf numFmtId="17" fontId="41" fillId="0" borderId="7" xfId="0" applyNumberFormat="1" applyFont="1" applyBorder="1" applyAlignment="1">
      <alignment horizontal="center" vertical="center" wrapText="1"/>
    </xf>
    <xf numFmtId="17" fontId="41" fillId="0" borderId="39" xfId="0" applyNumberFormat="1" applyFont="1" applyBorder="1" applyAlignment="1">
      <alignment horizontal="center" vertical="center" wrapText="1"/>
    </xf>
    <xf numFmtId="0" fontId="41" fillId="0" borderId="7" xfId="0" applyFont="1" applyBorder="1" applyAlignment="1">
      <alignment horizontal="center" vertical="center" wrapText="1"/>
    </xf>
    <xf numFmtId="0" fontId="41" fillId="0" borderId="39" xfId="0" applyFont="1" applyBorder="1" applyAlignment="1">
      <alignment horizontal="center" vertical="center" wrapText="1"/>
    </xf>
    <xf numFmtId="0" fontId="107" fillId="0" borderId="0" xfId="0" applyFont="1" applyAlignment="1">
      <alignment horizontal="center" vertical="top" wrapText="1"/>
    </xf>
    <xf numFmtId="0" fontId="107" fillId="0" borderId="0" xfId="59" applyFont="1" applyAlignment="1">
      <alignment horizontal="center" vertical="top" wrapText="1"/>
    </xf>
    <xf numFmtId="0" fontId="9" fillId="0" borderId="18" xfId="0" applyFont="1" applyBorder="1" applyAlignment="1">
      <alignment horizontal="center"/>
    </xf>
    <xf numFmtId="0" fontId="9" fillId="0" borderId="16" xfId="0" applyFont="1" applyBorder="1" applyAlignment="1">
      <alignment horizontal="center"/>
    </xf>
    <xf numFmtId="17" fontId="16" fillId="0" borderId="7" xfId="0" applyNumberFormat="1" applyFont="1" applyBorder="1" applyAlignment="1">
      <alignment horizontal="center" wrapText="1"/>
    </xf>
    <xf numFmtId="17" fontId="16" fillId="0" borderId="39" xfId="0" applyNumberFormat="1" applyFont="1" applyBorder="1" applyAlignment="1">
      <alignment horizontal="center" wrapText="1"/>
    </xf>
    <xf numFmtId="17" fontId="17" fillId="0" borderId="7" xfId="0" applyNumberFormat="1" applyFont="1" applyBorder="1" applyAlignment="1">
      <alignment horizontal="center" wrapText="1"/>
    </xf>
    <xf numFmtId="17" fontId="17" fillId="0" borderId="39" xfId="0" applyNumberFormat="1" applyFont="1" applyBorder="1" applyAlignment="1">
      <alignment horizontal="center" wrapText="1"/>
    </xf>
    <xf numFmtId="17" fontId="20" fillId="0" borderId="7" xfId="0" applyNumberFormat="1" applyFont="1" applyBorder="1" applyAlignment="1">
      <alignment horizontal="center" wrapText="1"/>
    </xf>
    <xf numFmtId="17" fontId="20" fillId="0" borderId="39" xfId="0" applyNumberFormat="1" applyFont="1" applyBorder="1" applyAlignment="1">
      <alignment horizontal="center" wrapText="1"/>
    </xf>
    <xf numFmtId="0" fontId="0" fillId="0" borderId="39" xfId="0" applyBorder="1" applyAlignment="1">
      <alignment horizontal="center" wrapText="1"/>
    </xf>
    <xf numFmtId="0" fontId="12" fillId="0" borderId="7" xfId="0" applyFont="1" applyBorder="1" applyAlignment="1">
      <alignment horizontal="center" wrapText="1"/>
    </xf>
    <xf numFmtId="0" fontId="12" fillId="0" borderId="39" xfId="0" applyFont="1" applyBorder="1" applyAlignment="1">
      <alignment horizontal="center" wrapText="1"/>
    </xf>
    <xf numFmtId="17" fontId="12" fillId="0" borderId="7" xfId="0" applyNumberFormat="1" applyFont="1" applyBorder="1" applyAlignment="1">
      <alignment horizontal="center" wrapText="1"/>
    </xf>
    <xf numFmtId="17" fontId="12" fillId="0" borderId="39" xfId="0" applyNumberFormat="1" applyFont="1" applyBorder="1" applyAlignment="1">
      <alignment horizontal="center" wrapText="1"/>
    </xf>
    <xf numFmtId="0" fontId="0" fillId="0" borderId="16" xfId="0" applyBorder="1"/>
    <xf numFmtId="0" fontId="20" fillId="0" borderId="7" xfId="0" applyFont="1" applyBorder="1" applyAlignment="1">
      <alignment horizontal="center" wrapText="1"/>
    </xf>
    <xf numFmtId="0" fontId="20" fillId="0" borderId="39" xfId="0" applyFont="1" applyBorder="1" applyAlignment="1">
      <alignment horizontal="center" wrapText="1"/>
    </xf>
    <xf numFmtId="17" fontId="88" fillId="0" borderId="7" xfId="0" applyNumberFormat="1" applyFont="1" applyBorder="1" applyAlignment="1">
      <alignment horizontal="center" wrapText="1"/>
    </xf>
    <xf numFmtId="17" fontId="88" fillId="0" borderId="39" xfId="0" applyNumberFormat="1" applyFont="1" applyBorder="1" applyAlignment="1">
      <alignment horizontal="center" wrapText="1"/>
    </xf>
    <xf numFmtId="0" fontId="80" fillId="0" borderId="18" xfId="0" applyFont="1" applyBorder="1" applyAlignment="1">
      <alignment horizontal="center"/>
    </xf>
    <xf numFmtId="0" fontId="80" fillId="0" borderId="16" xfId="0" applyFont="1" applyBorder="1" applyAlignment="1">
      <alignment horizontal="center"/>
    </xf>
    <xf numFmtId="0" fontId="44" fillId="0" borderId="7" xfId="0" applyFont="1" applyBorder="1" applyAlignment="1">
      <alignment horizontal="center" wrapText="1"/>
    </xf>
    <xf numFmtId="0" fontId="44" fillId="0" borderId="39" xfId="0" applyFont="1" applyBorder="1" applyAlignment="1">
      <alignment horizontal="center" wrapText="1"/>
    </xf>
    <xf numFmtId="0" fontId="44" fillId="2" borderId="17" xfId="0" applyFont="1" applyFill="1" applyBorder="1" applyAlignment="1">
      <alignment horizontal="center" wrapText="1"/>
    </xf>
    <xf numFmtId="0" fontId="44" fillId="2" borderId="50" xfId="0" applyFont="1" applyFill="1" applyBorder="1" applyAlignment="1">
      <alignment horizontal="center" wrapText="1"/>
    </xf>
    <xf numFmtId="0" fontId="44" fillId="2" borderId="51" xfId="0" applyFont="1" applyFill="1" applyBorder="1" applyAlignment="1">
      <alignment horizontal="center" wrapText="1"/>
    </xf>
    <xf numFmtId="17" fontId="44" fillId="0" borderId="7" xfId="0" applyNumberFormat="1" applyFont="1" applyBorder="1" applyAlignment="1">
      <alignment horizontal="center" wrapText="1"/>
    </xf>
    <xf numFmtId="17" fontId="44" fillId="0" borderId="39" xfId="0" applyNumberFormat="1" applyFont="1" applyBorder="1" applyAlignment="1">
      <alignment horizontal="center" wrapText="1"/>
    </xf>
    <xf numFmtId="0" fontId="43" fillId="0" borderId="39" xfId="0" applyFont="1" applyBorder="1" applyAlignment="1">
      <alignment horizontal="center" wrapText="1"/>
    </xf>
    <xf numFmtId="0" fontId="43" fillId="0" borderId="39" xfId="0" applyFont="1" applyBorder="1"/>
    <xf numFmtId="0" fontId="44" fillId="44" borderId="86" xfId="0" applyFont="1" applyFill="1" applyBorder="1" applyAlignment="1">
      <alignment horizontal="center" wrapText="1"/>
    </xf>
    <xf numFmtId="0" fontId="43" fillId="44" borderId="72" xfId="0" applyFont="1" applyFill="1" applyBorder="1" applyAlignment="1">
      <alignment wrapText="1"/>
    </xf>
    <xf numFmtId="0" fontId="43" fillId="44" borderId="38" xfId="0" applyFont="1" applyFill="1" applyBorder="1" applyAlignment="1">
      <alignment wrapText="1"/>
    </xf>
    <xf numFmtId="0" fontId="43" fillId="0" borderId="39" xfId="0" applyFont="1" applyBorder="1" applyAlignment="1">
      <alignment wrapText="1"/>
    </xf>
    <xf numFmtId="0" fontId="44" fillId="2" borderId="86" xfId="0" applyFont="1" applyFill="1" applyBorder="1" applyAlignment="1">
      <alignment horizontal="center" wrapText="1"/>
    </xf>
    <xf numFmtId="0" fontId="43" fillId="0" borderId="72" xfId="0" applyFont="1" applyBorder="1" applyAlignment="1">
      <alignment wrapText="1"/>
    </xf>
    <xf numFmtId="0" fontId="43" fillId="0" borderId="38" xfId="0" applyFont="1" applyBorder="1" applyAlignment="1">
      <alignment wrapText="1"/>
    </xf>
    <xf numFmtId="0" fontId="44" fillId="2" borderId="72" xfId="0" applyFont="1" applyFill="1" applyBorder="1" applyAlignment="1">
      <alignment horizontal="center" wrapText="1"/>
    </xf>
    <xf numFmtId="0" fontId="44" fillId="2" borderId="38" xfId="0" applyFont="1" applyFill="1" applyBorder="1" applyAlignment="1">
      <alignment horizontal="center" wrapText="1"/>
    </xf>
  </cellXfs>
  <cellStyles count="78">
    <cellStyle name="20% - Accent1" xfId="1" builtinId="30" customBuiltin="1"/>
    <cellStyle name="20% - Accent1 2" xfId="65" xr:uid="{00000000-0005-0000-0000-000001000000}"/>
    <cellStyle name="20% - Accent2" xfId="2" builtinId="34" customBuiltin="1"/>
    <cellStyle name="20% - Accent2 2" xfId="66" xr:uid="{00000000-0005-0000-0000-000003000000}"/>
    <cellStyle name="20% - Accent3" xfId="3" builtinId="38" customBuiltin="1"/>
    <cellStyle name="20% - Accent3 2" xfId="67" xr:uid="{00000000-0005-0000-0000-000005000000}"/>
    <cellStyle name="20% - Accent4" xfId="4" builtinId="42" customBuiltin="1"/>
    <cellStyle name="20% - Accent4 2" xfId="68" xr:uid="{00000000-0005-0000-0000-000007000000}"/>
    <cellStyle name="20% - Accent5" xfId="5" builtinId="46" customBuiltin="1"/>
    <cellStyle name="20% - Accent5 2" xfId="69" xr:uid="{00000000-0005-0000-0000-000009000000}"/>
    <cellStyle name="20% - Accent6" xfId="6" builtinId="50" customBuiltin="1"/>
    <cellStyle name="20% - Accent6 2" xfId="70" xr:uid="{00000000-0005-0000-0000-00000B000000}"/>
    <cellStyle name="40% - Accent1" xfId="7" builtinId="31" customBuiltin="1"/>
    <cellStyle name="40% - Accent1 2" xfId="71" xr:uid="{00000000-0005-0000-0000-00000D000000}"/>
    <cellStyle name="40% - Accent2" xfId="8" builtinId="35" customBuiltin="1"/>
    <cellStyle name="40% - Accent2 2" xfId="72" xr:uid="{00000000-0005-0000-0000-00000F000000}"/>
    <cellStyle name="40% - Accent3" xfId="9" builtinId="39" customBuiltin="1"/>
    <cellStyle name="40% - Accent3 2" xfId="73" xr:uid="{00000000-0005-0000-0000-000011000000}"/>
    <cellStyle name="40% - Accent4" xfId="10" builtinId="43" customBuiltin="1"/>
    <cellStyle name="40% - Accent4 2" xfId="74" xr:uid="{00000000-0005-0000-0000-000013000000}"/>
    <cellStyle name="40% - Accent5" xfId="11" builtinId="47" customBuiltin="1"/>
    <cellStyle name="40% - Accent5 2" xfId="75" xr:uid="{00000000-0005-0000-0000-000015000000}"/>
    <cellStyle name="40% - Accent6" xfId="12" builtinId="51" customBuiltin="1"/>
    <cellStyle name="40% - Accent6 2" xfId="76"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28000000}"/>
    <cellStyle name="Comma 2 2" xfId="30" xr:uid="{00000000-0005-0000-0000-000029000000}"/>
    <cellStyle name="Comma 3" xfId="60" xr:uid="{00000000-0005-0000-0000-00002A000000}"/>
    <cellStyle name="Currency" xfId="31" builtinId="4"/>
    <cellStyle name="Currency 2" xfId="32" xr:uid="{00000000-0005-0000-0000-00002C000000}"/>
    <cellStyle name="Currency 3" xfId="61" xr:uid="{00000000-0005-0000-0000-00002D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38000000}"/>
    <cellStyle name="Normal 11" xfId="64" xr:uid="{00000000-0005-0000-0000-000039000000}"/>
    <cellStyle name="Normal 2" xfId="42" xr:uid="{00000000-0005-0000-0000-00003A000000}"/>
    <cellStyle name="Normal 2 2" xfId="43" xr:uid="{00000000-0005-0000-0000-00003B000000}"/>
    <cellStyle name="Normal 2 2 2" xfId="44" xr:uid="{00000000-0005-0000-0000-00003C000000}"/>
    <cellStyle name="Normal 2 2_Sched-D2" xfId="45" xr:uid="{00000000-0005-0000-0000-00003D000000}"/>
    <cellStyle name="Normal 2 3" xfId="77" xr:uid="{00000000-0005-0000-0000-00003E000000}"/>
    <cellStyle name="Normal 2_Sched-D2" xfId="46" xr:uid="{00000000-0005-0000-0000-00003F000000}"/>
    <cellStyle name="Normal 3" xfId="47" xr:uid="{00000000-0005-0000-0000-000040000000}"/>
    <cellStyle name="Normal 4" xfId="48" xr:uid="{00000000-0005-0000-0000-000041000000}"/>
    <cellStyle name="Normal 5" xfId="49" xr:uid="{00000000-0005-0000-0000-000042000000}"/>
    <cellStyle name="Normal 6" xfId="50" xr:uid="{00000000-0005-0000-0000-000043000000}"/>
    <cellStyle name="Normal 7" xfId="51" xr:uid="{00000000-0005-0000-0000-000044000000}"/>
    <cellStyle name="Normal 8" xfId="59" xr:uid="{00000000-0005-0000-0000-000045000000}"/>
    <cellStyle name="Normal 9" xfId="62" xr:uid="{00000000-0005-0000-0000-000046000000}"/>
    <cellStyle name="Note 2" xfId="52" xr:uid="{00000000-0005-0000-0000-000047000000}"/>
    <cellStyle name="Note 2 2" xfId="53" xr:uid="{00000000-0005-0000-0000-000048000000}"/>
    <cellStyle name="Note 2 2 2" xfId="54" xr:uid="{00000000-0005-0000-0000-000049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145</xdr:row>
      <xdr:rowOff>0</xdr:rowOff>
    </xdr:from>
    <xdr:to>
      <xdr:col>0</xdr:col>
      <xdr:colOff>198120</xdr:colOff>
      <xdr:row>145</xdr:row>
      <xdr:rowOff>144780</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4%20COST%20OF%20CARE-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Cost Calc"/>
      <sheetName val="Sched-A"/>
      <sheetName val="Sched-B1"/>
      <sheetName val="Sched-B2"/>
      <sheetName val="Sched-C"/>
      <sheetName val="Sched-D1"/>
      <sheetName val="Sched-D2"/>
      <sheetName val="Sched-E"/>
      <sheetName val="Summary-Sched-E"/>
      <sheetName val="Sched-F-G"/>
      <sheetName val="Property Inventory"/>
      <sheetName val="CostReim"/>
      <sheetName val="COST ALLOCATION"/>
      <sheetName val="BILLING RATE CALC"/>
      <sheetName val="Inmate Avg Daily Population"/>
      <sheetName val="Avg Daily Community Jails"/>
      <sheetName val="IADP-By Gender"/>
      <sheetName val="Monthly PO Workload Stats"/>
      <sheetName val="Qtrly's-Cntsht Book"/>
      <sheetName val="CRC Avg Info by FY"/>
      <sheetName val="COC 02-COC 14 COST COMPARIS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
          <cell r="C26">
            <v>29092188.98</v>
          </cell>
        </row>
        <row r="27">
          <cell r="C27">
            <v>6227254.8200000003</v>
          </cell>
        </row>
        <row r="28">
          <cell r="C28">
            <v>11724155.279999997</v>
          </cell>
        </row>
        <row r="29">
          <cell r="C29">
            <v>25814892.539999999</v>
          </cell>
        </row>
        <row r="30">
          <cell r="C30">
            <v>12364904.52</v>
          </cell>
        </row>
        <row r="31">
          <cell r="C31">
            <v>4633129.21</v>
          </cell>
        </row>
        <row r="32">
          <cell r="C32">
            <v>10184171.329999998</v>
          </cell>
        </row>
        <row r="33">
          <cell r="C33">
            <v>4563023.07</v>
          </cell>
        </row>
        <row r="34">
          <cell r="C34">
            <v>13842070.17</v>
          </cell>
        </row>
        <row r="35">
          <cell r="C35">
            <v>2808343.89</v>
          </cell>
        </row>
        <row r="36">
          <cell r="C36">
            <v>22076295.109999999</v>
          </cell>
        </row>
        <row r="37">
          <cell r="C37">
            <v>15170339.200000001</v>
          </cell>
        </row>
        <row r="38">
          <cell r="C38">
            <v>8102930.7299999995</v>
          </cell>
        </row>
        <row r="39">
          <cell r="C39">
            <v>166603698.84999999</v>
          </cell>
          <cell r="D39">
            <v>1483797.6958333333</v>
          </cell>
          <cell r="J39">
            <v>158.66602431428541</v>
          </cell>
        </row>
      </sheetData>
      <sheetData sheetId="14"/>
      <sheetData sheetId="15"/>
      <sheetData sheetId="16"/>
      <sheetData sheetId="17"/>
      <sheetData sheetId="18">
        <row r="5">
          <cell r="X5">
            <v>324755.70833333331</v>
          </cell>
        </row>
        <row r="6">
          <cell r="X6">
            <v>39533.45416666667</v>
          </cell>
        </row>
        <row r="7">
          <cell r="X7">
            <v>103875.65416666666</v>
          </cell>
        </row>
        <row r="8">
          <cell r="X8">
            <v>157039.42500000002</v>
          </cell>
        </row>
        <row r="9">
          <cell r="X9">
            <v>151855.20833333334</v>
          </cell>
        </row>
        <row r="10">
          <cell r="X10">
            <v>24554.462499999998</v>
          </cell>
        </row>
        <row r="11">
          <cell r="X11">
            <v>87583.879166666666</v>
          </cell>
        </row>
        <row r="12">
          <cell r="X12">
            <v>36967.504166666658</v>
          </cell>
        </row>
        <row r="13">
          <cell r="X13">
            <v>180001.87916666671</v>
          </cell>
        </row>
        <row r="14">
          <cell r="X14">
            <v>24092.129166666666</v>
          </cell>
        </row>
        <row r="15">
          <cell r="X15">
            <v>126533.94166666668</v>
          </cell>
        </row>
        <row r="16">
          <cell r="X16">
            <v>159604.76666666666</v>
          </cell>
        </row>
        <row r="17">
          <cell r="X17">
            <v>67399.683333333334</v>
          </cell>
        </row>
      </sheetData>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47"/>
  <sheetViews>
    <sheetView showGridLines="0" tabSelected="1" workbookViewId="0">
      <selection sqref="A1:B1"/>
    </sheetView>
  </sheetViews>
  <sheetFormatPr defaultColWidth="9.140625" defaultRowHeight="15.75" x14ac:dyDescent="0.25"/>
  <cols>
    <col min="1" max="1" width="70.140625" style="195" customWidth="1"/>
    <col min="2" max="2" width="21.140625" style="195" customWidth="1"/>
    <col min="3" max="3" width="1.85546875" style="195" hidden="1" customWidth="1"/>
    <col min="4" max="4" width="18.140625" style="195" customWidth="1"/>
    <col min="5" max="16384" width="9.140625" style="195"/>
  </cols>
  <sheetData>
    <row r="1" spans="1:7" ht="27" customHeight="1" thickBot="1" x14ac:dyDescent="0.3">
      <c r="A1" s="1087" t="s">
        <v>234</v>
      </c>
      <c r="B1" s="1087"/>
    </row>
    <row r="2" spans="1:7" ht="16.5" thickTop="1" x14ac:dyDescent="0.25">
      <c r="A2" s="838" t="s">
        <v>235</v>
      </c>
      <c r="B2" s="181">
        <f>'BILLING RATE CALC'!F23</f>
        <v>262897552.12642467</v>
      </c>
    </row>
    <row r="3" spans="1:7" x14ac:dyDescent="0.25">
      <c r="A3" s="183" t="s">
        <v>507</v>
      </c>
      <c r="B3" s="184">
        <f>B2/365</f>
        <v>720267.2660997936</v>
      </c>
    </row>
    <row r="4" spans="1:7" x14ac:dyDescent="0.25">
      <c r="A4" s="189" t="s">
        <v>686</v>
      </c>
      <c r="B4" s="186">
        <f>'Inmate Avg Daily Population'!N18</f>
        <v>4814</v>
      </c>
    </row>
    <row r="5" spans="1:7" x14ac:dyDescent="0.25">
      <c r="A5" s="183" t="s">
        <v>687</v>
      </c>
      <c r="B5" s="186">
        <f>B4*365</f>
        <v>1757110</v>
      </c>
    </row>
    <row r="6" spans="1:7" s="239" customFormat="1" ht="16.5" thickBot="1" x14ac:dyDescent="0.3">
      <c r="A6" s="241" t="s">
        <v>236</v>
      </c>
      <c r="B6" s="242">
        <f>'BILLING RATE CALC'!G23</f>
        <v>149.6192908391761</v>
      </c>
      <c r="D6" s="195"/>
    </row>
    <row r="7" spans="1:7" x14ac:dyDescent="0.25">
      <c r="A7" s="187"/>
      <c r="B7" s="188"/>
    </row>
    <row r="8" spans="1:7" x14ac:dyDescent="0.25">
      <c r="A8" s="189" t="s">
        <v>0</v>
      </c>
      <c r="B8" s="190" t="s">
        <v>0</v>
      </c>
    </row>
    <row r="9" spans="1:7" x14ac:dyDescent="0.25">
      <c r="A9" s="183" t="s">
        <v>237</v>
      </c>
      <c r="B9" s="191">
        <f>'COST ALLOCATION'!J34</f>
        <v>24735206.282272346</v>
      </c>
    </row>
    <row r="10" spans="1:7" x14ac:dyDescent="0.25">
      <c r="A10" s="183" t="s">
        <v>507</v>
      </c>
      <c r="B10" s="192">
        <f>B9/365</f>
        <v>67767.68844458177</v>
      </c>
    </row>
    <row r="11" spans="1:7" x14ac:dyDescent="0.25">
      <c r="A11" s="189" t="s">
        <v>688</v>
      </c>
      <c r="B11" s="186">
        <f>'Inmate Avg Daily Population'!N20+'Inmate Avg Daily Population'!N21</f>
        <v>643.9</v>
      </c>
    </row>
    <row r="12" spans="1:7" x14ac:dyDescent="0.25">
      <c r="A12" s="183" t="s">
        <v>687</v>
      </c>
      <c r="B12" s="186">
        <f>B11*365</f>
        <v>235023.5</v>
      </c>
    </row>
    <row r="13" spans="1:7" s="239" customFormat="1" ht="16.5" thickBot="1" x14ac:dyDescent="0.3">
      <c r="A13" s="241" t="s">
        <v>612</v>
      </c>
      <c r="B13" s="242">
        <f>B10/B11</f>
        <v>105.24567237860191</v>
      </c>
      <c r="D13" s="195"/>
    </row>
    <row r="14" spans="1:7" x14ac:dyDescent="0.25">
      <c r="A14" s="193"/>
      <c r="B14" s="194"/>
    </row>
    <row r="15" spans="1:7" x14ac:dyDescent="0.25">
      <c r="A15" s="189" t="s">
        <v>0</v>
      </c>
      <c r="B15" s="190" t="s">
        <v>0</v>
      </c>
    </row>
    <row r="16" spans="1:7" x14ac:dyDescent="0.25">
      <c r="A16" s="183" t="s">
        <v>238</v>
      </c>
      <c r="B16" s="191">
        <f>'COST ALLOCATION'!J31+'COST ALLOCATION'!J30</f>
        <v>18347154.165245656</v>
      </c>
      <c r="G16" s="196"/>
    </row>
    <row r="17" spans="1:7" x14ac:dyDescent="0.25">
      <c r="A17" s="183" t="s">
        <v>507</v>
      </c>
      <c r="B17" s="197">
        <f>B16/365</f>
        <v>50266.17579519358</v>
      </c>
      <c r="G17" s="198"/>
    </row>
    <row r="18" spans="1:7" x14ac:dyDescent="0.25">
      <c r="A18" s="183" t="s">
        <v>689</v>
      </c>
      <c r="B18" s="839">
        <f>'Monthly PO Workload Stats'!O280</f>
        <v>5359.6666666666661</v>
      </c>
      <c r="C18" s="199" t="s">
        <v>169</v>
      </c>
      <c r="F18" s="199"/>
      <c r="G18" s="200"/>
    </row>
    <row r="19" spans="1:7" x14ac:dyDescent="0.25">
      <c r="A19" s="183" t="s">
        <v>687</v>
      </c>
      <c r="B19" s="186">
        <f>B18*365</f>
        <v>1956278.333333333</v>
      </c>
    </row>
    <row r="20" spans="1:7" s="239" customFormat="1" ht="16.5" thickBot="1" x14ac:dyDescent="0.3">
      <c r="A20" s="241" t="s">
        <v>264</v>
      </c>
      <c r="B20" s="242">
        <f>B17/B18</f>
        <v>9.3786011185758298</v>
      </c>
    </row>
    <row r="21" spans="1:7" x14ac:dyDescent="0.25">
      <c r="A21" s="201"/>
      <c r="B21" s="194"/>
    </row>
    <row r="22" spans="1:7" x14ac:dyDescent="0.25">
      <c r="A22" s="182"/>
      <c r="B22" s="202"/>
    </row>
    <row r="23" spans="1:7" x14ac:dyDescent="0.25">
      <c r="A23" s="183" t="s">
        <v>239</v>
      </c>
      <c r="B23" s="191">
        <f>'COST ALLOCATION'!J29</f>
        <v>7227523.2235561069</v>
      </c>
    </row>
    <row r="24" spans="1:7" x14ac:dyDescent="0.25">
      <c r="A24" s="183" t="s">
        <v>507</v>
      </c>
      <c r="B24" s="192">
        <f>B23/365</f>
        <v>19801.433489194813</v>
      </c>
    </row>
    <row r="25" spans="1:7" x14ac:dyDescent="0.25">
      <c r="A25" s="183" t="s">
        <v>690</v>
      </c>
      <c r="B25" s="840">
        <f>'Avg Daily Community Jails'!H125</f>
        <v>77.095342465753419</v>
      </c>
      <c r="C25" s="199" t="s">
        <v>169</v>
      </c>
    </row>
    <row r="26" spans="1:7" x14ac:dyDescent="0.25">
      <c r="A26" s="183" t="s">
        <v>687</v>
      </c>
      <c r="B26" s="186">
        <f>B25*365</f>
        <v>28139.8</v>
      </c>
    </row>
    <row r="27" spans="1:7" s="239" customFormat="1" ht="16.5" thickBot="1" x14ac:dyDescent="0.3">
      <c r="A27" s="241" t="s">
        <v>84</v>
      </c>
      <c r="B27" s="242">
        <f>B24/B25</f>
        <v>256.84344677489207</v>
      </c>
    </row>
    <row r="28" spans="1:7" x14ac:dyDescent="0.25">
      <c r="A28" s="201"/>
      <c r="B28" s="194"/>
    </row>
    <row r="29" spans="1:7" x14ac:dyDescent="0.25">
      <c r="A29" s="182"/>
      <c r="B29" s="202"/>
    </row>
    <row r="30" spans="1:7" x14ac:dyDescent="0.25">
      <c r="A30" s="183" t="s">
        <v>362</v>
      </c>
      <c r="B30" s="191">
        <f>'COST ALLOCATION'!J33</f>
        <v>3383142.3441927736</v>
      </c>
    </row>
    <row r="31" spans="1:7" x14ac:dyDescent="0.25">
      <c r="A31" s="183" t="s">
        <v>507</v>
      </c>
      <c r="B31" s="191">
        <f>B30/365</f>
        <v>9268.8831347747218</v>
      </c>
    </row>
    <row r="32" spans="1:7" x14ac:dyDescent="0.25">
      <c r="A32" s="183" t="s">
        <v>691</v>
      </c>
      <c r="B32" s="840">
        <f>'Inmate Avg Daily Population'!N23</f>
        <v>419.08333333333331</v>
      </c>
      <c r="C32" s="199" t="s">
        <v>169</v>
      </c>
    </row>
    <row r="33" spans="1:2" x14ac:dyDescent="0.25">
      <c r="A33" s="183" t="s">
        <v>687</v>
      </c>
      <c r="B33" s="186">
        <f>B32*365</f>
        <v>152965.41666666666</v>
      </c>
    </row>
    <row r="34" spans="1:2" s="239" customFormat="1" ht="16.5" thickBot="1" x14ac:dyDescent="0.3">
      <c r="A34" s="241" t="s">
        <v>84</v>
      </c>
      <c r="B34" s="242">
        <f>B31/B32</f>
        <v>22.117040687471995</v>
      </c>
    </row>
    <row r="35" spans="1:2" x14ac:dyDescent="0.25">
      <c r="A35" s="201"/>
      <c r="B35" s="194"/>
    </row>
    <row r="36" spans="1:2" x14ac:dyDescent="0.25">
      <c r="A36" s="182"/>
      <c r="B36" s="202"/>
    </row>
    <row r="37" spans="1:2" x14ac:dyDescent="0.25">
      <c r="A37" s="183" t="s">
        <v>664</v>
      </c>
      <c r="B37" s="191">
        <f>'COST ALLOCATION'!J32</f>
        <v>305866.31815023726</v>
      </c>
    </row>
    <row r="38" spans="1:2" x14ac:dyDescent="0.25">
      <c r="A38" s="183" t="s">
        <v>507</v>
      </c>
      <c r="B38" s="192">
        <f>B37/365</f>
        <v>837.9899127403761</v>
      </c>
    </row>
    <row r="39" spans="1:2" x14ac:dyDescent="0.25">
      <c r="A39" s="183" t="s">
        <v>692</v>
      </c>
      <c r="B39" s="840">
        <f>'Inmate Avg Daily Population'!N24+'Inmate Avg Daily Population'!N25</f>
        <v>10.416666666666666</v>
      </c>
    </row>
    <row r="40" spans="1:2" x14ac:dyDescent="0.25">
      <c r="A40" s="183" t="s">
        <v>687</v>
      </c>
      <c r="B40" s="186">
        <f>B39*365</f>
        <v>3802.083333333333</v>
      </c>
    </row>
    <row r="41" spans="1:2" s="239" customFormat="1" ht="16.5" thickBot="1" x14ac:dyDescent="0.3">
      <c r="A41" s="241" t="s">
        <v>86</v>
      </c>
      <c r="B41" s="242">
        <f>B38/B39</f>
        <v>80.447031623076114</v>
      </c>
    </row>
    <row r="42" spans="1:2" x14ac:dyDescent="0.25">
      <c r="A42" s="203" t="s">
        <v>0</v>
      </c>
      <c r="B42" s="204" t="s">
        <v>0</v>
      </c>
    </row>
    <row r="43" spans="1:2" x14ac:dyDescent="0.25">
      <c r="A43" s="345"/>
      <c r="B43" s="205" t="s">
        <v>85</v>
      </c>
    </row>
    <row r="44" spans="1:2" x14ac:dyDescent="0.25">
      <c r="A44" s="240" t="s">
        <v>977</v>
      </c>
      <c r="B44" s="200"/>
    </row>
    <row r="45" spans="1:2" x14ac:dyDescent="0.25">
      <c r="A45" s="239"/>
      <c r="B45" s="200"/>
    </row>
    <row r="46" spans="1:2" x14ac:dyDescent="0.25">
      <c r="A46" s="239"/>
      <c r="B46" s="200"/>
    </row>
    <row r="47" spans="1:2" x14ac:dyDescent="0.25">
      <c r="A47" s="239"/>
      <c r="B47" s="200"/>
    </row>
  </sheetData>
  <mergeCells count="1">
    <mergeCell ref="A1:B1"/>
  </mergeCells>
  <phoneticPr fontId="19" type="noConversion"/>
  <printOptions horizontalCentered="1" verticalCentered="1"/>
  <pageMargins left="0.25" right="0.25" top="1.25" bottom="0.75" header="0.3" footer="0.3"/>
  <pageSetup orientation="portrait" r:id="rId1"/>
  <headerFooter alignWithMargins="0">
    <oddHeader>&amp;C&amp;"Arial,Bold"&amp;12DEPARTMENT OF CORRECTIONS
 2017 Cost of Care
(FY2017/FY2018 Daily Cost of Care Rate)</oddHeader>
    <oddFooter>&amp;L&amp;8&amp;F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42"/>
  <sheetViews>
    <sheetView showGridLines="0" topLeftCell="A31" workbookViewId="0">
      <selection activeCell="B37" sqref="B37"/>
    </sheetView>
  </sheetViews>
  <sheetFormatPr defaultColWidth="9.140625" defaultRowHeight="15.75" x14ac:dyDescent="0.25"/>
  <cols>
    <col min="1" max="1" width="17" style="195" customWidth="1"/>
    <col min="2" max="2" width="6.5703125" style="195" customWidth="1"/>
    <col min="3" max="3" width="5.85546875" style="195" bestFit="1" customWidth="1"/>
    <col min="4" max="4" width="16.7109375" style="195" customWidth="1"/>
    <col min="5" max="5" width="5.85546875" style="195" customWidth="1"/>
    <col min="6" max="6" width="14.140625" style="195" customWidth="1"/>
    <col min="7" max="7" width="9.140625" style="195"/>
    <col min="8" max="8" width="27.5703125" style="195" customWidth="1"/>
    <col min="9" max="9" width="18.140625" style="195" bestFit="1" customWidth="1"/>
    <col min="10" max="16384" width="9.140625" style="195"/>
  </cols>
  <sheetData>
    <row r="1" spans="1:9" ht="28.5" customHeight="1" thickBot="1" x14ac:dyDescent="0.3">
      <c r="A1" s="1088" t="s">
        <v>187</v>
      </c>
      <c r="B1" s="1088"/>
      <c r="C1" s="1088"/>
      <c r="D1" s="1088"/>
      <c r="E1" s="1088"/>
      <c r="F1" s="1088"/>
      <c r="G1" s="1088"/>
      <c r="H1" s="1088"/>
    </row>
    <row r="2" spans="1:9" s="248" customFormat="1" ht="38.25" customHeight="1" thickBot="1" x14ac:dyDescent="0.25">
      <c r="A2" s="1093" t="s">
        <v>171</v>
      </c>
      <c r="B2" s="1094"/>
      <c r="C2" s="1094"/>
      <c r="D2" s="1094"/>
      <c r="E2" s="1094"/>
      <c r="F2" s="1094"/>
      <c r="G2" s="1094"/>
      <c r="H2" s="1095"/>
    </row>
    <row r="3" spans="1:9" ht="27.75" customHeight="1" x14ac:dyDescent="0.25">
      <c r="A3" s="214" t="s">
        <v>172</v>
      </c>
      <c r="B3" s="215" t="s">
        <v>175</v>
      </c>
      <c r="C3" s="203"/>
      <c r="D3" s="203"/>
      <c r="E3" s="203" t="s">
        <v>174</v>
      </c>
      <c r="F3" s="203"/>
      <c r="H3" s="217" t="s">
        <v>176</v>
      </c>
    </row>
    <row r="4" spans="1:9" ht="27.75" customHeight="1" thickBot="1" x14ac:dyDescent="0.3">
      <c r="A4" s="218" t="s">
        <v>173</v>
      </c>
      <c r="B4" s="219" t="s">
        <v>369</v>
      </c>
      <c r="C4" s="220"/>
      <c r="D4" s="220"/>
      <c r="E4" s="220"/>
      <c r="F4" s="220"/>
      <c r="G4" s="220"/>
      <c r="H4" s="243"/>
    </row>
    <row r="5" spans="1:9" ht="42.6" customHeight="1" thickBot="1" x14ac:dyDescent="0.3">
      <c r="A5" s="1093" t="s">
        <v>177</v>
      </c>
      <c r="B5" s="1094"/>
      <c r="C5" s="1094"/>
      <c r="D5" s="1094"/>
      <c r="E5" s="1094"/>
      <c r="F5" s="1094"/>
      <c r="G5" s="1094"/>
      <c r="H5" s="1095"/>
    </row>
    <row r="6" spans="1:9" ht="24" customHeight="1" x14ac:dyDescent="0.25">
      <c r="A6" s="221" t="s">
        <v>178</v>
      </c>
      <c r="H6" s="222"/>
    </row>
    <row r="7" spans="1:9" ht="24" customHeight="1" x14ac:dyDescent="0.25">
      <c r="A7" s="223" t="s">
        <v>221</v>
      </c>
      <c r="C7" s="224" t="s">
        <v>179</v>
      </c>
      <c r="D7" s="225">
        <v>42552</v>
      </c>
      <c r="E7" s="224" t="s">
        <v>180</v>
      </c>
      <c r="F7" s="225">
        <v>42916</v>
      </c>
      <c r="H7" s="222"/>
    </row>
    <row r="8" spans="1:9" x14ac:dyDescent="0.25">
      <c r="A8" s="223"/>
      <c r="D8" s="244" t="s">
        <v>181</v>
      </c>
      <c r="F8" s="244" t="s">
        <v>181</v>
      </c>
      <c r="H8" s="226" t="s">
        <v>4</v>
      </c>
    </row>
    <row r="9" spans="1:9" ht="28.5" customHeight="1" x14ac:dyDescent="0.25">
      <c r="A9" s="223" t="s">
        <v>240</v>
      </c>
      <c r="H9" s="750">
        <f>'Sched-B1'!B17</f>
        <v>90377300.550000012</v>
      </c>
    </row>
    <row r="10" spans="1:9" ht="28.5" customHeight="1" x14ac:dyDescent="0.25">
      <c r="A10" s="223" t="s">
        <v>241</v>
      </c>
      <c r="H10" s="750">
        <f>'Sched-B1'!C17+'Sched-B1'!D17</f>
        <v>54163461.469999991</v>
      </c>
      <c r="I10" s="245"/>
    </row>
    <row r="11" spans="1:9" ht="28.5" customHeight="1" x14ac:dyDescent="0.25">
      <c r="A11" s="223" t="s">
        <v>182</v>
      </c>
      <c r="H11" s="750">
        <f>'Sched-C'!D24</f>
        <v>22259630.369999997</v>
      </c>
    </row>
    <row r="12" spans="1:9" ht="28.5" customHeight="1" x14ac:dyDescent="0.25">
      <c r="A12" s="223" t="s">
        <v>244</v>
      </c>
      <c r="H12" s="751">
        <f>'Sched-D1'!F658+'Sched-D2'!F114</f>
        <v>78936315.629999995</v>
      </c>
    </row>
    <row r="13" spans="1:9" ht="28.5" customHeight="1" x14ac:dyDescent="0.25">
      <c r="A13" s="223" t="s">
        <v>183</v>
      </c>
      <c r="H13" s="751">
        <f>'Sched-E'!E4</f>
        <v>9450108.2865828816</v>
      </c>
    </row>
    <row r="14" spans="1:9" ht="24.75" customHeight="1" x14ac:dyDescent="0.25">
      <c r="A14" s="223" t="s">
        <v>184</v>
      </c>
      <c r="H14" s="750">
        <f>'Sched-F-G'!C18</f>
        <v>612060.36984179984</v>
      </c>
    </row>
    <row r="15" spans="1:9" ht="24" customHeight="1" x14ac:dyDescent="0.25">
      <c r="A15" s="223" t="s">
        <v>185</v>
      </c>
      <c r="H15" s="751">
        <f>'Sched-F-G'!D38</f>
        <v>7493031.7200000007</v>
      </c>
    </row>
    <row r="16" spans="1:9" ht="28.5" customHeight="1" x14ac:dyDescent="0.25">
      <c r="A16" s="223" t="s">
        <v>186</v>
      </c>
      <c r="H16" s="751">
        <f>SUM(H9:H15)</f>
        <v>263291908.39642471</v>
      </c>
    </row>
    <row r="17" spans="1:9" ht="28.5" customHeight="1" x14ac:dyDescent="0.25">
      <c r="A17" s="752" t="s">
        <v>611</v>
      </c>
      <c r="H17" s="228"/>
      <c r="I17" s="245"/>
    </row>
    <row r="18" spans="1:9" ht="16.5" thickBot="1" x14ac:dyDescent="0.3">
      <c r="A18" s="218"/>
      <c r="B18" s="220"/>
      <c r="C18" s="220"/>
      <c r="D18" s="220"/>
      <c r="E18" s="220"/>
      <c r="F18" s="220"/>
      <c r="G18" s="220"/>
      <c r="H18" s="229"/>
    </row>
    <row r="19" spans="1:9" ht="25.5" customHeight="1" thickBot="1" x14ac:dyDescent="0.3">
      <c r="A19" s="199" t="s">
        <v>194</v>
      </c>
    </row>
    <row r="20" spans="1:9" s="248" customFormat="1" ht="30.75" customHeight="1" thickBot="1" x14ac:dyDescent="0.25">
      <c r="A20" s="1093" t="s">
        <v>188</v>
      </c>
      <c r="B20" s="1094"/>
      <c r="C20" s="1094"/>
      <c r="D20" s="1094"/>
      <c r="E20" s="1094"/>
      <c r="F20" s="1094"/>
      <c r="G20" s="1094"/>
      <c r="H20" s="1095"/>
    </row>
    <row r="21" spans="1:9" ht="27.75" customHeight="1" x14ac:dyDescent="0.25">
      <c r="A21" s="199" t="s">
        <v>189</v>
      </c>
      <c r="E21" s="224" t="s">
        <v>192</v>
      </c>
      <c r="F21" s="225">
        <v>42552</v>
      </c>
      <c r="G21" s="224" t="s">
        <v>193</v>
      </c>
      <c r="H21" s="225">
        <v>42916</v>
      </c>
    </row>
    <row r="22" spans="1:9" x14ac:dyDescent="0.25">
      <c r="A22" s="239" t="s">
        <v>190</v>
      </c>
      <c r="F22" s="244" t="s">
        <v>181</v>
      </c>
      <c r="H22" s="244" t="s">
        <v>181</v>
      </c>
    </row>
    <row r="23" spans="1:9" ht="24" customHeight="1" x14ac:dyDescent="0.25">
      <c r="A23" s="199" t="s">
        <v>191</v>
      </c>
      <c r="D23" s="233" t="s">
        <v>195</v>
      </c>
      <c r="E23" s="233"/>
      <c r="F23" s="233" t="s">
        <v>196</v>
      </c>
      <c r="G23" s="233"/>
      <c r="H23" s="233" t="s">
        <v>48</v>
      </c>
    </row>
    <row r="24" spans="1:9" ht="24.75" customHeight="1" x14ac:dyDescent="0.25">
      <c r="D24" s="249" t="s">
        <v>115</v>
      </c>
      <c r="E24" s="233"/>
      <c r="F24" s="249" t="s">
        <v>115</v>
      </c>
      <c r="G24" s="233"/>
      <c r="H24" s="250">
        <v>5274</v>
      </c>
    </row>
    <row r="25" spans="1:9" ht="30" customHeight="1" x14ac:dyDescent="0.25">
      <c r="A25" s="199" t="s">
        <v>197</v>
      </c>
      <c r="B25" s="232"/>
      <c r="C25" s="232"/>
      <c r="D25" s="233" t="s">
        <v>195</v>
      </c>
      <c r="E25" s="233"/>
      <c r="F25" s="233" t="s">
        <v>196</v>
      </c>
      <c r="G25" s="233"/>
      <c r="H25" s="233" t="s">
        <v>48</v>
      </c>
    </row>
    <row r="26" spans="1:9" ht="24.75" customHeight="1" x14ac:dyDescent="0.25">
      <c r="A26" s="232" t="s">
        <v>198</v>
      </c>
      <c r="C26" s="224" t="s">
        <v>199</v>
      </c>
      <c r="D26" s="249" t="s">
        <v>115</v>
      </c>
      <c r="E26" s="233"/>
      <c r="F26" s="249" t="s">
        <v>115</v>
      </c>
      <c r="G26" s="233"/>
      <c r="H26" s="249"/>
    </row>
    <row r="27" spans="1:9" ht="24.75" customHeight="1" x14ac:dyDescent="0.25">
      <c r="C27" s="224" t="s">
        <v>200</v>
      </c>
      <c r="D27" s="249" t="s">
        <v>115</v>
      </c>
      <c r="E27" s="233"/>
      <c r="F27" s="249" t="s">
        <v>115</v>
      </c>
      <c r="G27" s="233"/>
      <c r="H27" s="249"/>
    </row>
    <row r="28" spans="1:9" ht="24.75" customHeight="1" x14ac:dyDescent="0.25">
      <c r="C28" s="224" t="s">
        <v>201</v>
      </c>
      <c r="D28" s="249" t="s">
        <v>115</v>
      </c>
      <c r="E28" s="233"/>
      <c r="F28" s="249" t="s">
        <v>115</v>
      </c>
      <c r="G28" s="233"/>
      <c r="H28" s="249"/>
    </row>
    <row r="29" spans="1:9" ht="24.75" customHeight="1" thickBot="1" x14ac:dyDescent="0.3">
      <c r="A29" s="246"/>
      <c r="C29" s="224" t="s">
        <v>27</v>
      </c>
      <c r="D29" s="251">
        <f>H29-F29</f>
        <v>4267</v>
      </c>
      <c r="E29" s="233"/>
      <c r="F29" s="252">
        <f>'IADP-By Gender'!L23</f>
        <v>547</v>
      </c>
      <c r="G29" s="233"/>
      <c r="H29" s="251">
        <f>'Inmate Avg Daily Population'!N18</f>
        <v>4814</v>
      </c>
    </row>
    <row r="30" spans="1:9" ht="31.5" customHeight="1" thickBot="1" x14ac:dyDescent="0.3">
      <c r="A30" s="1089" t="s">
        <v>202</v>
      </c>
      <c r="B30" s="1090"/>
      <c r="C30" s="1090"/>
      <c r="D30" s="1090"/>
      <c r="E30" s="1090"/>
      <c r="F30" s="1090"/>
      <c r="G30" s="1090"/>
      <c r="H30" s="1091"/>
    </row>
    <row r="31" spans="1:9" ht="24.75" customHeight="1" x14ac:dyDescent="0.25">
      <c r="A31" s="195" t="s">
        <v>203</v>
      </c>
      <c r="F31" s="234">
        <f>'BILLING RATE CALC'!G23</f>
        <v>149.6192908391761</v>
      </c>
    </row>
    <row r="32" spans="1:9" ht="24.75" customHeight="1" thickBot="1" x14ac:dyDescent="0.3">
      <c r="A32" s="195" t="s">
        <v>204</v>
      </c>
      <c r="F32" s="235">
        <f>'BILLING RATE CALC'!G23</f>
        <v>149.6192908391761</v>
      </c>
    </row>
    <row r="33" spans="1:8" ht="26.25" customHeight="1" thickBot="1" x14ac:dyDescent="0.3">
      <c r="A33" s="1089" t="s">
        <v>222</v>
      </c>
      <c r="B33" s="1090"/>
      <c r="C33" s="1090"/>
      <c r="D33" s="1090"/>
      <c r="E33" s="1090"/>
      <c r="F33" s="1090"/>
      <c r="G33" s="1090"/>
      <c r="H33" s="1091"/>
    </row>
    <row r="34" spans="1:8" x14ac:dyDescent="0.25">
      <c r="A34" s="12" t="s">
        <v>205</v>
      </c>
    </row>
    <row r="35" spans="1:8" x14ac:dyDescent="0.25">
      <c r="A35" s="195" t="s">
        <v>206</v>
      </c>
      <c r="B35" s="199" t="s">
        <v>981</v>
      </c>
      <c r="E35" s="195" t="s">
        <v>209</v>
      </c>
      <c r="G35" s="199" t="s">
        <v>213</v>
      </c>
    </row>
    <row r="36" spans="1:8" x14ac:dyDescent="0.25">
      <c r="A36" s="195" t="s">
        <v>220</v>
      </c>
      <c r="B36" s="199" t="s">
        <v>982</v>
      </c>
      <c r="E36" s="195" t="s">
        <v>210</v>
      </c>
      <c r="G36" s="199" t="s">
        <v>214</v>
      </c>
    </row>
    <row r="37" spans="1:8" x14ac:dyDescent="0.25">
      <c r="A37" s="195" t="s">
        <v>207</v>
      </c>
      <c r="B37" s="199" t="s">
        <v>614</v>
      </c>
      <c r="E37" s="195" t="s">
        <v>211</v>
      </c>
      <c r="F37" s="199" t="s">
        <v>215</v>
      </c>
      <c r="G37" s="195" t="s">
        <v>212</v>
      </c>
      <c r="H37" s="199" t="s">
        <v>216</v>
      </c>
    </row>
    <row r="38" spans="1:8" ht="16.5" thickBot="1" x14ac:dyDescent="0.3">
      <c r="A38" s="195" t="s">
        <v>208</v>
      </c>
      <c r="B38" s="199" t="s">
        <v>368</v>
      </c>
    </row>
    <row r="39" spans="1:8" ht="16.5" thickBot="1" x14ac:dyDescent="0.3">
      <c r="A39" s="1089" t="s">
        <v>217</v>
      </c>
      <c r="B39" s="1090"/>
      <c r="C39" s="1090"/>
      <c r="D39" s="1090"/>
      <c r="E39" s="1090"/>
      <c r="F39" s="1090"/>
      <c r="G39" s="1090"/>
      <c r="H39" s="1091"/>
    </row>
    <row r="40" spans="1:8" ht="72.75" customHeight="1" x14ac:dyDescent="0.25">
      <c r="A40" s="1092" t="s">
        <v>223</v>
      </c>
      <c r="B40" s="1092"/>
      <c r="C40" s="1092"/>
      <c r="D40" s="1092"/>
      <c r="E40" s="1092"/>
      <c r="F40" s="1092"/>
      <c r="G40" s="1092"/>
      <c r="H40" s="1092"/>
    </row>
    <row r="41" spans="1:8" ht="27" customHeight="1" x14ac:dyDescent="0.25">
      <c r="A41" s="224" t="s">
        <v>218</v>
      </c>
      <c r="B41" s="247"/>
      <c r="C41" s="247"/>
      <c r="D41" s="247"/>
      <c r="F41" s="224" t="s">
        <v>219</v>
      </c>
      <c r="G41" s="247"/>
      <c r="H41" s="247"/>
    </row>
    <row r="42" spans="1:8" ht="27" customHeight="1" x14ac:dyDescent="0.25">
      <c r="A42" s="224" t="s">
        <v>206</v>
      </c>
      <c r="B42" s="237" t="s">
        <v>981</v>
      </c>
      <c r="C42" s="236"/>
      <c r="D42" s="236"/>
      <c r="F42" s="224" t="s">
        <v>220</v>
      </c>
      <c r="G42" s="237" t="s">
        <v>980</v>
      </c>
      <c r="H42" s="237"/>
    </row>
  </sheetData>
  <mergeCells count="8">
    <mergeCell ref="A1:H1"/>
    <mergeCell ref="A39:H39"/>
    <mergeCell ref="A33:H33"/>
    <mergeCell ref="A40:H40"/>
    <mergeCell ref="A2:H2"/>
    <mergeCell ref="A5:H5"/>
    <mergeCell ref="A20:H20"/>
    <mergeCell ref="A30:H30"/>
  </mergeCells>
  <phoneticPr fontId="19" type="noConversion"/>
  <printOptions horizontalCentered="1"/>
  <pageMargins left="0.25" right="0.25" top="1.25" bottom="0.25" header="0.3" footer="0.3"/>
  <pageSetup orientation="portrait" r:id="rId1"/>
  <headerFooter alignWithMargins="0">
    <oddHeader>&amp;C&amp;"Arial,Bold"&amp;12DEPARTMENT OF CORRECTIONS
 COST OF CARE Year 2017
(Based on Fiscal Year 2016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B3" sqref="B3"/>
    </sheetView>
  </sheetViews>
  <sheetFormatPr defaultColWidth="9.140625" defaultRowHeight="12.75" x14ac:dyDescent="0.2"/>
  <cols>
    <col min="1" max="1" width="21.28515625" style="180" bestFit="1" customWidth="1"/>
    <col min="2" max="3" width="18.85546875" style="180" bestFit="1" customWidth="1"/>
    <col min="4" max="4" width="17.5703125" style="180" bestFit="1" customWidth="1"/>
    <col min="5" max="5" width="19.5703125" style="180" customWidth="1"/>
    <col min="6" max="6" width="13.140625" style="180" customWidth="1"/>
    <col min="7" max="7" width="12.5703125" style="180" customWidth="1"/>
    <col min="8" max="16384" width="9.140625" style="180"/>
  </cols>
  <sheetData>
    <row r="1" spans="1:7" ht="15.75" x14ac:dyDescent="0.25">
      <c r="A1" s="1096" t="s">
        <v>117</v>
      </c>
      <c r="B1" s="1096"/>
      <c r="C1" s="1096"/>
      <c r="D1" s="1096"/>
      <c r="E1" s="1096"/>
      <c r="F1" s="1096"/>
      <c r="G1" s="1096"/>
    </row>
    <row r="2" spans="1:7" ht="35.25" customHeight="1" thickBot="1" x14ac:dyDescent="0.25">
      <c r="A2" s="1097" t="s">
        <v>116</v>
      </c>
      <c r="B2" s="1097"/>
      <c r="C2" s="1097"/>
      <c r="D2" s="1097"/>
      <c r="E2" s="1097"/>
      <c r="F2" s="1097"/>
      <c r="G2" s="1097"/>
    </row>
    <row r="3" spans="1:7" ht="33" thickTop="1" thickBot="1" x14ac:dyDescent="0.25">
      <c r="A3" s="254" t="s">
        <v>23</v>
      </c>
      <c r="B3" s="255" t="s">
        <v>118</v>
      </c>
      <c r="C3" s="254" t="s">
        <v>24</v>
      </c>
      <c r="D3" s="255" t="s">
        <v>119</v>
      </c>
      <c r="E3" s="778" t="s">
        <v>120</v>
      </c>
      <c r="F3" s="255" t="s">
        <v>28</v>
      </c>
      <c r="G3" s="255" t="s">
        <v>361</v>
      </c>
    </row>
    <row r="4" spans="1:7" ht="23.25" customHeight="1" thickTop="1" x14ac:dyDescent="0.25">
      <c r="A4" s="183" t="s">
        <v>317</v>
      </c>
      <c r="B4" s="192">
        <v>16019908.880000001</v>
      </c>
      <c r="C4" s="192">
        <v>9544857.3699999992</v>
      </c>
      <c r="D4" s="192">
        <v>11298.94</v>
      </c>
      <c r="E4" s="779">
        <f>SUM(B4:D4)</f>
        <v>25576065.190000001</v>
      </c>
      <c r="F4" s="262">
        <v>240</v>
      </c>
      <c r="G4" s="256">
        <v>829</v>
      </c>
    </row>
    <row r="5" spans="1:7" ht="23.25" customHeight="1" x14ac:dyDescent="0.25">
      <c r="A5" s="183" t="s">
        <v>79</v>
      </c>
      <c r="B5" s="192">
        <v>3243637.45</v>
      </c>
      <c r="C5" s="192">
        <v>1762207.45</v>
      </c>
      <c r="D5" s="192">
        <v>1739.87</v>
      </c>
      <c r="E5" s="779">
        <f>SUM(B5:D5)</f>
        <v>5007584.7700000005</v>
      </c>
      <c r="F5" s="262">
        <v>39</v>
      </c>
      <c r="G5" s="256">
        <v>126</v>
      </c>
    </row>
    <row r="6" spans="1:7" ht="23.25" customHeight="1" x14ac:dyDescent="0.25">
      <c r="A6" s="183" t="s">
        <v>517</v>
      </c>
      <c r="B6" s="192">
        <v>6369396.8899999997</v>
      </c>
      <c r="C6" s="192">
        <v>3820566.82</v>
      </c>
      <c r="D6" s="192">
        <v>-918.16</v>
      </c>
      <c r="E6" s="779">
        <f t="shared" ref="E6:E16" si="0">SUM(B6:D6)</f>
        <v>10189045.549999999</v>
      </c>
      <c r="F6" s="262">
        <v>96</v>
      </c>
      <c r="G6" s="256">
        <v>395</v>
      </c>
    </row>
    <row r="7" spans="1:7" ht="23.25" customHeight="1" x14ac:dyDescent="0.25">
      <c r="A7" s="183" t="s">
        <v>25</v>
      </c>
      <c r="B7" s="192">
        <v>5811800.3600000003</v>
      </c>
      <c r="C7" s="192">
        <v>3445491.51</v>
      </c>
      <c r="D7" s="192">
        <v>1657.25</v>
      </c>
      <c r="E7" s="779">
        <f t="shared" si="0"/>
        <v>9258949.120000001</v>
      </c>
      <c r="F7" s="262">
        <v>89</v>
      </c>
      <c r="G7" s="256">
        <v>248</v>
      </c>
    </row>
    <row r="8" spans="1:7" ht="23.25" customHeight="1" x14ac:dyDescent="0.25">
      <c r="A8" s="183" t="s">
        <v>478</v>
      </c>
      <c r="B8" s="192">
        <v>19058080.48</v>
      </c>
      <c r="C8" s="192">
        <v>12191048.4</v>
      </c>
      <c r="D8" s="192">
        <v>15538</v>
      </c>
      <c r="E8" s="779">
        <f t="shared" si="0"/>
        <v>31264666.880000003</v>
      </c>
      <c r="F8" s="262">
        <v>333</v>
      </c>
      <c r="G8" s="256">
        <v>1408</v>
      </c>
    </row>
    <row r="9" spans="1:7" ht="23.25" customHeight="1" x14ac:dyDescent="0.25">
      <c r="A9" s="183" t="s">
        <v>16</v>
      </c>
      <c r="B9" s="192">
        <v>2539622.9300000002</v>
      </c>
      <c r="C9" s="192">
        <v>1480168.2</v>
      </c>
      <c r="D9" s="192">
        <v>2447.77</v>
      </c>
      <c r="E9" s="779">
        <f t="shared" si="0"/>
        <v>4022238.9</v>
      </c>
      <c r="F9" s="262">
        <v>35</v>
      </c>
      <c r="G9" s="256">
        <v>52</v>
      </c>
    </row>
    <row r="10" spans="1:7" ht="23.25" customHeight="1" x14ac:dyDescent="0.25">
      <c r="A10" s="183" t="s">
        <v>17</v>
      </c>
      <c r="B10" s="192">
        <v>5186177.07</v>
      </c>
      <c r="C10" s="192">
        <v>2989855.55</v>
      </c>
      <c r="D10" s="192">
        <v>4102.03</v>
      </c>
      <c r="E10" s="779">
        <f t="shared" si="0"/>
        <v>8180134.6500000004</v>
      </c>
      <c r="F10" s="262">
        <v>74</v>
      </c>
      <c r="G10" s="256">
        <v>226</v>
      </c>
    </row>
    <row r="11" spans="1:7" ht="23.25" customHeight="1" x14ac:dyDescent="0.25">
      <c r="A11" s="183" t="s">
        <v>142</v>
      </c>
      <c r="B11" s="192">
        <v>2706165.94</v>
      </c>
      <c r="C11" s="192">
        <v>1572170.43</v>
      </c>
      <c r="D11" s="192">
        <v>-333.83</v>
      </c>
      <c r="E11" s="779">
        <f>SUM(B11:D11)</f>
        <v>4278002.54</v>
      </c>
      <c r="F11" s="262">
        <v>37</v>
      </c>
      <c r="G11" s="256">
        <v>98</v>
      </c>
    </row>
    <row r="12" spans="1:7" ht="23.25" customHeight="1" x14ac:dyDescent="0.25">
      <c r="A12" s="183" t="s">
        <v>19</v>
      </c>
      <c r="B12" s="192">
        <v>6250836.9000000004</v>
      </c>
      <c r="C12" s="192">
        <v>3794715.43</v>
      </c>
      <c r="D12" s="192">
        <v>4382.97</v>
      </c>
      <c r="E12" s="779">
        <f t="shared" si="0"/>
        <v>10049935.300000001</v>
      </c>
      <c r="F12" s="262">
        <v>101</v>
      </c>
      <c r="G12" s="256">
        <f>327+176</f>
        <v>503</v>
      </c>
    </row>
    <row r="13" spans="1:7" ht="23.25" customHeight="1" x14ac:dyDescent="0.25">
      <c r="A13" s="183" t="s">
        <v>20</v>
      </c>
      <c r="B13" s="192">
        <v>11434396.83</v>
      </c>
      <c r="C13" s="192">
        <v>6801490.2999999998</v>
      </c>
      <c r="D13" s="192">
        <v>11878.9</v>
      </c>
      <c r="E13" s="779">
        <f t="shared" si="0"/>
        <v>18247766.029999997</v>
      </c>
      <c r="F13" s="262">
        <v>171</v>
      </c>
      <c r="G13" s="256">
        <v>535</v>
      </c>
    </row>
    <row r="14" spans="1:7" ht="23.25" customHeight="1" x14ac:dyDescent="0.25">
      <c r="A14" s="183" t="s">
        <v>26</v>
      </c>
      <c r="B14" s="192">
        <v>7453771.75</v>
      </c>
      <c r="C14" s="192">
        <v>4459627.24</v>
      </c>
      <c r="D14" s="192">
        <v>6379.26</v>
      </c>
      <c r="E14" s="779">
        <f t="shared" si="0"/>
        <v>11919778.25</v>
      </c>
      <c r="F14" s="262">
        <v>115</v>
      </c>
      <c r="G14" s="256">
        <f>320+110</f>
        <v>430</v>
      </c>
    </row>
    <row r="15" spans="1:7" ht="23.25" customHeight="1" x14ac:dyDescent="0.25">
      <c r="A15" s="183" t="s">
        <v>81</v>
      </c>
      <c r="B15" s="192">
        <v>4303505.07</v>
      </c>
      <c r="C15" s="192">
        <v>2240655.2200000002</v>
      </c>
      <c r="D15" s="192">
        <v>2434.5500000000002</v>
      </c>
      <c r="E15" s="779">
        <f t="shared" si="0"/>
        <v>6546594.8400000008</v>
      </c>
      <c r="F15" s="262">
        <v>41</v>
      </c>
      <c r="G15" s="256">
        <v>189</v>
      </c>
    </row>
    <row r="16" spans="1:7" ht="23.25" customHeight="1" thickBot="1" x14ac:dyDescent="0.3">
      <c r="A16" s="183" t="s">
        <v>318</v>
      </c>
      <c r="B16" s="192">
        <v>0</v>
      </c>
      <c r="C16" s="192">
        <v>0</v>
      </c>
      <c r="D16" s="192">
        <v>0</v>
      </c>
      <c r="E16" s="779">
        <f t="shared" si="0"/>
        <v>0</v>
      </c>
      <c r="F16" s="263">
        <v>0</v>
      </c>
      <c r="G16" s="257">
        <v>50</v>
      </c>
    </row>
    <row r="17" spans="1:7" ht="23.25" customHeight="1" thickBot="1" x14ac:dyDescent="0.3">
      <c r="A17" s="258" t="s">
        <v>27</v>
      </c>
      <c r="B17" s="259">
        <f t="shared" ref="B17:G17" si="1">SUM(B4:B16)</f>
        <v>90377300.550000012</v>
      </c>
      <c r="C17" s="259">
        <f t="shared" si="1"/>
        <v>54102853.919999994</v>
      </c>
      <c r="D17" s="259">
        <f t="shared" si="1"/>
        <v>60607.55000000001</v>
      </c>
      <c r="E17" s="780">
        <f>SUM(E4:E16)</f>
        <v>144540762.02000001</v>
      </c>
      <c r="F17" s="781">
        <f>SUM(F4:F16)</f>
        <v>1371</v>
      </c>
      <c r="G17" s="260">
        <f t="shared" si="1"/>
        <v>5089</v>
      </c>
    </row>
    <row r="18" spans="1:7" ht="16.5" thickTop="1" x14ac:dyDescent="0.25">
      <c r="A18" s="261"/>
    </row>
    <row r="19" spans="1:7" x14ac:dyDescent="0.2">
      <c r="A19" s="253" t="s">
        <v>713</v>
      </c>
      <c r="C19" s="227"/>
      <c r="D19" s="227"/>
    </row>
    <row r="20" spans="1:7" ht="15.75" x14ac:dyDescent="0.25">
      <c r="A20" s="199"/>
    </row>
  </sheetData>
  <mergeCells count="2">
    <mergeCell ref="A1:G1"/>
    <mergeCell ref="A2:G2"/>
  </mergeCells>
  <phoneticPr fontId="19" type="noConversion"/>
  <printOptions horizontalCentered="1" verticalCentered="1"/>
  <pageMargins left="0.25" right="0.25" top="0.75" bottom="0.75" header="0.3" footer="0.3"/>
  <pageSetup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274"/>
  <sheetViews>
    <sheetView showGridLines="0" workbookViewId="0">
      <selection activeCell="A4" sqref="A4"/>
    </sheetView>
  </sheetViews>
  <sheetFormatPr defaultColWidth="9.140625" defaultRowHeight="15" x14ac:dyDescent="0.25"/>
  <cols>
    <col min="1" max="1" width="19.85546875" style="206" bestFit="1" customWidth="1"/>
    <col min="2" max="2" width="29.5703125" style="206" customWidth="1"/>
    <col min="3" max="3" width="13.42578125" style="206" customWidth="1"/>
    <col min="4" max="4" width="15.7109375" style="206" customWidth="1"/>
    <col min="5" max="5" width="18.28515625" style="206" customWidth="1"/>
    <col min="6" max="6" width="8.28515625" style="274" customWidth="1"/>
    <col min="7" max="7" width="22.140625" style="206" customWidth="1"/>
    <col min="8" max="8" width="15.28515625" style="206" customWidth="1"/>
    <col min="9" max="16384" width="9.140625" style="206"/>
  </cols>
  <sheetData>
    <row r="1" spans="1:7" s="334" customFormat="1" ht="22.5" customHeight="1" thickBot="1" x14ac:dyDescent="0.25">
      <c r="A1" s="1098" t="s">
        <v>257</v>
      </c>
      <c r="B1" s="1098"/>
      <c r="C1" s="1098"/>
      <c r="D1" s="1098"/>
      <c r="E1" s="1098"/>
      <c r="F1" s="333"/>
    </row>
    <row r="2" spans="1:7" ht="30" customHeight="1" thickTop="1" thickBot="1" x14ac:dyDescent="0.3">
      <c r="A2" s="335" t="s">
        <v>1</v>
      </c>
      <c r="B2" s="336" t="s">
        <v>2</v>
      </c>
      <c r="C2" s="336" t="s">
        <v>3</v>
      </c>
      <c r="D2" s="336" t="s">
        <v>4</v>
      </c>
      <c r="E2" s="335" t="s">
        <v>5</v>
      </c>
      <c r="F2" s="275" t="s">
        <v>714</v>
      </c>
    </row>
    <row r="3" spans="1:7" ht="12.75" customHeight="1" thickTop="1" x14ac:dyDescent="0.25">
      <c r="A3" s="276" t="s">
        <v>317</v>
      </c>
      <c r="B3" s="277" t="s">
        <v>13</v>
      </c>
      <c r="C3" s="278" t="s">
        <v>319</v>
      </c>
      <c r="D3" s="279">
        <v>288.5</v>
      </c>
      <c r="E3" s="280" t="s">
        <v>0</v>
      </c>
      <c r="F3" s="274">
        <v>1027</v>
      </c>
    </row>
    <row r="4" spans="1:7" ht="12.75" customHeight="1" x14ac:dyDescent="0.25">
      <c r="A4" s="185"/>
      <c r="B4" s="281" t="s">
        <v>383</v>
      </c>
      <c r="C4" s="282">
        <v>6.13E-2</v>
      </c>
      <c r="D4" s="283">
        <v>980569.2</v>
      </c>
      <c r="E4" s="284" t="s">
        <v>0</v>
      </c>
      <c r="F4" s="274">
        <v>1028</v>
      </c>
      <c r="G4" s="285"/>
    </row>
    <row r="5" spans="1:7" ht="12.75" customHeight="1" x14ac:dyDescent="0.25">
      <c r="A5" s="185"/>
      <c r="B5" s="281" t="s">
        <v>715</v>
      </c>
      <c r="C5" s="282">
        <v>0.22</v>
      </c>
      <c r="D5" s="283">
        <v>1728869.2</v>
      </c>
      <c r="E5" s="286" t="s">
        <v>0</v>
      </c>
      <c r="F5" s="274">
        <v>1029</v>
      </c>
    </row>
    <row r="6" spans="1:7" ht="12.75" customHeight="1" x14ac:dyDescent="0.25">
      <c r="A6" s="185"/>
      <c r="B6" s="281" t="s">
        <v>716</v>
      </c>
      <c r="C6" s="865" t="s">
        <v>115</v>
      </c>
      <c r="D6" s="283">
        <v>481548.94</v>
      </c>
      <c r="E6" s="286" t="s">
        <v>0</v>
      </c>
      <c r="F6" s="274">
        <v>1030</v>
      </c>
    </row>
    <row r="7" spans="1:7" ht="12.75" customHeight="1" x14ac:dyDescent="0.25">
      <c r="A7" s="185"/>
      <c r="B7" s="281" t="s">
        <v>717</v>
      </c>
      <c r="C7" s="865" t="s">
        <v>115</v>
      </c>
      <c r="D7" s="283">
        <v>271980.23</v>
      </c>
      <c r="E7" s="286" t="s">
        <v>0</v>
      </c>
      <c r="F7" s="274">
        <v>1034</v>
      </c>
    </row>
    <row r="8" spans="1:7" ht="12.75" customHeight="1" x14ac:dyDescent="0.25">
      <c r="A8" s="185"/>
      <c r="B8" s="281" t="s">
        <v>718</v>
      </c>
      <c r="C8" s="865" t="s">
        <v>115</v>
      </c>
      <c r="D8" s="283">
        <v>136739.93</v>
      </c>
      <c r="E8" s="286" t="s">
        <v>0</v>
      </c>
      <c r="F8" s="274">
        <v>1035</v>
      </c>
    </row>
    <row r="9" spans="1:7" ht="12.75" customHeight="1" x14ac:dyDescent="0.25">
      <c r="A9" s="185"/>
      <c r="B9" s="281" t="s">
        <v>719</v>
      </c>
      <c r="C9" s="866" t="s">
        <v>115</v>
      </c>
      <c r="D9" s="283">
        <v>901831.5</v>
      </c>
      <c r="E9" s="286" t="s">
        <v>0</v>
      </c>
      <c r="F9" s="274">
        <v>1037</v>
      </c>
    </row>
    <row r="10" spans="1:7" ht="12.75" customHeight="1" x14ac:dyDescent="0.25">
      <c r="A10" s="185"/>
      <c r="B10" s="281" t="s">
        <v>9</v>
      </c>
      <c r="C10" s="282">
        <v>4.0000000000000001E-3</v>
      </c>
      <c r="D10" s="283">
        <v>42005.42</v>
      </c>
      <c r="E10" s="286" t="s">
        <v>0</v>
      </c>
      <c r="F10" s="274">
        <v>1039</v>
      </c>
    </row>
    <row r="11" spans="1:7" ht="12.75" customHeight="1" x14ac:dyDescent="0.25">
      <c r="A11" s="185"/>
      <c r="B11" s="281" t="s">
        <v>10</v>
      </c>
      <c r="C11" s="607" t="s">
        <v>959</v>
      </c>
      <c r="D11" s="283">
        <v>3727217.22</v>
      </c>
      <c r="E11" s="286" t="s">
        <v>0</v>
      </c>
      <c r="F11" s="274">
        <v>1040</v>
      </c>
    </row>
    <row r="12" spans="1:7" ht="12.75" customHeight="1" x14ac:dyDescent="0.25">
      <c r="A12" s="185"/>
      <c r="B12" s="281" t="s">
        <v>720</v>
      </c>
      <c r="C12" s="288" t="s">
        <v>350</v>
      </c>
      <c r="D12" s="283">
        <v>9145.77</v>
      </c>
      <c r="E12" s="286"/>
      <c r="F12" s="274">
        <v>1041</v>
      </c>
    </row>
    <row r="13" spans="1:7" ht="12.75" customHeight="1" x14ac:dyDescent="0.25">
      <c r="A13" s="185"/>
      <c r="B13" s="281" t="s">
        <v>721</v>
      </c>
      <c r="C13" s="282">
        <v>4.0000000000000002E-4</v>
      </c>
      <c r="D13" s="283">
        <v>539069.81999999995</v>
      </c>
      <c r="E13" s="286"/>
      <c r="F13" s="274">
        <v>1042</v>
      </c>
    </row>
    <row r="14" spans="1:7" ht="12.75" customHeight="1" x14ac:dyDescent="0.25">
      <c r="A14" s="185"/>
      <c r="B14" s="281" t="s">
        <v>722</v>
      </c>
      <c r="C14" s="282">
        <v>2.2599999999999999E-2</v>
      </c>
      <c r="D14" s="283">
        <v>329280.90999999997</v>
      </c>
      <c r="E14" s="286" t="s">
        <v>0</v>
      </c>
      <c r="F14" s="274">
        <v>1047</v>
      </c>
    </row>
    <row r="15" spans="1:7" ht="12.75" customHeight="1" x14ac:dyDescent="0.25">
      <c r="A15" s="185"/>
      <c r="B15" s="281" t="s">
        <v>723</v>
      </c>
      <c r="C15" s="282">
        <v>1.03E-2</v>
      </c>
      <c r="D15" s="283">
        <v>157837.09</v>
      </c>
      <c r="E15" s="286" t="s">
        <v>0</v>
      </c>
      <c r="F15" s="274">
        <v>1048</v>
      </c>
    </row>
    <row r="16" spans="1:7" ht="12.75" customHeight="1" x14ac:dyDescent="0.25">
      <c r="A16" s="185"/>
      <c r="B16" s="281" t="s">
        <v>724</v>
      </c>
      <c r="C16" s="287" t="s">
        <v>366</v>
      </c>
      <c r="D16" s="279">
        <v>14325.13</v>
      </c>
      <c r="E16" s="286"/>
      <c r="F16" s="274">
        <v>1049</v>
      </c>
    </row>
    <row r="17" spans="1:8" ht="12.75" customHeight="1" x14ac:dyDescent="0.25">
      <c r="A17" s="185"/>
      <c r="B17" s="289" t="s">
        <v>479</v>
      </c>
      <c r="C17" s="287"/>
      <c r="D17" s="279">
        <v>0</v>
      </c>
      <c r="E17" s="284"/>
    </row>
    <row r="18" spans="1:8" ht="12.75" customHeight="1" x14ac:dyDescent="0.25">
      <c r="A18" s="185"/>
      <c r="B18" s="281" t="s">
        <v>725</v>
      </c>
      <c r="C18" s="282">
        <v>1.4500000000000001E-2</v>
      </c>
      <c r="D18" s="283">
        <v>224148.51</v>
      </c>
      <c r="E18" s="290"/>
      <c r="F18" s="274">
        <v>1053</v>
      </c>
    </row>
    <row r="19" spans="1:8" ht="12.75" customHeight="1" x14ac:dyDescent="0.25">
      <c r="A19" s="185"/>
      <c r="B19" s="291" t="s">
        <v>119</v>
      </c>
      <c r="C19" s="292"/>
      <c r="D19" s="293">
        <v>11298.94</v>
      </c>
      <c r="E19" s="207"/>
      <c r="F19" s="274">
        <v>1004</v>
      </c>
      <c r="G19" s="868" t="s">
        <v>726</v>
      </c>
    </row>
    <row r="20" spans="1:8" ht="12.75" customHeight="1" thickBot="1" x14ac:dyDescent="0.3">
      <c r="A20" s="185"/>
      <c r="B20" s="291"/>
      <c r="C20" s="294"/>
      <c r="D20" s="295"/>
      <c r="E20" s="867">
        <f>SUM(D3:D19)</f>
        <v>9556156.3100000005</v>
      </c>
      <c r="G20" s="238">
        <f>'Sched-B1'!C4+'Sched-B1'!D4</f>
        <v>9556156.3099999987</v>
      </c>
      <c r="H20" s="238">
        <f>E20-G20</f>
        <v>0</v>
      </c>
    </row>
    <row r="21" spans="1:8" ht="12.75" customHeight="1" thickTop="1" x14ac:dyDescent="0.25">
      <c r="A21" s="276" t="s">
        <v>79</v>
      </c>
      <c r="B21" s="277" t="s">
        <v>13</v>
      </c>
      <c r="C21" s="278" t="s">
        <v>319</v>
      </c>
      <c r="D21" s="279">
        <v>0</v>
      </c>
      <c r="E21" s="280" t="s">
        <v>0</v>
      </c>
    </row>
    <row r="22" spans="1:8" ht="12.75" customHeight="1" x14ac:dyDescent="0.25">
      <c r="A22" s="185"/>
      <c r="B22" s="281" t="s">
        <v>383</v>
      </c>
      <c r="C22" s="282">
        <v>6.13E-2</v>
      </c>
      <c r="D22" s="283">
        <v>198683.19</v>
      </c>
      <c r="E22" s="284" t="s">
        <v>0</v>
      </c>
    </row>
    <row r="23" spans="1:8" ht="12.75" customHeight="1" x14ac:dyDescent="0.25">
      <c r="A23" s="185"/>
      <c r="B23" s="281" t="s">
        <v>715</v>
      </c>
      <c r="C23" s="282">
        <v>0.22</v>
      </c>
      <c r="D23" s="283">
        <v>439729.14</v>
      </c>
      <c r="E23" s="286" t="s">
        <v>0</v>
      </c>
    </row>
    <row r="24" spans="1:8" ht="12.75" customHeight="1" x14ac:dyDescent="0.25">
      <c r="A24" s="185"/>
      <c r="B24" s="281" t="s">
        <v>716</v>
      </c>
      <c r="C24" s="865" t="s">
        <v>115</v>
      </c>
      <c r="D24" s="283">
        <v>72425.47</v>
      </c>
      <c r="E24" s="286" t="s">
        <v>0</v>
      </c>
    </row>
    <row r="25" spans="1:8" ht="12.75" customHeight="1" x14ac:dyDescent="0.25">
      <c r="A25" s="185"/>
      <c r="B25" s="281" t="s">
        <v>717</v>
      </c>
      <c r="C25" s="865" t="s">
        <v>115</v>
      </c>
      <c r="D25" s="283">
        <v>32808.589999999997</v>
      </c>
      <c r="E25" s="286" t="s">
        <v>0</v>
      </c>
    </row>
    <row r="26" spans="1:8" ht="12.75" customHeight="1" x14ac:dyDescent="0.25">
      <c r="A26" s="185"/>
      <c r="B26" s="281" t="s">
        <v>718</v>
      </c>
      <c r="C26" s="865" t="s">
        <v>115</v>
      </c>
      <c r="D26" s="283">
        <v>20977.73</v>
      </c>
      <c r="E26" s="286" t="s">
        <v>0</v>
      </c>
    </row>
    <row r="27" spans="1:8" ht="12.75" customHeight="1" x14ac:dyDescent="0.25">
      <c r="A27" s="185"/>
      <c r="B27" s="281" t="s">
        <v>719</v>
      </c>
      <c r="C27" s="865" t="s">
        <v>115</v>
      </c>
      <c r="D27" s="283">
        <v>148632.1</v>
      </c>
      <c r="E27" s="286" t="s">
        <v>0</v>
      </c>
    </row>
    <row r="28" spans="1:8" ht="12.75" customHeight="1" x14ac:dyDescent="0.25">
      <c r="A28" s="185"/>
      <c r="B28" s="281" t="s">
        <v>9</v>
      </c>
      <c r="C28" s="282">
        <f>C10</f>
        <v>4.0000000000000001E-3</v>
      </c>
      <c r="D28" s="283">
        <v>8748.77</v>
      </c>
      <c r="E28" s="286" t="s">
        <v>0</v>
      </c>
    </row>
    <row r="29" spans="1:8" ht="12.75" customHeight="1" x14ac:dyDescent="0.25">
      <c r="A29" s="185"/>
      <c r="B29" s="281" t="s">
        <v>10</v>
      </c>
      <c r="C29" s="607" t="str">
        <f>C11</f>
        <v>$1350.25/mo</v>
      </c>
      <c r="D29" s="283">
        <v>574814</v>
      </c>
      <c r="E29" s="286" t="s">
        <v>0</v>
      </c>
    </row>
    <row r="30" spans="1:8" ht="12.75" customHeight="1" x14ac:dyDescent="0.25">
      <c r="A30" s="185"/>
      <c r="B30" s="281" t="s">
        <v>8</v>
      </c>
      <c r="C30" s="288" t="s">
        <v>350</v>
      </c>
      <c r="D30" s="283">
        <v>1385.32</v>
      </c>
      <c r="E30" s="286"/>
    </row>
    <row r="31" spans="1:8" ht="12.75" customHeight="1" x14ac:dyDescent="0.25">
      <c r="A31" s="185"/>
      <c r="B31" s="281" t="s">
        <v>11</v>
      </c>
      <c r="C31" s="282">
        <f>C13</f>
        <v>4.0000000000000002E-4</v>
      </c>
      <c r="D31" s="283">
        <v>110241.67</v>
      </c>
      <c r="E31" s="286"/>
    </row>
    <row r="32" spans="1:8" ht="12.75" customHeight="1" x14ac:dyDescent="0.25">
      <c r="A32" s="185"/>
      <c r="B32" s="281" t="s">
        <v>15</v>
      </c>
      <c r="C32" s="282">
        <f>C14</f>
        <v>2.2599999999999999E-2</v>
      </c>
      <c r="D32" s="283">
        <v>71297.039999999994</v>
      </c>
      <c r="E32" s="286" t="s">
        <v>0</v>
      </c>
    </row>
    <row r="33" spans="1:8" ht="12.75" customHeight="1" x14ac:dyDescent="0.25">
      <c r="A33" s="185"/>
      <c r="B33" s="281" t="s">
        <v>12</v>
      </c>
      <c r="C33" s="282">
        <f>C15</f>
        <v>1.03E-2</v>
      </c>
      <c r="D33" s="283">
        <v>34259.269999999997</v>
      </c>
      <c r="E33" s="286" t="s">
        <v>0</v>
      </c>
    </row>
    <row r="34" spans="1:8" ht="12.75" customHeight="1" x14ac:dyDescent="0.25">
      <c r="A34" s="185"/>
      <c r="B34" s="289" t="s">
        <v>231</v>
      </c>
      <c r="C34" s="287" t="str">
        <f>C16</f>
        <v>$8.00/mo</v>
      </c>
      <c r="D34" s="283">
        <v>2174.34</v>
      </c>
      <c r="E34" s="286"/>
    </row>
    <row r="35" spans="1:8" ht="12.75" customHeight="1" x14ac:dyDescent="0.25">
      <c r="A35" s="185"/>
      <c r="B35" s="281" t="s">
        <v>725</v>
      </c>
      <c r="C35" s="282">
        <f>C18</f>
        <v>1.4500000000000001E-2</v>
      </c>
      <c r="D35" s="283">
        <v>46030.82</v>
      </c>
      <c r="E35" s="290"/>
    </row>
    <row r="36" spans="1:8" ht="12.75" customHeight="1" x14ac:dyDescent="0.25">
      <c r="A36" s="185"/>
      <c r="B36" s="291" t="s">
        <v>119</v>
      </c>
      <c r="C36" s="292"/>
      <c r="D36" s="293">
        <v>1739.87</v>
      </c>
      <c r="E36" s="207"/>
      <c r="G36" s="238"/>
    </row>
    <row r="37" spans="1:8" ht="12.75" customHeight="1" thickBot="1" x14ac:dyDescent="0.3">
      <c r="A37" s="185"/>
      <c r="B37" s="291"/>
      <c r="C37" s="294"/>
      <c r="D37" s="295"/>
      <c r="E37" s="867">
        <f>SUM(D21:D36)</f>
        <v>1763947.3200000003</v>
      </c>
      <c r="G37" s="238">
        <f>'Sched-B1'!C5+'Sched-B1'!D5</f>
        <v>1763947.32</v>
      </c>
      <c r="H37" s="238">
        <f>E37-G37</f>
        <v>0</v>
      </c>
    </row>
    <row r="38" spans="1:8" ht="12.75" customHeight="1" thickTop="1" x14ac:dyDescent="0.25">
      <c r="A38" s="276" t="s">
        <v>14</v>
      </c>
      <c r="B38" s="277" t="s">
        <v>13</v>
      </c>
      <c r="C38" s="278" t="s">
        <v>319</v>
      </c>
      <c r="D38" s="279">
        <v>90</v>
      </c>
      <c r="E38" s="280" t="s">
        <v>0</v>
      </c>
    </row>
    <row r="39" spans="1:8" ht="12.75" customHeight="1" x14ac:dyDescent="0.25">
      <c r="A39" s="185"/>
      <c r="B39" s="281" t="s">
        <v>383</v>
      </c>
      <c r="C39" s="282">
        <v>6.13E-2</v>
      </c>
      <c r="D39" s="283">
        <v>391518.71</v>
      </c>
      <c r="E39" s="284" t="s">
        <v>0</v>
      </c>
    </row>
    <row r="40" spans="1:8" ht="12.75" customHeight="1" x14ac:dyDescent="0.25">
      <c r="A40" s="185"/>
      <c r="B40" s="281" t="s">
        <v>715</v>
      </c>
      <c r="C40" s="282">
        <f>C5</f>
        <v>0.22</v>
      </c>
      <c r="D40" s="283">
        <v>890713.87</v>
      </c>
      <c r="E40" s="286" t="s">
        <v>0</v>
      </c>
    </row>
    <row r="41" spans="1:8" ht="12.75" customHeight="1" x14ac:dyDescent="0.25">
      <c r="A41" s="185"/>
      <c r="B41" s="281" t="s">
        <v>716</v>
      </c>
      <c r="C41" s="865" t="s">
        <v>115</v>
      </c>
      <c r="D41" s="283">
        <v>139754.59</v>
      </c>
      <c r="E41" s="286" t="s">
        <v>0</v>
      </c>
    </row>
    <row r="42" spans="1:8" ht="12.75" customHeight="1" x14ac:dyDescent="0.25">
      <c r="A42" s="185"/>
      <c r="B42" s="281" t="s">
        <v>717</v>
      </c>
      <c r="C42" s="865" t="s">
        <v>115</v>
      </c>
      <c r="D42" s="283">
        <v>80696.460000000006</v>
      </c>
      <c r="E42" s="286" t="s">
        <v>0</v>
      </c>
    </row>
    <row r="43" spans="1:8" ht="12.75" customHeight="1" x14ac:dyDescent="0.25">
      <c r="A43" s="185"/>
      <c r="B43" s="281" t="s">
        <v>718</v>
      </c>
      <c r="C43" s="865" t="s">
        <v>115</v>
      </c>
      <c r="D43" s="283">
        <v>39565.07</v>
      </c>
      <c r="E43" s="286" t="s">
        <v>0</v>
      </c>
    </row>
    <row r="44" spans="1:8" ht="12.75" customHeight="1" x14ac:dyDescent="0.25">
      <c r="A44" s="185"/>
      <c r="B44" s="281" t="s">
        <v>719</v>
      </c>
      <c r="C44" s="865" t="s">
        <v>115</v>
      </c>
      <c r="D44" s="283">
        <v>259388.56</v>
      </c>
      <c r="E44" s="286" t="s">
        <v>0</v>
      </c>
    </row>
    <row r="45" spans="1:8" ht="12.75" customHeight="1" x14ac:dyDescent="0.25">
      <c r="A45" s="185"/>
      <c r="B45" s="281" t="s">
        <v>9</v>
      </c>
      <c r="C45" s="282">
        <f>C10</f>
        <v>4.0000000000000001E-3</v>
      </c>
      <c r="D45" s="283">
        <v>16910.62</v>
      </c>
      <c r="E45" s="286" t="s">
        <v>0</v>
      </c>
    </row>
    <row r="46" spans="1:8" ht="12.75" customHeight="1" x14ac:dyDescent="0.25">
      <c r="A46" s="185"/>
      <c r="B46" s="281" t="s">
        <v>10</v>
      </c>
      <c r="C46" s="607" t="str">
        <f>C11</f>
        <v>$1350.25/mo</v>
      </c>
      <c r="D46" s="283">
        <v>1478946.27</v>
      </c>
      <c r="E46" s="286" t="s">
        <v>0</v>
      </c>
    </row>
    <row r="47" spans="1:8" ht="12.75" customHeight="1" x14ac:dyDescent="0.25">
      <c r="A47" s="185"/>
      <c r="B47" s="281" t="s">
        <v>8</v>
      </c>
      <c r="C47" s="288" t="s">
        <v>350</v>
      </c>
      <c r="D47" s="283">
        <v>3634.73</v>
      </c>
      <c r="E47" s="286"/>
    </row>
    <row r="48" spans="1:8" ht="12.75" customHeight="1" x14ac:dyDescent="0.25">
      <c r="A48" s="185"/>
      <c r="B48" s="281" t="s">
        <v>11</v>
      </c>
      <c r="C48" s="282">
        <f>C13</f>
        <v>4.0000000000000002E-4</v>
      </c>
      <c r="D48" s="283">
        <v>216158.73</v>
      </c>
      <c r="E48" s="286" t="s">
        <v>0</v>
      </c>
    </row>
    <row r="49" spans="1:8" ht="12.75" customHeight="1" x14ac:dyDescent="0.25">
      <c r="A49" s="185"/>
      <c r="B49" s="281" t="s">
        <v>15</v>
      </c>
      <c r="C49" s="282">
        <f>C14</f>
        <v>2.2599999999999999E-2</v>
      </c>
      <c r="D49" s="283">
        <v>140809</v>
      </c>
      <c r="E49" s="286"/>
    </row>
    <row r="50" spans="1:8" ht="12.75" customHeight="1" x14ac:dyDescent="0.25">
      <c r="A50" s="185"/>
      <c r="B50" s="281" t="s">
        <v>12</v>
      </c>
      <c r="C50" s="282">
        <f>C15</f>
        <v>1.03E-2</v>
      </c>
      <c r="D50" s="283">
        <v>67553.919999999998</v>
      </c>
      <c r="E50" s="286"/>
    </row>
    <row r="51" spans="1:8" ht="12.75" customHeight="1" x14ac:dyDescent="0.25">
      <c r="A51" s="185"/>
      <c r="B51" s="289" t="s">
        <v>231</v>
      </c>
      <c r="C51" s="287" t="s">
        <v>366</v>
      </c>
      <c r="D51" s="283">
        <v>6058.83</v>
      </c>
      <c r="E51" s="286"/>
    </row>
    <row r="52" spans="1:8" ht="12.75" customHeight="1" x14ac:dyDescent="0.25">
      <c r="A52" s="185"/>
      <c r="B52" s="281" t="s">
        <v>725</v>
      </c>
      <c r="C52" s="282">
        <f>C18</f>
        <v>1.4500000000000001E-2</v>
      </c>
      <c r="D52" s="296">
        <v>88767.46</v>
      </c>
      <c r="E52" s="297"/>
    </row>
    <row r="53" spans="1:8" ht="12.75" customHeight="1" x14ac:dyDescent="0.25">
      <c r="A53" s="185"/>
      <c r="B53" s="291" t="s">
        <v>119</v>
      </c>
      <c r="C53" s="298"/>
      <c r="D53" s="296">
        <v>-918.16</v>
      </c>
      <c r="E53" s="185"/>
      <c r="G53" s="238"/>
    </row>
    <row r="54" spans="1:8" ht="12.75" customHeight="1" x14ac:dyDescent="0.25">
      <c r="A54" s="185"/>
      <c r="B54" s="291"/>
      <c r="C54" s="278"/>
      <c r="D54" s="296"/>
      <c r="E54" s="867">
        <f>SUM(D38:D53)</f>
        <v>3819648.66</v>
      </c>
      <c r="G54" s="238">
        <f>'Sched-B1'!C6+'Sched-B1'!D6</f>
        <v>3819648.6599999997</v>
      </c>
      <c r="H54" s="299">
        <f>E54-G54</f>
        <v>0</v>
      </c>
    </row>
    <row r="55" spans="1:8" ht="12.75" customHeight="1" x14ac:dyDescent="0.25">
      <c r="A55" s="276" t="s">
        <v>25</v>
      </c>
      <c r="B55" s="300" t="s">
        <v>13</v>
      </c>
      <c r="C55" s="278" t="s">
        <v>319</v>
      </c>
      <c r="D55" s="296">
        <v>200</v>
      </c>
      <c r="E55" s="286" t="s">
        <v>0</v>
      </c>
    </row>
    <row r="56" spans="1:8" ht="12.75" customHeight="1" x14ac:dyDescent="0.25">
      <c r="A56" s="185"/>
      <c r="B56" s="300" t="s">
        <v>383</v>
      </c>
      <c r="C56" s="282">
        <v>6.13E-2</v>
      </c>
      <c r="D56" s="296">
        <v>357887.92</v>
      </c>
      <c r="E56" s="286"/>
    </row>
    <row r="57" spans="1:8" ht="12.75" customHeight="1" x14ac:dyDescent="0.25">
      <c r="A57" s="185"/>
      <c r="B57" s="281" t="s">
        <v>715</v>
      </c>
      <c r="C57" s="282">
        <v>0.22</v>
      </c>
      <c r="D57" s="296">
        <v>684979.69</v>
      </c>
      <c r="E57" s="286"/>
    </row>
    <row r="58" spans="1:8" ht="12.75" customHeight="1" x14ac:dyDescent="0.25">
      <c r="A58" s="276"/>
      <c r="B58" s="281" t="s">
        <v>716</v>
      </c>
      <c r="C58" s="865" t="s">
        <v>115</v>
      </c>
      <c r="D58" s="283">
        <v>159431.91</v>
      </c>
      <c r="E58" s="286" t="s">
        <v>0</v>
      </c>
    </row>
    <row r="59" spans="1:8" ht="12.75" customHeight="1" x14ac:dyDescent="0.25">
      <c r="A59" s="185"/>
      <c r="B59" s="281" t="s">
        <v>717</v>
      </c>
      <c r="C59" s="865" t="s">
        <v>115</v>
      </c>
      <c r="D59" s="283">
        <v>86032.75</v>
      </c>
      <c r="E59" s="286" t="s">
        <v>0</v>
      </c>
    </row>
    <row r="60" spans="1:8" ht="12.75" customHeight="1" x14ac:dyDescent="0.25">
      <c r="A60" s="185"/>
      <c r="B60" s="281" t="s">
        <v>718</v>
      </c>
      <c r="C60" s="865" t="s">
        <v>115</v>
      </c>
      <c r="D60" s="283">
        <v>45270.89</v>
      </c>
      <c r="E60" s="286" t="s">
        <v>0</v>
      </c>
    </row>
    <row r="61" spans="1:8" ht="12.75" customHeight="1" x14ac:dyDescent="0.25">
      <c r="A61" s="185"/>
      <c r="B61" s="281" t="s">
        <v>719</v>
      </c>
      <c r="C61" s="865" t="s">
        <v>115</v>
      </c>
      <c r="D61" s="283">
        <v>302613.98</v>
      </c>
      <c r="E61" s="286" t="s">
        <v>0</v>
      </c>
    </row>
    <row r="62" spans="1:8" ht="12.75" customHeight="1" x14ac:dyDescent="0.25">
      <c r="A62" s="185"/>
      <c r="B62" s="300" t="s">
        <v>9</v>
      </c>
      <c r="C62" s="282">
        <v>3.5999999999999999E-3</v>
      </c>
      <c r="D62" s="296">
        <v>15210.53</v>
      </c>
      <c r="E62" s="286"/>
    </row>
    <row r="63" spans="1:8" ht="12.75" customHeight="1" x14ac:dyDescent="0.25">
      <c r="A63" s="185"/>
      <c r="B63" s="300" t="s">
        <v>10</v>
      </c>
      <c r="C63" s="607" t="str">
        <f>C11</f>
        <v>$1350.25/mo</v>
      </c>
      <c r="D63" s="296">
        <v>1324677</v>
      </c>
      <c r="E63" s="286"/>
    </row>
    <row r="64" spans="1:8" ht="12.75" customHeight="1" x14ac:dyDescent="0.25">
      <c r="A64" s="185"/>
      <c r="B64" s="300" t="s">
        <v>8</v>
      </c>
      <c r="C64" s="288" t="s">
        <v>350</v>
      </c>
      <c r="D64" s="296">
        <v>3259.94</v>
      </c>
      <c r="E64" s="286"/>
    </row>
    <row r="65" spans="1:8" ht="12.75" customHeight="1" x14ac:dyDescent="0.25">
      <c r="A65" s="185"/>
      <c r="B65" s="300" t="s">
        <v>11</v>
      </c>
      <c r="C65" s="282">
        <f>C13</f>
        <v>4.0000000000000002E-4</v>
      </c>
      <c r="D65" s="296">
        <v>196196.21</v>
      </c>
      <c r="E65" s="286"/>
    </row>
    <row r="66" spans="1:8" ht="12.75" customHeight="1" x14ac:dyDescent="0.25">
      <c r="A66" s="185"/>
      <c r="B66" s="300" t="s">
        <v>15</v>
      </c>
      <c r="C66" s="282">
        <f>C14</f>
        <v>2.2599999999999999E-2</v>
      </c>
      <c r="D66" s="296">
        <v>123924.65</v>
      </c>
      <c r="E66" s="286"/>
    </row>
    <row r="67" spans="1:8" ht="12.75" customHeight="1" x14ac:dyDescent="0.25">
      <c r="A67" s="185"/>
      <c r="B67" s="300" t="s">
        <v>12</v>
      </c>
      <c r="C67" s="282">
        <f>C15</f>
        <v>1.03E-2</v>
      </c>
      <c r="D67" s="296">
        <v>59415.64</v>
      </c>
      <c r="E67" s="286"/>
    </row>
    <row r="68" spans="1:8" ht="12.75" customHeight="1" x14ac:dyDescent="0.25">
      <c r="A68" s="185"/>
      <c r="B68" s="185" t="s">
        <v>231</v>
      </c>
      <c r="C68" s="287" t="s">
        <v>366</v>
      </c>
      <c r="D68" s="296">
        <v>5285.36</v>
      </c>
      <c r="E68" s="286"/>
    </row>
    <row r="69" spans="1:8" ht="12.75" customHeight="1" x14ac:dyDescent="0.25">
      <c r="A69" s="185"/>
      <c r="B69" s="281" t="s">
        <v>725</v>
      </c>
      <c r="C69" s="282">
        <v>1.4500000000000001E-2</v>
      </c>
      <c r="D69" s="296">
        <v>81105.039999999994</v>
      </c>
      <c r="E69" s="286"/>
    </row>
    <row r="70" spans="1:8" ht="12.75" customHeight="1" x14ac:dyDescent="0.25">
      <c r="A70" s="185"/>
      <c r="B70" s="300" t="s">
        <v>119</v>
      </c>
      <c r="C70" s="292"/>
      <c r="D70" s="296">
        <v>1657.25</v>
      </c>
      <c r="E70" s="286"/>
      <c r="G70" s="238"/>
    </row>
    <row r="71" spans="1:8" ht="12.75" customHeight="1" x14ac:dyDescent="0.25">
      <c r="A71" s="185"/>
      <c r="B71" s="300"/>
      <c r="C71" s="301"/>
      <c r="D71" s="208"/>
      <c r="E71" s="867">
        <f>SUM(D55:D70)</f>
        <v>3447148.76</v>
      </c>
      <c r="G71" s="238">
        <f>'Sched-B1'!C7+'Sched-B1'!D7</f>
        <v>3447148.76</v>
      </c>
      <c r="H71" s="238">
        <f>E71-G71</f>
        <v>0</v>
      </c>
    </row>
    <row r="72" spans="1:8" ht="12.75" customHeight="1" x14ac:dyDescent="0.25">
      <c r="A72" s="276" t="s">
        <v>478</v>
      </c>
      <c r="B72" s="300" t="s">
        <v>13</v>
      </c>
      <c r="C72" s="278" t="s">
        <v>319</v>
      </c>
      <c r="D72" s="296">
        <v>0</v>
      </c>
      <c r="E72" s="286" t="s">
        <v>0</v>
      </c>
    </row>
    <row r="73" spans="1:8" ht="12.75" customHeight="1" x14ac:dyDescent="0.25">
      <c r="A73" s="185"/>
      <c r="B73" s="300" t="s">
        <v>383</v>
      </c>
      <c r="C73" s="282">
        <v>6.13E-2</v>
      </c>
      <c r="D73" s="296">
        <v>1170198.2</v>
      </c>
      <c r="E73" s="286"/>
    </row>
    <row r="74" spans="1:8" ht="12.75" customHeight="1" x14ac:dyDescent="0.25">
      <c r="A74" s="185"/>
      <c r="B74" s="281" t="s">
        <v>715</v>
      </c>
      <c r="C74" s="282">
        <v>0.22</v>
      </c>
      <c r="D74" s="296">
        <v>991395.04</v>
      </c>
      <c r="E74" s="286"/>
    </row>
    <row r="75" spans="1:8" ht="12.75" customHeight="1" x14ac:dyDescent="0.25">
      <c r="A75" s="185"/>
      <c r="B75" s="281" t="s">
        <v>716</v>
      </c>
      <c r="C75" s="865" t="s">
        <v>115</v>
      </c>
      <c r="D75" s="283">
        <v>862547.14</v>
      </c>
      <c r="E75" s="286" t="s">
        <v>0</v>
      </c>
    </row>
    <row r="76" spans="1:8" ht="12.75" customHeight="1" x14ac:dyDescent="0.25">
      <c r="A76" s="185"/>
      <c r="B76" s="281" t="s">
        <v>717</v>
      </c>
      <c r="C76" s="865" t="s">
        <v>115</v>
      </c>
      <c r="D76" s="283">
        <v>524826.94999999995</v>
      </c>
      <c r="E76" s="286" t="s">
        <v>0</v>
      </c>
    </row>
    <row r="77" spans="1:8" ht="12.75" customHeight="1" x14ac:dyDescent="0.25">
      <c r="A77" s="185"/>
      <c r="B77" s="281" t="s">
        <v>718</v>
      </c>
      <c r="C77" s="865" t="s">
        <v>115</v>
      </c>
      <c r="D77" s="283">
        <v>244903.96</v>
      </c>
      <c r="E77" s="286" t="s">
        <v>0</v>
      </c>
    </row>
    <row r="78" spans="1:8" ht="12.75" customHeight="1" x14ac:dyDescent="0.25">
      <c r="A78" s="185"/>
      <c r="B78" s="281" t="s">
        <v>719</v>
      </c>
      <c r="C78" s="865" t="s">
        <v>115</v>
      </c>
      <c r="D78" s="283">
        <v>1578690.35</v>
      </c>
      <c r="E78" s="286" t="s">
        <v>0</v>
      </c>
    </row>
    <row r="79" spans="1:8" ht="12.75" customHeight="1" x14ac:dyDescent="0.25">
      <c r="A79" s="185"/>
      <c r="B79" s="300" t="s">
        <v>9</v>
      </c>
      <c r="C79" s="282">
        <v>3.5999999999999999E-3</v>
      </c>
      <c r="D79" s="296">
        <v>50522.8</v>
      </c>
      <c r="E79" s="286"/>
    </row>
    <row r="80" spans="1:8" ht="12.75" customHeight="1" x14ac:dyDescent="0.25">
      <c r="A80" s="185"/>
      <c r="B80" s="300" t="s">
        <v>10</v>
      </c>
      <c r="C80" s="607" t="str">
        <f>C11</f>
        <v>$1350.25/mo</v>
      </c>
      <c r="D80" s="296">
        <v>5193786.97</v>
      </c>
      <c r="E80" s="286"/>
    </row>
    <row r="81" spans="1:8" ht="12.75" customHeight="1" x14ac:dyDescent="0.25">
      <c r="A81" s="185"/>
      <c r="B81" s="300" t="s">
        <v>8</v>
      </c>
      <c r="C81" s="288" t="s">
        <v>350</v>
      </c>
      <c r="D81" s="296">
        <v>12587.14</v>
      </c>
      <c r="E81" s="286"/>
    </row>
    <row r="82" spans="1:8" ht="12.75" customHeight="1" x14ac:dyDescent="0.25">
      <c r="A82" s="185"/>
      <c r="B82" s="300" t="s">
        <v>11</v>
      </c>
      <c r="C82" s="282">
        <f>C13</f>
        <v>4.0000000000000002E-4</v>
      </c>
      <c r="D82" s="296">
        <v>643470.74</v>
      </c>
      <c r="E82" s="286"/>
    </row>
    <row r="83" spans="1:8" ht="12.75" customHeight="1" x14ac:dyDescent="0.25">
      <c r="A83" s="185"/>
      <c r="B83" s="300" t="s">
        <v>15</v>
      </c>
      <c r="C83" s="282">
        <f>C14</f>
        <v>2.2599999999999999E-2</v>
      </c>
      <c r="D83" s="296">
        <v>426526.04</v>
      </c>
      <c r="E83" s="286"/>
    </row>
    <row r="84" spans="1:8" ht="12.75" customHeight="1" x14ac:dyDescent="0.25">
      <c r="A84" s="185"/>
      <c r="B84" s="300" t="s">
        <v>12</v>
      </c>
      <c r="C84" s="282">
        <f>C15</f>
        <v>1.03E-2</v>
      </c>
      <c r="D84" s="296">
        <v>204460.55</v>
      </c>
      <c r="E84" s="286"/>
    </row>
    <row r="85" spans="1:8" ht="12.75" customHeight="1" x14ac:dyDescent="0.25">
      <c r="A85" s="185"/>
      <c r="B85" s="185" t="s">
        <v>231</v>
      </c>
      <c r="C85" s="287" t="s">
        <v>366</v>
      </c>
      <c r="D85" s="296">
        <v>20367.240000000002</v>
      </c>
      <c r="E85" s="286"/>
    </row>
    <row r="86" spans="1:8" ht="12.75" customHeight="1" x14ac:dyDescent="0.25">
      <c r="A86" s="185"/>
      <c r="B86" s="281" t="s">
        <v>725</v>
      </c>
      <c r="C86" s="282">
        <v>1.4500000000000001E-2</v>
      </c>
      <c r="D86" s="296">
        <v>266765.28000000003</v>
      </c>
      <c r="E86" s="286"/>
    </row>
    <row r="87" spans="1:8" ht="12.75" customHeight="1" x14ac:dyDescent="0.25">
      <c r="A87" s="185"/>
      <c r="B87" s="300" t="s">
        <v>119</v>
      </c>
      <c r="C87" s="292"/>
      <c r="D87" s="296">
        <v>15538</v>
      </c>
      <c r="E87" s="286"/>
      <c r="G87" s="238"/>
    </row>
    <row r="88" spans="1:8" ht="12.75" customHeight="1" x14ac:dyDescent="0.25">
      <c r="A88" s="185"/>
      <c r="B88" s="300"/>
      <c r="C88" s="301"/>
      <c r="D88" s="208"/>
      <c r="E88" s="867">
        <f>SUM(D72:D87)</f>
        <v>12206586.4</v>
      </c>
      <c r="G88" s="238">
        <f>'Sched-B1'!C8+'Sched-B1'!D8</f>
        <v>12206586.4</v>
      </c>
      <c r="H88" s="238">
        <f>E88-G88</f>
        <v>0</v>
      </c>
    </row>
    <row r="89" spans="1:8" ht="12.75" customHeight="1" x14ac:dyDescent="0.25">
      <c r="A89" s="276" t="s">
        <v>16</v>
      </c>
      <c r="B89" s="300" t="s">
        <v>13</v>
      </c>
      <c r="C89" s="278" t="s">
        <v>319</v>
      </c>
      <c r="D89" s="296">
        <v>0</v>
      </c>
      <c r="E89" s="286" t="s">
        <v>0</v>
      </c>
    </row>
    <row r="90" spans="1:8" ht="12.75" customHeight="1" x14ac:dyDescent="0.25">
      <c r="A90" s="185"/>
      <c r="B90" s="300" t="s">
        <v>383</v>
      </c>
      <c r="C90" s="282">
        <v>6.13E-2</v>
      </c>
      <c r="D90" s="296">
        <v>155719.22</v>
      </c>
      <c r="E90" s="286"/>
    </row>
    <row r="91" spans="1:8" ht="12.75" customHeight="1" x14ac:dyDescent="0.25">
      <c r="A91" s="185"/>
      <c r="B91" s="281" t="s">
        <v>715</v>
      </c>
      <c r="C91" s="282">
        <v>0.22</v>
      </c>
      <c r="D91" s="296">
        <v>358563.95</v>
      </c>
      <c r="E91" s="286"/>
    </row>
    <row r="92" spans="1:8" ht="12.75" customHeight="1" x14ac:dyDescent="0.25">
      <c r="A92" s="185"/>
      <c r="B92" s="281" t="s">
        <v>716</v>
      </c>
      <c r="C92" s="865" t="s">
        <v>115</v>
      </c>
      <c r="D92" s="283">
        <v>54372.04</v>
      </c>
      <c r="E92" s="286" t="s">
        <v>0</v>
      </c>
    </row>
    <row r="93" spans="1:8" ht="12.75" customHeight="1" x14ac:dyDescent="0.25">
      <c r="A93" s="185"/>
      <c r="B93" s="281" t="s">
        <v>717</v>
      </c>
      <c r="C93" s="865" t="s">
        <v>115</v>
      </c>
      <c r="D93" s="283">
        <v>27347.3</v>
      </c>
      <c r="E93" s="286" t="s">
        <v>0</v>
      </c>
    </row>
    <row r="94" spans="1:8" ht="12.75" customHeight="1" x14ac:dyDescent="0.25">
      <c r="A94" s="185"/>
      <c r="B94" s="281" t="s">
        <v>718</v>
      </c>
      <c r="C94" s="865" t="s">
        <v>115</v>
      </c>
      <c r="D94" s="283">
        <v>15204.08</v>
      </c>
      <c r="E94" s="286" t="s">
        <v>0</v>
      </c>
    </row>
    <row r="95" spans="1:8" ht="12.75" customHeight="1" x14ac:dyDescent="0.25">
      <c r="A95" s="185"/>
      <c r="B95" s="281" t="s">
        <v>719</v>
      </c>
      <c r="C95" s="865" t="s">
        <v>115</v>
      </c>
      <c r="D95" s="283">
        <v>102361.91</v>
      </c>
      <c r="E95" s="286" t="s">
        <v>0</v>
      </c>
    </row>
    <row r="96" spans="1:8" ht="12.75" customHeight="1" x14ac:dyDescent="0.25">
      <c r="A96" s="185"/>
      <c r="B96" s="300" t="s">
        <v>9</v>
      </c>
      <c r="C96" s="282">
        <v>3.5999999999999999E-3</v>
      </c>
      <c r="D96" s="296">
        <v>6518.67</v>
      </c>
      <c r="E96" s="286"/>
    </row>
    <row r="97" spans="1:8" ht="12.75" customHeight="1" x14ac:dyDescent="0.25">
      <c r="A97" s="185"/>
      <c r="B97" s="300" t="s">
        <v>10</v>
      </c>
      <c r="C97" s="607" t="str">
        <f>C11</f>
        <v>$1350.25/mo</v>
      </c>
      <c r="D97" s="296">
        <v>554749</v>
      </c>
      <c r="E97" s="286"/>
    </row>
    <row r="98" spans="1:8" ht="12.75" customHeight="1" x14ac:dyDescent="0.25">
      <c r="A98" s="185"/>
      <c r="B98" s="300" t="s">
        <v>8</v>
      </c>
      <c r="C98" s="288" t="s">
        <v>350</v>
      </c>
      <c r="D98" s="296">
        <v>1362.63</v>
      </c>
      <c r="E98" s="286"/>
    </row>
    <row r="99" spans="1:8" ht="12.75" customHeight="1" x14ac:dyDescent="0.25">
      <c r="A99" s="185"/>
      <c r="B99" s="300" t="s">
        <v>11</v>
      </c>
      <c r="C99" s="282">
        <f>C13</f>
        <v>4.0000000000000002E-4</v>
      </c>
      <c r="D99" s="296">
        <v>84824.01</v>
      </c>
      <c r="E99" s="286"/>
    </row>
    <row r="100" spans="1:8" ht="12.75" customHeight="1" x14ac:dyDescent="0.25">
      <c r="A100" s="185"/>
      <c r="B100" s="300" t="s">
        <v>15</v>
      </c>
      <c r="C100" s="282">
        <f>C14</f>
        <v>2.2599999999999999E-2</v>
      </c>
      <c r="D100" s="296">
        <v>54888.41</v>
      </c>
      <c r="E100" s="286"/>
    </row>
    <row r="101" spans="1:8" ht="12.75" customHeight="1" x14ac:dyDescent="0.25">
      <c r="A101" s="185"/>
      <c r="B101" s="300" t="s">
        <v>12</v>
      </c>
      <c r="C101" s="282">
        <f>C15</f>
        <v>1.03E-2</v>
      </c>
      <c r="D101" s="296">
        <v>26329.74</v>
      </c>
      <c r="E101" s="286"/>
    </row>
    <row r="102" spans="1:8" ht="12.75" customHeight="1" x14ac:dyDescent="0.25">
      <c r="A102" s="185"/>
      <c r="B102" s="185" t="s">
        <v>231</v>
      </c>
      <c r="C102" s="287" t="s">
        <v>366</v>
      </c>
      <c r="D102" s="296">
        <v>2259.13</v>
      </c>
      <c r="E102" s="286"/>
    </row>
    <row r="103" spans="1:8" ht="12.75" customHeight="1" x14ac:dyDescent="0.25">
      <c r="A103" s="185"/>
      <c r="B103" s="281" t="s">
        <v>725</v>
      </c>
      <c r="C103" s="282">
        <f>C18</f>
        <v>1.4500000000000001E-2</v>
      </c>
      <c r="D103" s="296">
        <v>35668.11</v>
      </c>
      <c r="E103" s="286"/>
    </row>
    <row r="104" spans="1:8" ht="12.75" customHeight="1" x14ac:dyDescent="0.25">
      <c r="A104" s="185"/>
      <c r="B104" s="300" t="s">
        <v>119</v>
      </c>
      <c r="C104" s="292"/>
      <c r="D104" s="296">
        <v>2447.77</v>
      </c>
      <c r="E104" s="331"/>
      <c r="G104" s="238"/>
    </row>
    <row r="105" spans="1:8" ht="12.75" customHeight="1" x14ac:dyDescent="0.25">
      <c r="A105" s="185"/>
      <c r="B105" s="300"/>
      <c r="C105" s="301"/>
      <c r="D105" s="208"/>
      <c r="E105" s="867">
        <f>SUM(D89:D104)</f>
        <v>1482615.97</v>
      </c>
      <c r="G105" s="238">
        <f>'Sched-B1'!C9+'Sched-B1'!D9</f>
        <v>1482615.97</v>
      </c>
      <c r="H105" s="238">
        <f>E105-G105</f>
        <v>0</v>
      </c>
    </row>
    <row r="106" spans="1:8" ht="12.75" customHeight="1" x14ac:dyDescent="0.25">
      <c r="A106" s="276" t="s">
        <v>17</v>
      </c>
      <c r="B106" s="300" t="s">
        <v>13</v>
      </c>
      <c r="C106" s="278" t="s">
        <v>319</v>
      </c>
      <c r="D106" s="296">
        <v>0</v>
      </c>
      <c r="E106" s="286" t="s">
        <v>0</v>
      </c>
    </row>
    <row r="107" spans="1:8" ht="12.75" customHeight="1" x14ac:dyDescent="0.25">
      <c r="A107" s="185"/>
      <c r="B107" s="300" t="s">
        <v>383</v>
      </c>
      <c r="C107" s="282">
        <v>6.13E-2</v>
      </c>
      <c r="D107" s="296">
        <v>317573.27</v>
      </c>
      <c r="E107" s="286"/>
    </row>
    <row r="108" spans="1:8" ht="12.75" customHeight="1" x14ac:dyDescent="0.25">
      <c r="A108" s="185"/>
      <c r="B108" s="281" t="s">
        <v>715</v>
      </c>
      <c r="C108" s="282">
        <v>0.22</v>
      </c>
      <c r="D108" s="296">
        <v>572749.37</v>
      </c>
      <c r="E108" s="286"/>
    </row>
    <row r="109" spans="1:8" ht="12.75" customHeight="1" x14ac:dyDescent="0.25">
      <c r="A109" s="185"/>
      <c r="B109" s="281" t="s">
        <v>716</v>
      </c>
      <c r="C109" s="865" t="s">
        <v>115</v>
      </c>
      <c r="D109" s="283">
        <v>151733</v>
      </c>
      <c r="E109" s="286" t="s">
        <v>0</v>
      </c>
    </row>
    <row r="110" spans="1:8" ht="12.75" customHeight="1" x14ac:dyDescent="0.25">
      <c r="A110" s="185"/>
      <c r="B110" s="281" t="s">
        <v>717</v>
      </c>
      <c r="C110" s="865" t="s">
        <v>115</v>
      </c>
      <c r="D110" s="283">
        <v>74141.53</v>
      </c>
      <c r="E110" s="286" t="s">
        <v>0</v>
      </c>
    </row>
    <row r="111" spans="1:8" ht="12.75" customHeight="1" x14ac:dyDescent="0.25">
      <c r="A111" s="185"/>
      <c r="B111" s="281" t="s">
        <v>718</v>
      </c>
      <c r="C111" s="865" t="s">
        <v>115</v>
      </c>
      <c r="D111" s="283">
        <v>42605.29</v>
      </c>
      <c r="E111" s="286" t="s">
        <v>0</v>
      </c>
    </row>
    <row r="112" spans="1:8" ht="12.75" customHeight="1" x14ac:dyDescent="0.25">
      <c r="A112" s="185"/>
      <c r="B112" s="281" t="s">
        <v>719</v>
      </c>
      <c r="C112" s="865" t="s">
        <v>115</v>
      </c>
      <c r="D112" s="283">
        <v>290117.09000000003</v>
      </c>
      <c r="E112" s="286" t="s">
        <v>0</v>
      </c>
    </row>
    <row r="113" spans="1:8" ht="12.75" customHeight="1" x14ac:dyDescent="0.25">
      <c r="A113" s="185"/>
      <c r="B113" s="300" t="s">
        <v>9</v>
      </c>
      <c r="C113" s="282">
        <v>3.5999999999999999E-3</v>
      </c>
      <c r="D113" s="296">
        <v>13970.66</v>
      </c>
      <c r="E113" s="286"/>
    </row>
    <row r="114" spans="1:8" ht="12.75" customHeight="1" x14ac:dyDescent="0.25">
      <c r="A114" s="185"/>
      <c r="B114" s="300" t="s">
        <v>10</v>
      </c>
      <c r="C114" s="607" t="str">
        <f>C11</f>
        <v>$1350.25/mo</v>
      </c>
      <c r="D114" s="296">
        <v>1111485.1200000001</v>
      </c>
      <c r="E114" s="286"/>
    </row>
    <row r="115" spans="1:8" ht="12.75" customHeight="1" x14ac:dyDescent="0.25">
      <c r="A115" s="185"/>
      <c r="B115" s="300" t="s">
        <v>8</v>
      </c>
      <c r="C115" s="288" t="s">
        <v>350</v>
      </c>
      <c r="D115" s="296">
        <v>2677.71</v>
      </c>
      <c r="E115" s="286"/>
    </row>
    <row r="116" spans="1:8" ht="12.75" customHeight="1" x14ac:dyDescent="0.25">
      <c r="A116" s="185"/>
      <c r="B116" s="300" t="s">
        <v>11</v>
      </c>
      <c r="C116" s="282">
        <f>C13</f>
        <v>4.0000000000000002E-4</v>
      </c>
      <c r="D116" s="296">
        <v>176948.42</v>
      </c>
      <c r="E116" s="286"/>
    </row>
    <row r="117" spans="1:8" ht="12.75" customHeight="1" x14ac:dyDescent="0.25">
      <c r="A117" s="185"/>
      <c r="B117" s="300" t="s">
        <v>15</v>
      </c>
      <c r="C117" s="282">
        <f>C14</f>
        <v>2.2599999999999999E-2</v>
      </c>
      <c r="D117" s="296">
        <v>106996.38</v>
      </c>
      <c r="E117" s="286"/>
    </row>
    <row r="118" spans="1:8" ht="12.75" customHeight="1" x14ac:dyDescent="0.25">
      <c r="A118" s="185"/>
      <c r="B118" s="300" t="s">
        <v>12</v>
      </c>
      <c r="C118" s="282">
        <f>C15</f>
        <v>1.03E-2</v>
      </c>
      <c r="D118" s="296">
        <v>51464.98</v>
      </c>
      <c r="E118" s="286"/>
    </row>
    <row r="119" spans="1:8" ht="12.75" customHeight="1" x14ac:dyDescent="0.25">
      <c r="A119" s="185"/>
      <c r="B119" s="185" t="s">
        <v>231</v>
      </c>
      <c r="C119" s="287" t="s">
        <v>366</v>
      </c>
      <c r="D119" s="296">
        <v>4263.26</v>
      </c>
      <c r="E119" s="286"/>
    </row>
    <row r="120" spans="1:8" ht="12.75" customHeight="1" x14ac:dyDescent="0.25">
      <c r="A120" s="185"/>
      <c r="B120" s="281" t="s">
        <v>725</v>
      </c>
      <c r="C120" s="282">
        <v>1.4500000000000001E-2</v>
      </c>
      <c r="D120" s="296">
        <v>73129.47</v>
      </c>
      <c r="E120" s="286"/>
    </row>
    <row r="121" spans="1:8" ht="12.75" customHeight="1" x14ac:dyDescent="0.25">
      <c r="A121" s="185"/>
      <c r="B121" s="300" t="s">
        <v>119</v>
      </c>
      <c r="C121" s="292"/>
      <c r="D121" s="296">
        <v>4102.03</v>
      </c>
      <c r="E121" s="286"/>
      <c r="G121" s="238"/>
    </row>
    <row r="122" spans="1:8" ht="12.75" customHeight="1" x14ac:dyDescent="0.25">
      <c r="A122" s="185"/>
      <c r="B122" s="300"/>
      <c r="C122" s="298"/>
      <c r="D122" s="208"/>
      <c r="E122" s="867">
        <f>SUM(D106:D121)</f>
        <v>2993957.5799999996</v>
      </c>
      <c r="G122" s="238">
        <f>'Sched-B1'!C10+'Sched-B1'!D10</f>
        <v>2993957.5799999996</v>
      </c>
      <c r="H122" s="299">
        <f>E122-G122</f>
        <v>0</v>
      </c>
    </row>
    <row r="123" spans="1:8" ht="12.75" customHeight="1" x14ac:dyDescent="0.25">
      <c r="A123" s="276" t="s">
        <v>142</v>
      </c>
      <c r="B123" s="300" t="s">
        <v>13</v>
      </c>
      <c r="C123" s="278" t="s">
        <v>319</v>
      </c>
      <c r="D123" s="296">
        <v>0</v>
      </c>
      <c r="E123" s="286" t="s">
        <v>0</v>
      </c>
    </row>
    <row r="124" spans="1:8" ht="12.75" customHeight="1" x14ac:dyDescent="0.25">
      <c r="A124" s="185"/>
      <c r="B124" s="300" t="s">
        <v>383</v>
      </c>
      <c r="C124" s="282">
        <v>6.13E-2</v>
      </c>
      <c r="D124" s="296">
        <v>166555.66</v>
      </c>
      <c r="E124" s="286"/>
    </row>
    <row r="125" spans="1:8" ht="12.75" customHeight="1" x14ac:dyDescent="0.25">
      <c r="A125" s="185"/>
      <c r="B125" s="281" t="s">
        <v>715</v>
      </c>
      <c r="C125" s="282">
        <v>0.22</v>
      </c>
      <c r="D125" s="296">
        <v>439685.08</v>
      </c>
      <c r="E125" s="286"/>
    </row>
    <row r="126" spans="1:8" ht="12.75" customHeight="1" x14ac:dyDescent="0.25">
      <c r="A126" s="185"/>
      <c r="B126" s="281" t="s">
        <v>716</v>
      </c>
      <c r="C126" s="865" t="s">
        <v>115</v>
      </c>
      <c r="D126" s="283">
        <v>42079.37</v>
      </c>
      <c r="E126" s="286" t="s">
        <v>0</v>
      </c>
    </row>
    <row r="127" spans="1:8" ht="12.75" customHeight="1" x14ac:dyDescent="0.25">
      <c r="A127" s="185"/>
      <c r="B127" s="281" t="s">
        <v>717</v>
      </c>
      <c r="C127" s="865" t="s">
        <v>115</v>
      </c>
      <c r="D127" s="283">
        <v>22707.97</v>
      </c>
      <c r="E127" s="286" t="s">
        <v>0</v>
      </c>
    </row>
    <row r="128" spans="1:8" ht="12.75" customHeight="1" x14ac:dyDescent="0.25">
      <c r="A128" s="185"/>
      <c r="B128" s="281" t="s">
        <v>718</v>
      </c>
      <c r="C128" s="865" t="s">
        <v>115</v>
      </c>
      <c r="D128" s="283">
        <v>12018.03</v>
      </c>
      <c r="E128" s="286" t="s">
        <v>0</v>
      </c>
    </row>
    <row r="129" spans="1:8" ht="12.75" customHeight="1" x14ac:dyDescent="0.25">
      <c r="A129" s="185"/>
      <c r="B129" s="281" t="s">
        <v>719</v>
      </c>
      <c r="C129" s="865" t="s">
        <v>115</v>
      </c>
      <c r="D129" s="283">
        <v>80781.789999999994</v>
      </c>
      <c r="E129" s="286" t="s">
        <v>0</v>
      </c>
    </row>
    <row r="130" spans="1:8" ht="12.75" customHeight="1" x14ac:dyDescent="0.25">
      <c r="A130" s="185"/>
      <c r="B130" s="300" t="s">
        <v>9</v>
      </c>
      <c r="C130" s="282">
        <v>3.5999999999999999E-3</v>
      </c>
      <c r="D130" s="296">
        <v>7193.01</v>
      </c>
      <c r="E130" s="286"/>
    </row>
    <row r="131" spans="1:8" ht="12.75" customHeight="1" x14ac:dyDescent="0.25">
      <c r="A131" s="185"/>
      <c r="B131" s="300" t="s">
        <v>10</v>
      </c>
      <c r="C131" s="607" t="str">
        <f>C11</f>
        <v>$1350.25/mo</v>
      </c>
      <c r="D131" s="296">
        <v>582918.42000000004</v>
      </c>
      <c r="E131" s="286"/>
    </row>
    <row r="132" spans="1:8" ht="12.75" customHeight="1" x14ac:dyDescent="0.25">
      <c r="A132" s="185"/>
      <c r="B132" s="300" t="s">
        <v>8</v>
      </c>
      <c r="C132" s="288" t="s">
        <v>350</v>
      </c>
      <c r="D132" s="296">
        <v>1436.17</v>
      </c>
      <c r="E132" s="286"/>
    </row>
    <row r="133" spans="1:8" ht="12.75" customHeight="1" x14ac:dyDescent="0.25">
      <c r="A133" s="185"/>
      <c r="B133" s="300" t="s">
        <v>11</v>
      </c>
      <c r="C133" s="282">
        <f>C13</f>
        <v>4.0000000000000002E-4</v>
      </c>
      <c r="D133" s="296">
        <v>91060.42</v>
      </c>
      <c r="E133" s="286"/>
    </row>
    <row r="134" spans="1:8" ht="12.75" customHeight="1" x14ac:dyDescent="0.25">
      <c r="A134" s="185"/>
      <c r="B134" s="300" t="s">
        <v>15</v>
      </c>
      <c r="C134" s="282">
        <f>C14</f>
        <v>2.2599999999999999E-2</v>
      </c>
      <c r="D134" s="296">
        <v>58473.27</v>
      </c>
      <c r="E134" s="286"/>
    </row>
    <row r="135" spans="1:8" ht="12.75" customHeight="1" x14ac:dyDescent="0.25">
      <c r="A135" s="185"/>
      <c r="B135" s="300" t="s">
        <v>12</v>
      </c>
      <c r="C135" s="282">
        <f>C15</f>
        <v>1.03E-2</v>
      </c>
      <c r="D135" s="296">
        <v>27139.98</v>
      </c>
      <c r="E135" s="286"/>
    </row>
    <row r="136" spans="1:8" ht="12.75" customHeight="1" x14ac:dyDescent="0.25">
      <c r="A136" s="185"/>
      <c r="B136" s="185" t="s">
        <v>231</v>
      </c>
      <c r="C136" s="287" t="s">
        <v>366</v>
      </c>
      <c r="D136" s="296">
        <v>2378.66</v>
      </c>
      <c r="E136" s="286"/>
    </row>
    <row r="137" spans="1:8" ht="12.75" customHeight="1" x14ac:dyDescent="0.25">
      <c r="A137" s="185"/>
      <c r="B137" s="281" t="s">
        <v>725</v>
      </c>
      <c r="C137" s="282">
        <v>1.4500000000000001E-2</v>
      </c>
      <c r="D137" s="296">
        <v>37742.6</v>
      </c>
      <c r="E137" s="286"/>
    </row>
    <row r="138" spans="1:8" ht="12.75" customHeight="1" x14ac:dyDescent="0.25">
      <c r="A138" s="185"/>
      <c r="B138" s="300" t="s">
        <v>119</v>
      </c>
      <c r="C138" s="292"/>
      <c r="D138" s="296">
        <v>-333.83</v>
      </c>
      <c r="E138" s="286"/>
      <c r="G138" s="238"/>
    </row>
    <row r="139" spans="1:8" ht="12.75" customHeight="1" x14ac:dyDescent="0.25">
      <c r="A139" s="185"/>
      <c r="B139" s="300"/>
      <c r="C139" s="301"/>
      <c r="D139" s="208"/>
      <c r="E139" s="867">
        <f>SUM(D123:D138)</f>
        <v>1571836.5999999999</v>
      </c>
      <c r="G139" s="238">
        <f>'Sched-B1'!C11+'Sched-B1'!D11</f>
        <v>1571836.5999999999</v>
      </c>
      <c r="H139" s="238">
        <f>E139-G139</f>
        <v>0</v>
      </c>
    </row>
    <row r="140" spans="1:8" ht="12.75" customHeight="1" x14ac:dyDescent="0.25">
      <c r="A140" s="276" t="s">
        <v>19</v>
      </c>
      <c r="B140" s="300" t="s">
        <v>13</v>
      </c>
      <c r="C140" s="278" t="s">
        <v>319</v>
      </c>
      <c r="D140" s="296">
        <v>0</v>
      </c>
      <c r="E140" s="286" t="s">
        <v>0</v>
      </c>
    </row>
    <row r="141" spans="1:8" ht="12.75" customHeight="1" x14ac:dyDescent="0.25">
      <c r="A141" s="185"/>
      <c r="B141" s="300" t="s">
        <v>383</v>
      </c>
      <c r="C141" s="282">
        <v>6.13E-2</v>
      </c>
      <c r="D141" s="296">
        <v>384291.77</v>
      </c>
      <c r="E141" s="286"/>
    </row>
    <row r="142" spans="1:8" ht="12.75" customHeight="1" x14ac:dyDescent="0.25">
      <c r="A142" s="185"/>
      <c r="B142" s="281" t="s">
        <v>715</v>
      </c>
      <c r="C142" s="282">
        <v>0.22</v>
      </c>
      <c r="D142" s="296">
        <v>737339.44</v>
      </c>
      <c r="E142" s="286"/>
    </row>
    <row r="143" spans="1:8" ht="12.75" customHeight="1" x14ac:dyDescent="0.25">
      <c r="A143" s="185"/>
      <c r="B143" s="281" t="s">
        <v>716</v>
      </c>
      <c r="C143" s="865" t="s">
        <v>115</v>
      </c>
      <c r="D143" s="283">
        <v>171510.49</v>
      </c>
      <c r="E143" s="286" t="s">
        <v>0</v>
      </c>
    </row>
    <row r="144" spans="1:8" ht="12.75" customHeight="1" x14ac:dyDescent="0.25">
      <c r="A144" s="185"/>
      <c r="B144" s="281" t="s">
        <v>717</v>
      </c>
      <c r="C144" s="865" t="s">
        <v>115</v>
      </c>
      <c r="D144" s="283">
        <v>96844.07</v>
      </c>
      <c r="E144" s="286" t="s">
        <v>0</v>
      </c>
    </row>
    <row r="145" spans="1:8" ht="12.75" customHeight="1" x14ac:dyDescent="0.25">
      <c r="A145" s="185"/>
      <c r="B145" s="281" t="s">
        <v>718</v>
      </c>
      <c r="C145" s="865" t="s">
        <v>115</v>
      </c>
      <c r="D145" s="283">
        <v>48819.59</v>
      </c>
      <c r="E145" s="286" t="s">
        <v>0</v>
      </c>
    </row>
    <row r="146" spans="1:8" ht="12.75" customHeight="1" x14ac:dyDescent="0.25">
      <c r="A146" s="185"/>
      <c r="B146" s="281" t="s">
        <v>719</v>
      </c>
      <c r="C146" s="865" t="s">
        <v>115</v>
      </c>
      <c r="D146" s="283">
        <v>323488.98</v>
      </c>
      <c r="E146" s="286" t="s">
        <v>0</v>
      </c>
    </row>
    <row r="147" spans="1:8" ht="12.75" customHeight="1" x14ac:dyDescent="0.25">
      <c r="A147" s="185"/>
      <c r="B147" s="300" t="s">
        <v>9</v>
      </c>
      <c r="C147" s="282">
        <v>3.5999999999999999E-3</v>
      </c>
      <c r="D147" s="296">
        <v>16315.38</v>
      </c>
      <c r="E147" s="286"/>
    </row>
    <row r="148" spans="1:8" ht="12.75" customHeight="1" x14ac:dyDescent="0.25">
      <c r="A148" s="185"/>
      <c r="B148" s="300" t="s">
        <v>10</v>
      </c>
      <c r="C148" s="607" t="str">
        <f>C11</f>
        <v>$1350.25/mo</v>
      </c>
      <c r="D148" s="296">
        <v>1506455.07</v>
      </c>
      <c r="E148" s="286"/>
    </row>
    <row r="149" spans="1:8" ht="12.75" customHeight="1" x14ac:dyDescent="0.25">
      <c r="A149" s="185"/>
      <c r="B149" s="300" t="s">
        <v>8</v>
      </c>
      <c r="C149" s="288" t="s">
        <v>350</v>
      </c>
      <c r="D149" s="296">
        <v>3636.31</v>
      </c>
      <c r="E149" s="286"/>
    </row>
    <row r="150" spans="1:8" ht="12.75" customHeight="1" x14ac:dyDescent="0.25">
      <c r="A150" s="185"/>
      <c r="B150" s="300" t="s">
        <v>11</v>
      </c>
      <c r="C150" s="282">
        <f>C13</f>
        <v>4.0000000000000002E-4</v>
      </c>
      <c r="D150" s="296">
        <v>210760.79</v>
      </c>
      <c r="E150" s="286"/>
    </row>
    <row r="151" spans="1:8" ht="12.75" customHeight="1" x14ac:dyDescent="0.25">
      <c r="A151" s="185"/>
      <c r="B151" s="300" t="s">
        <v>15</v>
      </c>
      <c r="C151" s="282">
        <f>C14</f>
        <v>2.2599999999999999E-2</v>
      </c>
      <c r="D151" s="296">
        <v>136442.49</v>
      </c>
      <c r="E151" s="286"/>
    </row>
    <row r="152" spans="1:8" ht="12.75" customHeight="1" x14ac:dyDescent="0.25">
      <c r="A152" s="185"/>
      <c r="B152" s="300" t="s">
        <v>12</v>
      </c>
      <c r="C152" s="282">
        <f>C15</f>
        <v>1.03E-2</v>
      </c>
      <c r="D152" s="296">
        <v>65172.13</v>
      </c>
      <c r="E152" s="286"/>
    </row>
    <row r="153" spans="1:8" ht="12.75" customHeight="1" x14ac:dyDescent="0.25">
      <c r="A153" s="185"/>
      <c r="B153" s="185" t="s">
        <v>231</v>
      </c>
      <c r="C153" s="287" t="s">
        <v>366</v>
      </c>
      <c r="D153" s="296">
        <v>5951.26</v>
      </c>
      <c r="E153" s="286"/>
    </row>
    <row r="154" spans="1:8" ht="12.75" customHeight="1" x14ac:dyDescent="0.25">
      <c r="A154" s="185"/>
      <c r="B154" s="281" t="s">
        <v>725</v>
      </c>
      <c r="C154" s="282">
        <v>1.4500000000000001E-2</v>
      </c>
      <c r="D154" s="296">
        <v>87687.66</v>
      </c>
      <c r="E154" s="286"/>
    </row>
    <row r="155" spans="1:8" ht="12.75" customHeight="1" x14ac:dyDescent="0.25">
      <c r="A155" s="185"/>
      <c r="B155" s="300" t="s">
        <v>119</v>
      </c>
      <c r="C155" s="292"/>
      <c r="D155" s="296">
        <v>4382.97</v>
      </c>
      <c r="E155" s="286"/>
      <c r="G155" s="238"/>
    </row>
    <row r="156" spans="1:8" ht="12.75" customHeight="1" x14ac:dyDescent="0.25">
      <c r="A156" s="185"/>
      <c r="B156" s="300"/>
      <c r="C156" s="301"/>
      <c r="D156" s="208"/>
      <c r="E156" s="867">
        <f>SUM(D140:D155)</f>
        <v>3799098.4</v>
      </c>
      <c r="G156" s="238">
        <f>'Sched-B1'!C12+'Sched-B1'!D12</f>
        <v>3799098.4000000004</v>
      </c>
      <c r="H156" s="238">
        <f>E156-G156</f>
        <v>0</v>
      </c>
    </row>
    <row r="157" spans="1:8" ht="12.75" customHeight="1" x14ac:dyDescent="0.25">
      <c r="A157" s="276" t="s">
        <v>20</v>
      </c>
      <c r="B157" s="300" t="s">
        <v>13</v>
      </c>
      <c r="C157" s="278" t="s">
        <v>319</v>
      </c>
      <c r="D157" s="296">
        <v>325</v>
      </c>
      <c r="E157" s="286" t="s">
        <v>0</v>
      </c>
    </row>
    <row r="158" spans="1:8" ht="12.75" customHeight="1" x14ac:dyDescent="0.25">
      <c r="A158" s="185"/>
      <c r="B158" s="300" t="s">
        <v>383</v>
      </c>
      <c r="C158" s="282">
        <v>6.13E-2</v>
      </c>
      <c r="D158" s="296">
        <v>702700.98</v>
      </c>
      <c r="E158" s="286"/>
    </row>
    <row r="159" spans="1:8" ht="12.75" customHeight="1" x14ac:dyDescent="0.25">
      <c r="A159" s="185"/>
      <c r="B159" s="281" t="s">
        <v>715</v>
      </c>
      <c r="C159" s="282">
        <v>0.22</v>
      </c>
      <c r="D159" s="296">
        <v>1146704.69</v>
      </c>
      <c r="E159" s="286"/>
    </row>
    <row r="160" spans="1:8" ht="12.75" customHeight="1" x14ac:dyDescent="0.25">
      <c r="A160" s="185"/>
      <c r="B160" s="281" t="s">
        <v>716</v>
      </c>
      <c r="C160" s="865" t="s">
        <v>115</v>
      </c>
      <c r="D160" s="283">
        <v>367460.19</v>
      </c>
      <c r="E160" s="286" t="s">
        <v>0</v>
      </c>
    </row>
    <row r="161" spans="1:8" ht="12.75" customHeight="1" x14ac:dyDescent="0.25">
      <c r="A161" s="185"/>
      <c r="B161" s="281" t="s">
        <v>717</v>
      </c>
      <c r="C161" s="865" t="s">
        <v>115</v>
      </c>
      <c r="D161" s="283">
        <v>202329.49</v>
      </c>
      <c r="E161" s="286" t="s">
        <v>0</v>
      </c>
    </row>
    <row r="162" spans="1:8" ht="12.75" customHeight="1" x14ac:dyDescent="0.25">
      <c r="A162" s="185"/>
      <c r="B162" s="281" t="s">
        <v>718</v>
      </c>
      <c r="C162" s="865" t="s">
        <v>115</v>
      </c>
      <c r="D162" s="283">
        <v>104597.81</v>
      </c>
      <c r="E162" s="286" t="s">
        <v>0</v>
      </c>
    </row>
    <row r="163" spans="1:8" ht="12.75" customHeight="1" x14ac:dyDescent="0.25">
      <c r="A163" s="185"/>
      <c r="B163" s="281" t="s">
        <v>719</v>
      </c>
      <c r="C163" s="865" t="s">
        <v>115</v>
      </c>
      <c r="D163" s="283">
        <v>696816.02</v>
      </c>
      <c r="E163" s="286" t="s">
        <v>0</v>
      </c>
    </row>
    <row r="164" spans="1:8" ht="12.75" customHeight="1" x14ac:dyDescent="0.25">
      <c r="A164" s="185"/>
      <c r="B164" s="300" t="s">
        <v>9</v>
      </c>
      <c r="C164" s="282">
        <v>3.5999999999999999E-3</v>
      </c>
      <c r="D164" s="296">
        <v>29921.35</v>
      </c>
      <c r="E164" s="286"/>
    </row>
    <row r="165" spans="1:8" ht="12.75" customHeight="1" x14ac:dyDescent="0.25">
      <c r="A165" s="185"/>
      <c r="B165" s="300" t="s">
        <v>10</v>
      </c>
      <c r="C165" s="607" t="str">
        <f>C11</f>
        <v>$1350.25/mo</v>
      </c>
      <c r="D165" s="296">
        <v>2619630</v>
      </c>
      <c r="E165" s="286"/>
    </row>
    <row r="166" spans="1:8" ht="12.75" customHeight="1" x14ac:dyDescent="0.25">
      <c r="A166" s="185"/>
      <c r="B166" s="300" t="s">
        <v>8</v>
      </c>
      <c r="C166" s="288" t="s">
        <v>350</v>
      </c>
      <c r="D166" s="296">
        <v>6385.92</v>
      </c>
      <c r="E166" s="286"/>
    </row>
    <row r="167" spans="1:8" ht="12.75" customHeight="1" x14ac:dyDescent="0.25">
      <c r="A167" s="185"/>
      <c r="B167" s="300" t="s">
        <v>11</v>
      </c>
      <c r="C167" s="282">
        <f>C13</f>
        <v>4.0000000000000002E-4</v>
      </c>
      <c r="D167" s="296">
        <v>386578.22</v>
      </c>
      <c r="E167" s="286"/>
    </row>
    <row r="168" spans="1:8" ht="12.75" customHeight="1" x14ac:dyDescent="0.25">
      <c r="A168" s="185"/>
      <c r="B168" s="300" t="s">
        <v>15</v>
      </c>
      <c r="C168" s="282">
        <f>C14</f>
        <v>2.2599999999999999E-2</v>
      </c>
      <c r="D168" s="296">
        <v>247712.96</v>
      </c>
      <c r="E168" s="286"/>
    </row>
    <row r="169" spans="1:8" ht="12.75" customHeight="1" x14ac:dyDescent="0.25">
      <c r="A169" s="185"/>
      <c r="B169" s="300" t="s">
        <v>12</v>
      </c>
      <c r="C169" s="282">
        <f>C15</f>
        <v>1.03E-2</v>
      </c>
      <c r="D169" s="296">
        <v>118777.65</v>
      </c>
      <c r="E169" s="286"/>
    </row>
    <row r="170" spans="1:8" ht="12.75" customHeight="1" x14ac:dyDescent="0.25">
      <c r="A170" s="185"/>
      <c r="B170" s="185" t="s">
        <v>231</v>
      </c>
      <c r="C170" s="287" t="s">
        <v>366</v>
      </c>
      <c r="D170" s="296">
        <v>10613.09</v>
      </c>
      <c r="E170" s="286"/>
    </row>
    <row r="171" spans="1:8" ht="12.75" customHeight="1" x14ac:dyDescent="0.25">
      <c r="A171" s="185"/>
      <c r="B171" s="281" t="s">
        <v>725</v>
      </c>
      <c r="C171" s="282">
        <v>1.4500000000000001E-2</v>
      </c>
      <c r="D171" s="296">
        <v>160936.93</v>
      </c>
      <c r="E171" s="286"/>
    </row>
    <row r="172" spans="1:8" ht="12.75" customHeight="1" x14ac:dyDescent="0.25">
      <c r="A172" s="185"/>
      <c r="B172" s="300" t="s">
        <v>119</v>
      </c>
      <c r="C172" s="292"/>
      <c r="D172" s="296">
        <v>11878.9</v>
      </c>
      <c r="E172" s="286"/>
      <c r="G172" s="238"/>
    </row>
    <row r="173" spans="1:8" ht="12.75" customHeight="1" x14ac:dyDescent="0.25">
      <c r="A173" s="185"/>
      <c r="B173" s="300"/>
      <c r="C173" s="301"/>
      <c r="D173" s="208"/>
      <c r="E173" s="867">
        <f>SUM(D157:D172)</f>
        <v>6813369.1999999993</v>
      </c>
      <c r="G173" s="238">
        <f>'Sched-B1'!C13+'Sched-B1'!D13</f>
        <v>6813369.2000000002</v>
      </c>
      <c r="H173" s="238">
        <f>E173-G173</f>
        <v>0</v>
      </c>
    </row>
    <row r="174" spans="1:8" ht="12.75" customHeight="1" x14ac:dyDescent="0.25">
      <c r="A174" s="276" t="s">
        <v>26</v>
      </c>
      <c r="B174" s="300" t="s">
        <v>13</v>
      </c>
      <c r="C174" s="278" t="s">
        <v>319</v>
      </c>
      <c r="D174" s="296">
        <v>600</v>
      </c>
      <c r="E174" s="286" t="s">
        <v>0</v>
      </c>
    </row>
    <row r="175" spans="1:8" ht="12.75" customHeight="1" x14ac:dyDescent="0.25">
      <c r="A175" s="185"/>
      <c r="B175" s="300" t="s">
        <v>383</v>
      </c>
      <c r="C175" s="282">
        <v>6.13E-2</v>
      </c>
      <c r="D175" s="296">
        <v>456923.87</v>
      </c>
      <c r="E175" s="286"/>
    </row>
    <row r="176" spans="1:8" ht="12.75" customHeight="1" x14ac:dyDescent="0.25">
      <c r="A176" s="185"/>
      <c r="B176" s="281" t="s">
        <v>715</v>
      </c>
      <c r="C176" s="282">
        <v>0.22</v>
      </c>
      <c r="D176" s="296">
        <v>837377.83</v>
      </c>
      <c r="E176" s="286"/>
    </row>
    <row r="177" spans="1:8" ht="12.75" customHeight="1" x14ac:dyDescent="0.25">
      <c r="A177" s="185"/>
      <c r="B177" s="281" t="s">
        <v>716</v>
      </c>
      <c r="C177" s="865" t="s">
        <v>115</v>
      </c>
      <c r="D177" s="283">
        <v>222361.01</v>
      </c>
      <c r="E177" s="286" t="s">
        <v>0</v>
      </c>
    </row>
    <row r="178" spans="1:8" ht="12.75" customHeight="1" x14ac:dyDescent="0.25">
      <c r="A178" s="185"/>
      <c r="B178" s="281" t="s">
        <v>717</v>
      </c>
      <c r="C178" s="865" t="s">
        <v>115</v>
      </c>
      <c r="D178" s="283">
        <v>121025.22</v>
      </c>
      <c r="E178" s="286" t="s">
        <v>0</v>
      </c>
    </row>
    <row r="179" spans="1:8" ht="12.75" customHeight="1" x14ac:dyDescent="0.25">
      <c r="A179" s="185"/>
      <c r="B179" s="281" t="s">
        <v>718</v>
      </c>
      <c r="C179" s="865" t="s">
        <v>115</v>
      </c>
      <c r="D179" s="283">
        <v>62131.12</v>
      </c>
      <c r="E179" s="286" t="s">
        <v>0</v>
      </c>
    </row>
    <row r="180" spans="1:8" ht="12.75" customHeight="1" x14ac:dyDescent="0.25">
      <c r="A180" s="185"/>
      <c r="B180" s="281" t="s">
        <v>719</v>
      </c>
      <c r="C180" s="865" t="s">
        <v>115</v>
      </c>
      <c r="D180" s="283">
        <v>407262.98</v>
      </c>
      <c r="E180" s="286" t="s">
        <v>0</v>
      </c>
    </row>
    <row r="181" spans="1:8" ht="12.75" customHeight="1" x14ac:dyDescent="0.25">
      <c r="A181" s="185"/>
      <c r="B181" s="300" t="s">
        <v>9</v>
      </c>
      <c r="C181" s="282">
        <v>3.5999999999999999E-3</v>
      </c>
      <c r="D181" s="296">
        <v>19720.63</v>
      </c>
      <c r="E181" s="286"/>
    </row>
    <row r="182" spans="1:8" ht="12.75" customHeight="1" x14ac:dyDescent="0.25">
      <c r="A182" s="185"/>
      <c r="B182" s="300" t="s">
        <v>10</v>
      </c>
      <c r="C182" s="607" t="str">
        <f>C11</f>
        <v>$1350.25/mo</v>
      </c>
      <c r="D182" s="296">
        <v>1729069</v>
      </c>
      <c r="E182" s="286"/>
    </row>
    <row r="183" spans="1:8" ht="12.75" customHeight="1" x14ac:dyDescent="0.25">
      <c r="A183" s="185"/>
      <c r="B183" s="300" t="s">
        <v>8</v>
      </c>
      <c r="C183" s="288" t="s">
        <v>350</v>
      </c>
      <c r="D183" s="296">
        <v>4157.58</v>
      </c>
      <c r="E183" s="286"/>
    </row>
    <row r="184" spans="1:8" ht="12.75" customHeight="1" x14ac:dyDescent="0.25">
      <c r="A184" s="185"/>
      <c r="B184" s="300" t="s">
        <v>11</v>
      </c>
      <c r="C184" s="282">
        <f>C13</f>
        <v>4.0000000000000002E-4</v>
      </c>
      <c r="D184" s="296">
        <v>250563.36</v>
      </c>
      <c r="E184" s="286"/>
    </row>
    <row r="185" spans="1:8" ht="12.75" customHeight="1" x14ac:dyDescent="0.25">
      <c r="A185" s="185"/>
      <c r="B185" s="300" t="s">
        <v>15</v>
      </c>
      <c r="C185" s="282">
        <f>C14</f>
        <v>2.2599999999999999E-2</v>
      </c>
      <c r="D185" s="296">
        <v>162045.25</v>
      </c>
      <c r="E185" s="286"/>
    </row>
    <row r="186" spans="1:8" ht="12.75" customHeight="1" x14ac:dyDescent="0.25">
      <c r="A186" s="185"/>
      <c r="B186" s="300" t="s">
        <v>12</v>
      </c>
      <c r="C186" s="282">
        <f>C15</f>
        <v>1.03E-2</v>
      </c>
      <c r="D186" s="296">
        <v>77726.13</v>
      </c>
      <c r="E186" s="286"/>
    </row>
    <row r="187" spans="1:8" ht="12.75" customHeight="1" x14ac:dyDescent="0.25">
      <c r="A187" s="185"/>
      <c r="B187" s="185" t="s">
        <v>231</v>
      </c>
      <c r="C187" s="287" t="s">
        <v>366</v>
      </c>
      <c r="D187" s="296">
        <v>6790.15</v>
      </c>
      <c r="E187" s="286"/>
    </row>
    <row r="188" spans="1:8" ht="12.75" customHeight="1" x14ac:dyDescent="0.25">
      <c r="A188" s="185"/>
      <c r="B188" s="281" t="s">
        <v>725</v>
      </c>
      <c r="C188" s="282">
        <v>1.4500000000000001E-2</v>
      </c>
      <c r="D188" s="296">
        <v>101873.11</v>
      </c>
      <c r="E188" s="286"/>
    </row>
    <row r="189" spans="1:8" ht="12.75" customHeight="1" x14ac:dyDescent="0.25">
      <c r="A189" s="185"/>
      <c r="B189" s="300" t="s">
        <v>119</v>
      </c>
      <c r="C189" s="292"/>
      <c r="D189" s="296">
        <v>6379.26</v>
      </c>
      <c r="E189" s="286"/>
      <c r="G189" s="238"/>
    </row>
    <row r="190" spans="1:8" ht="12.75" customHeight="1" x14ac:dyDescent="0.25">
      <c r="A190" s="185"/>
      <c r="B190" s="300"/>
      <c r="C190" s="301"/>
      <c r="D190" s="208"/>
      <c r="E190" s="867">
        <f>SUM(D174:D189)</f>
        <v>4466006.5</v>
      </c>
      <c r="G190" s="238">
        <f>'Sched-B1'!C14+'Sched-B1'!D14</f>
        <v>4466006.5</v>
      </c>
      <c r="H190" s="238">
        <f>E190-G190</f>
        <v>0</v>
      </c>
    </row>
    <row r="191" spans="1:8" ht="12.75" customHeight="1" x14ac:dyDescent="0.25">
      <c r="A191" s="276" t="s">
        <v>21</v>
      </c>
      <c r="B191" s="300" t="s">
        <v>13</v>
      </c>
      <c r="C191" s="278" t="s">
        <v>319</v>
      </c>
      <c r="D191" s="296">
        <v>0</v>
      </c>
      <c r="E191" s="286" t="s">
        <v>0</v>
      </c>
    </row>
    <row r="192" spans="1:8" ht="12.75" customHeight="1" x14ac:dyDescent="0.25">
      <c r="A192" s="185"/>
      <c r="B192" s="300" t="s">
        <v>383</v>
      </c>
      <c r="C192" s="282">
        <v>6.13E-2</v>
      </c>
      <c r="D192" s="296">
        <v>254843.43</v>
      </c>
      <c r="E192" s="286"/>
    </row>
    <row r="193" spans="1:8" ht="12.75" customHeight="1" x14ac:dyDescent="0.25">
      <c r="A193" s="185"/>
      <c r="B193" s="281" t="s">
        <v>715</v>
      </c>
      <c r="C193" s="282">
        <v>0.22</v>
      </c>
      <c r="D193" s="296">
        <v>436581.03</v>
      </c>
      <c r="E193" s="286"/>
    </row>
    <row r="194" spans="1:8" ht="12.75" customHeight="1" x14ac:dyDescent="0.25">
      <c r="A194" s="185"/>
      <c r="B194" s="281" t="s">
        <v>716</v>
      </c>
      <c r="C194" s="865" t="s">
        <v>115</v>
      </c>
      <c r="D194" s="283">
        <v>136412.66</v>
      </c>
      <c r="E194" s="286" t="s">
        <v>0</v>
      </c>
    </row>
    <row r="195" spans="1:8" ht="12.75" customHeight="1" x14ac:dyDescent="0.25">
      <c r="A195" s="185"/>
      <c r="B195" s="281" t="s">
        <v>717</v>
      </c>
      <c r="C195" s="865" t="s">
        <v>115</v>
      </c>
      <c r="D195" s="283">
        <v>52246.71</v>
      </c>
      <c r="E195" s="286" t="s">
        <v>0</v>
      </c>
    </row>
    <row r="196" spans="1:8" ht="12.75" customHeight="1" x14ac:dyDescent="0.25">
      <c r="A196" s="185"/>
      <c r="B196" s="281" t="s">
        <v>718</v>
      </c>
      <c r="C196" s="865" t="s">
        <v>115</v>
      </c>
      <c r="D196" s="283">
        <v>38940.43</v>
      </c>
      <c r="E196" s="286" t="s">
        <v>0</v>
      </c>
    </row>
    <row r="197" spans="1:8" ht="12.75" customHeight="1" x14ac:dyDescent="0.25">
      <c r="A197" s="185"/>
      <c r="B197" s="281" t="s">
        <v>719</v>
      </c>
      <c r="C197" s="865" t="s">
        <v>115</v>
      </c>
      <c r="D197" s="283">
        <v>282700.5</v>
      </c>
      <c r="E197" s="286" t="s">
        <v>0</v>
      </c>
    </row>
    <row r="198" spans="1:8" ht="12.75" customHeight="1" x14ac:dyDescent="0.25">
      <c r="A198" s="185"/>
      <c r="B198" s="300" t="s">
        <v>9</v>
      </c>
      <c r="C198" s="282">
        <v>3.5999999999999999E-3</v>
      </c>
      <c r="D198" s="296">
        <v>11117.8</v>
      </c>
      <c r="E198" s="286"/>
    </row>
    <row r="199" spans="1:8" ht="12.75" customHeight="1" x14ac:dyDescent="0.25">
      <c r="A199" s="185"/>
      <c r="B199" s="300" t="s">
        <v>10</v>
      </c>
      <c r="C199" s="607" t="str">
        <f>C11</f>
        <v>$1350.25/mo</v>
      </c>
      <c r="D199" s="296">
        <v>681789</v>
      </c>
      <c r="E199" s="286"/>
    </row>
    <row r="200" spans="1:8" ht="12.75" customHeight="1" x14ac:dyDescent="0.25">
      <c r="A200" s="185"/>
      <c r="B200" s="300" t="s">
        <v>8</v>
      </c>
      <c r="C200" s="288" t="s">
        <v>350</v>
      </c>
      <c r="D200" s="296">
        <v>1688.32</v>
      </c>
      <c r="E200" s="286"/>
    </row>
    <row r="201" spans="1:8" ht="12.75" customHeight="1" x14ac:dyDescent="0.25">
      <c r="A201" s="185"/>
      <c r="B201" s="300" t="s">
        <v>11</v>
      </c>
      <c r="C201" s="282">
        <f>C13</f>
        <v>4.0000000000000002E-4</v>
      </c>
      <c r="D201" s="296">
        <v>143887.10999999999</v>
      </c>
      <c r="E201" s="286"/>
    </row>
    <row r="202" spans="1:8" ht="12.75" customHeight="1" x14ac:dyDescent="0.25">
      <c r="A202" s="185"/>
      <c r="B202" s="300" t="s">
        <v>15</v>
      </c>
      <c r="C202" s="282">
        <f>C14</f>
        <v>2.2599999999999999E-2</v>
      </c>
      <c r="D202" s="296">
        <v>93233.44</v>
      </c>
      <c r="E202" s="286"/>
    </row>
    <row r="203" spans="1:8" ht="12.75" customHeight="1" x14ac:dyDescent="0.25">
      <c r="A203" s="185"/>
      <c r="B203" s="300" t="s">
        <v>12</v>
      </c>
      <c r="C203" s="282">
        <f>C15</f>
        <v>1.03E-2</v>
      </c>
      <c r="D203" s="296">
        <v>44637.39</v>
      </c>
      <c r="E203" s="286"/>
    </row>
    <row r="204" spans="1:8" ht="12.75" customHeight="1" x14ac:dyDescent="0.25">
      <c r="A204" s="185"/>
      <c r="B204" s="185" t="s">
        <v>231</v>
      </c>
      <c r="C204" s="287" t="s">
        <v>366</v>
      </c>
      <c r="D204" s="296">
        <v>2846.62</v>
      </c>
      <c r="E204" s="286"/>
    </row>
    <row r="205" spans="1:8" ht="12.75" customHeight="1" x14ac:dyDescent="0.25">
      <c r="A205" s="185"/>
      <c r="B205" s="281" t="s">
        <v>725</v>
      </c>
      <c r="C205" s="282">
        <v>1.4500000000000001E-2</v>
      </c>
      <c r="D205" s="296">
        <v>59730.78</v>
      </c>
      <c r="E205" s="286"/>
    </row>
    <row r="206" spans="1:8" ht="12.75" customHeight="1" x14ac:dyDescent="0.25">
      <c r="A206" s="209"/>
      <c r="B206" s="302" t="s">
        <v>119</v>
      </c>
      <c r="C206" s="292"/>
      <c r="D206" s="303">
        <v>2434.5500000000002</v>
      </c>
      <c r="E206" s="304"/>
      <c r="G206" s="238"/>
    </row>
    <row r="207" spans="1:8" ht="12.75" customHeight="1" thickBot="1" x14ac:dyDescent="0.3">
      <c r="A207" s="305"/>
      <c r="B207" s="306"/>
      <c r="C207" s="307"/>
      <c r="D207" s="308"/>
      <c r="E207" s="867">
        <f>SUM(D191:D206)</f>
        <v>2243089.77</v>
      </c>
      <c r="G207" s="238">
        <f>'Sched-B1'!C15+'Sched-B1'!D15</f>
        <v>2243089.77</v>
      </c>
      <c r="H207" s="238">
        <f>E207-G207</f>
        <v>0</v>
      </c>
    </row>
    <row r="208" spans="1:8" ht="12.75" customHeight="1" x14ac:dyDescent="0.25">
      <c r="A208" s="276" t="s">
        <v>318</v>
      </c>
      <c r="B208" s="281" t="s">
        <v>13</v>
      </c>
      <c r="C208" s="278" t="s">
        <v>319</v>
      </c>
      <c r="D208" s="296">
        <v>0</v>
      </c>
      <c r="E208" s="286" t="s">
        <v>0</v>
      </c>
    </row>
    <row r="209" spans="1:8" ht="12.75" customHeight="1" x14ac:dyDescent="0.25">
      <c r="A209" s="207"/>
      <c r="B209" s="281" t="s">
        <v>383</v>
      </c>
      <c r="C209" s="282">
        <v>6.13E-2</v>
      </c>
      <c r="D209" s="296">
        <v>0</v>
      </c>
      <c r="E209" s="286"/>
    </row>
    <row r="210" spans="1:8" ht="12.75" customHeight="1" x14ac:dyDescent="0.25">
      <c r="A210" s="185"/>
      <c r="B210" s="281" t="s">
        <v>715</v>
      </c>
      <c r="C210" s="282">
        <v>0.22</v>
      </c>
      <c r="D210" s="296">
        <v>0</v>
      </c>
      <c r="E210" s="286"/>
    </row>
    <row r="211" spans="1:8" ht="12.75" customHeight="1" x14ac:dyDescent="0.25">
      <c r="A211" s="185"/>
      <c r="B211" s="281" t="s">
        <v>716</v>
      </c>
      <c r="C211" s="865" t="s">
        <v>115</v>
      </c>
      <c r="D211" s="283">
        <v>0</v>
      </c>
      <c r="E211" s="286" t="s">
        <v>0</v>
      </c>
    </row>
    <row r="212" spans="1:8" ht="12.75" customHeight="1" x14ac:dyDescent="0.25">
      <c r="A212" s="185"/>
      <c r="B212" s="281" t="s">
        <v>717</v>
      </c>
      <c r="C212" s="865" t="s">
        <v>115</v>
      </c>
      <c r="D212" s="283">
        <v>0</v>
      </c>
      <c r="E212" s="286" t="s">
        <v>0</v>
      </c>
    </row>
    <row r="213" spans="1:8" ht="12.75" customHeight="1" x14ac:dyDescent="0.25">
      <c r="A213" s="185"/>
      <c r="B213" s="281" t="s">
        <v>718</v>
      </c>
      <c r="C213" s="865" t="s">
        <v>115</v>
      </c>
      <c r="D213" s="283">
        <v>0</v>
      </c>
      <c r="E213" s="286" t="s">
        <v>0</v>
      </c>
    </row>
    <row r="214" spans="1:8" ht="12.75" customHeight="1" x14ac:dyDescent="0.25">
      <c r="A214" s="185"/>
      <c r="B214" s="281" t="s">
        <v>719</v>
      </c>
      <c r="C214" s="865" t="s">
        <v>115</v>
      </c>
      <c r="D214" s="283">
        <v>0</v>
      </c>
      <c r="E214" s="286" t="s">
        <v>0</v>
      </c>
    </row>
    <row r="215" spans="1:8" ht="12.75" customHeight="1" x14ac:dyDescent="0.25">
      <c r="A215" s="185"/>
      <c r="B215" s="281" t="s">
        <v>9</v>
      </c>
      <c r="C215" s="282">
        <v>3.5999999999999999E-3</v>
      </c>
      <c r="D215" s="296">
        <v>0</v>
      </c>
      <c r="E215" s="286"/>
    </row>
    <row r="216" spans="1:8" ht="12.75" customHeight="1" x14ac:dyDescent="0.25">
      <c r="A216" s="185"/>
      <c r="B216" s="281" t="s">
        <v>10</v>
      </c>
      <c r="C216" s="607" t="str">
        <f>C11</f>
        <v>$1350.25/mo</v>
      </c>
      <c r="D216" s="296">
        <v>0</v>
      </c>
      <c r="E216" s="286"/>
    </row>
    <row r="217" spans="1:8" ht="12.75" customHeight="1" x14ac:dyDescent="0.25">
      <c r="A217" s="185"/>
      <c r="B217" s="281" t="s">
        <v>8</v>
      </c>
      <c r="C217" s="288" t="s">
        <v>350</v>
      </c>
      <c r="D217" s="296">
        <v>0</v>
      </c>
      <c r="E217" s="286"/>
    </row>
    <row r="218" spans="1:8" ht="12.75" customHeight="1" x14ac:dyDescent="0.25">
      <c r="A218" s="185"/>
      <c r="B218" s="281" t="s">
        <v>11</v>
      </c>
      <c r="C218" s="282">
        <f>C13</f>
        <v>4.0000000000000002E-4</v>
      </c>
      <c r="D218" s="296">
        <v>0</v>
      </c>
      <c r="E218" s="286"/>
    </row>
    <row r="219" spans="1:8" ht="12.75" customHeight="1" x14ac:dyDescent="0.25">
      <c r="A219" s="185"/>
      <c r="B219" s="281" t="s">
        <v>15</v>
      </c>
      <c r="C219" s="282">
        <f>C14</f>
        <v>2.2599999999999999E-2</v>
      </c>
      <c r="D219" s="296">
        <v>0</v>
      </c>
      <c r="E219" s="286"/>
    </row>
    <row r="220" spans="1:8" ht="12.75" customHeight="1" x14ac:dyDescent="0.25">
      <c r="A220" s="185"/>
      <c r="B220" s="281" t="s">
        <v>12</v>
      </c>
      <c r="C220" s="282">
        <f>C15</f>
        <v>1.03E-2</v>
      </c>
      <c r="D220" s="296">
        <v>0</v>
      </c>
      <c r="E220" s="286"/>
    </row>
    <row r="221" spans="1:8" ht="12.75" customHeight="1" x14ac:dyDescent="0.25">
      <c r="A221" s="185"/>
      <c r="B221" s="289" t="s">
        <v>231</v>
      </c>
      <c r="C221" s="287" t="s">
        <v>366</v>
      </c>
      <c r="D221" s="296">
        <v>0</v>
      </c>
      <c r="E221" s="286"/>
    </row>
    <row r="222" spans="1:8" ht="12.75" customHeight="1" x14ac:dyDescent="0.25">
      <c r="A222" s="185"/>
      <c r="B222" s="281" t="s">
        <v>725</v>
      </c>
      <c r="C222" s="282">
        <v>1.4500000000000001E-2</v>
      </c>
      <c r="D222" s="296">
        <v>0</v>
      </c>
      <c r="E222" s="286"/>
    </row>
    <row r="223" spans="1:8" ht="12.75" customHeight="1" x14ac:dyDescent="0.25">
      <c r="A223" s="185"/>
      <c r="B223" s="281" t="s">
        <v>119</v>
      </c>
      <c r="C223" s="292"/>
      <c r="D223" s="296">
        <v>0</v>
      </c>
      <c r="E223" s="286"/>
      <c r="G223" s="238"/>
    </row>
    <row r="224" spans="1:8" ht="12.75" customHeight="1" thickBot="1" x14ac:dyDescent="0.3">
      <c r="A224" s="309"/>
      <c r="B224" s="310"/>
      <c r="C224" s="311"/>
      <c r="D224" s="312"/>
      <c r="E224" s="867">
        <f>SUM(D208:D223)</f>
        <v>0</v>
      </c>
      <c r="G224" s="238">
        <f>'Sched-B1'!C16+'Sched-B1'!D16</f>
        <v>0</v>
      </c>
      <c r="H224" s="299">
        <f>E224-G224</f>
        <v>0</v>
      </c>
    </row>
    <row r="225" spans="1:8" ht="19.5" customHeight="1" thickBot="1" x14ac:dyDescent="0.3">
      <c r="A225" s="1099" t="s">
        <v>22</v>
      </c>
      <c r="B225" s="1100"/>
      <c r="C225" s="1100"/>
      <c r="D225" s="332"/>
      <c r="E225" s="869">
        <f>SUM(E224,E207,E190,E173,E156,E139,E122,E105,E88,E54,E37,E20+E71)</f>
        <v>54163461.469999999</v>
      </c>
      <c r="G225" s="238">
        <f>SUM(G3:G224)</f>
        <v>54163461.469999999</v>
      </c>
    </row>
    <row r="226" spans="1:8" ht="15.75" thickTop="1" x14ac:dyDescent="0.25">
      <c r="A226" s="210"/>
      <c r="B226" s="313"/>
      <c r="C226" s="314"/>
      <c r="D226" s="211"/>
      <c r="E226" s="315"/>
      <c r="G226" s="238">
        <f>'Sched-B1'!C17+'Sched-B1'!D17</f>
        <v>54163461.469999991</v>
      </c>
    </row>
    <row r="227" spans="1:8" x14ac:dyDescent="0.25">
      <c r="A227" s="608" t="s">
        <v>713</v>
      </c>
      <c r="B227" s="313"/>
      <c r="C227" s="314"/>
      <c r="D227" s="211"/>
      <c r="E227" s="315"/>
      <c r="G227" s="238">
        <f>G225-G226</f>
        <v>0</v>
      </c>
      <c r="H227" s="230" t="s">
        <v>480</v>
      </c>
    </row>
    <row r="228" spans="1:8" x14ac:dyDescent="0.25">
      <c r="B228" s="313"/>
      <c r="C228" s="314"/>
      <c r="D228" s="211"/>
      <c r="E228" s="315"/>
    </row>
    <row r="229" spans="1:8" x14ac:dyDescent="0.25">
      <c r="A229" s="212"/>
      <c r="B229" s="313"/>
      <c r="C229" s="314"/>
      <c r="D229" s="211"/>
      <c r="E229" s="315"/>
    </row>
    <row r="230" spans="1:8" x14ac:dyDescent="0.25">
      <c r="B230" s="313"/>
      <c r="C230" s="314"/>
      <c r="D230" s="211"/>
      <c r="E230" s="315"/>
    </row>
    <row r="231" spans="1:8" x14ac:dyDescent="0.25">
      <c r="B231" s="313"/>
      <c r="C231" s="314"/>
      <c r="D231" s="211"/>
      <c r="E231" s="315"/>
    </row>
    <row r="232" spans="1:8" x14ac:dyDescent="0.25">
      <c r="B232" s="313"/>
      <c r="C232" s="314"/>
      <c r="D232" s="211"/>
      <c r="E232" s="315"/>
    </row>
    <row r="233" spans="1:8" x14ac:dyDescent="0.25">
      <c r="B233" s="313"/>
      <c r="C233" s="314"/>
      <c r="D233" s="211"/>
      <c r="E233" s="315"/>
    </row>
    <row r="234" spans="1:8" x14ac:dyDescent="0.25">
      <c r="B234" s="313"/>
      <c r="C234" s="314"/>
      <c r="D234" s="211"/>
      <c r="E234" s="315"/>
    </row>
    <row r="235" spans="1:8" x14ac:dyDescent="0.25">
      <c r="B235" s="313"/>
      <c r="C235" s="314"/>
      <c r="D235" s="211"/>
      <c r="E235" s="315"/>
    </row>
    <row r="236" spans="1:8" x14ac:dyDescent="0.25">
      <c r="D236" s="316"/>
      <c r="E236" s="316"/>
    </row>
    <row r="237" spans="1:8" x14ac:dyDescent="0.25">
      <c r="A237" s="317"/>
      <c r="D237" s="316"/>
      <c r="E237" s="316"/>
    </row>
    <row r="238" spans="1:8" x14ac:dyDescent="0.25">
      <c r="D238" s="316"/>
      <c r="E238" s="316"/>
    </row>
    <row r="239" spans="1:8" x14ac:dyDescent="0.25">
      <c r="D239" s="316"/>
      <c r="E239" s="316"/>
    </row>
    <row r="240" spans="1:8" x14ac:dyDescent="0.25">
      <c r="D240" s="316"/>
      <c r="E240" s="316"/>
    </row>
    <row r="241" spans="4:5" x14ac:dyDescent="0.25">
      <c r="D241" s="316"/>
      <c r="E241" s="316"/>
    </row>
    <row r="242" spans="4:5" x14ac:dyDescent="0.25">
      <c r="D242" s="316"/>
      <c r="E242" s="316"/>
    </row>
    <row r="243" spans="4:5" x14ac:dyDescent="0.25">
      <c r="D243" s="316"/>
      <c r="E243" s="316"/>
    </row>
    <row r="244" spans="4:5" x14ac:dyDescent="0.25">
      <c r="D244" s="316"/>
      <c r="E244" s="316"/>
    </row>
    <row r="245" spans="4:5" x14ac:dyDescent="0.25">
      <c r="D245" s="316"/>
      <c r="E245" s="316"/>
    </row>
    <row r="246" spans="4:5" x14ac:dyDescent="0.25">
      <c r="D246" s="316"/>
      <c r="E246" s="316"/>
    </row>
    <row r="247" spans="4:5" x14ac:dyDescent="0.25">
      <c r="D247" s="316"/>
      <c r="E247" s="316"/>
    </row>
    <row r="248" spans="4:5" x14ac:dyDescent="0.25">
      <c r="D248" s="316"/>
      <c r="E248" s="316"/>
    </row>
    <row r="249" spans="4:5" x14ac:dyDescent="0.25">
      <c r="D249" s="316"/>
      <c r="E249" s="316"/>
    </row>
    <row r="250" spans="4:5" x14ac:dyDescent="0.25">
      <c r="D250" s="316"/>
      <c r="E250" s="316"/>
    </row>
    <row r="251" spans="4:5" x14ac:dyDescent="0.25">
      <c r="D251" s="316"/>
      <c r="E251" s="316"/>
    </row>
    <row r="252" spans="4:5" x14ac:dyDescent="0.25">
      <c r="D252" s="316"/>
      <c r="E252" s="316"/>
    </row>
    <row r="253" spans="4:5" x14ac:dyDescent="0.25">
      <c r="D253" s="316"/>
      <c r="E253" s="316"/>
    </row>
    <row r="254" spans="4:5" x14ac:dyDescent="0.25">
      <c r="D254" s="316"/>
      <c r="E254" s="316"/>
    </row>
    <row r="255" spans="4:5" x14ac:dyDescent="0.25">
      <c r="D255" s="316"/>
      <c r="E255" s="316"/>
    </row>
    <row r="256" spans="4:5" x14ac:dyDescent="0.25">
      <c r="D256" s="316"/>
      <c r="E256" s="316"/>
    </row>
    <row r="257" spans="4:5" x14ac:dyDescent="0.25">
      <c r="D257" s="316"/>
      <c r="E257" s="316"/>
    </row>
    <row r="258" spans="4:5" x14ac:dyDescent="0.25">
      <c r="D258" s="316"/>
      <c r="E258" s="316"/>
    </row>
    <row r="259" spans="4:5" x14ac:dyDescent="0.25">
      <c r="D259" s="316"/>
      <c r="E259" s="316"/>
    </row>
    <row r="260" spans="4:5" x14ac:dyDescent="0.25">
      <c r="D260" s="316"/>
      <c r="E260" s="316"/>
    </row>
    <row r="261" spans="4:5" x14ac:dyDescent="0.25">
      <c r="D261" s="316"/>
      <c r="E261" s="316"/>
    </row>
    <row r="262" spans="4:5" x14ac:dyDescent="0.25">
      <c r="D262" s="316"/>
      <c r="E262" s="316"/>
    </row>
    <row r="263" spans="4:5" x14ac:dyDescent="0.25">
      <c r="D263" s="316"/>
      <c r="E263" s="316"/>
    </row>
    <row r="264" spans="4:5" x14ac:dyDescent="0.25">
      <c r="D264" s="316"/>
      <c r="E264" s="316"/>
    </row>
    <row r="265" spans="4:5" x14ac:dyDescent="0.25">
      <c r="D265" s="316"/>
      <c r="E265" s="316"/>
    </row>
    <row r="266" spans="4:5" x14ac:dyDescent="0.25">
      <c r="D266" s="316"/>
      <c r="E266" s="316"/>
    </row>
    <row r="267" spans="4:5" x14ac:dyDescent="0.25">
      <c r="D267" s="316"/>
      <c r="E267" s="316"/>
    </row>
    <row r="268" spans="4:5" x14ac:dyDescent="0.25">
      <c r="D268" s="316"/>
      <c r="E268" s="316"/>
    </row>
    <row r="269" spans="4:5" x14ac:dyDescent="0.25">
      <c r="D269" s="316"/>
      <c r="E269" s="316"/>
    </row>
    <row r="270" spans="4:5" x14ac:dyDescent="0.25">
      <c r="D270" s="316"/>
      <c r="E270" s="316"/>
    </row>
    <row r="271" spans="4:5" x14ac:dyDescent="0.25">
      <c r="D271" s="316"/>
      <c r="E271" s="316"/>
    </row>
    <row r="272" spans="4:5" x14ac:dyDescent="0.25">
      <c r="D272" s="316"/>
      <c r="E272" s="316"/>
    </row>
    <row r="273" spans="4:5" x14ac:dyDescent="0.25">
      <c r="D273" s="316"/>
      <c r="E273" s="316"/>
    </row>
    <row r="274" spans="4:5" x14ac:dyDescent="0.25">
      <c r="D274" s="316"/>
      <c r="E274" s="316"/>
    </row>
  </sheetData>
  <mergeCells count="2">
    <mergeCell ref="A1:E1"/>
    <mergeCell ref="A225:C225"/>
  </mergeCells>
  <phoneticPr fontId="19" type="noConversion"/>
  <printOptions horizontalCentered="1"/>
  <pageMargins left="0.25" right="0.25" top="1.25" bottom="0.5" header="0.3" footer="0.3"/>
  <pageSetup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27"/>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G18" sqref="G18"/>
    </sheetView>
  </sheetViews>
  <sheetFormatPr defaultColWidth="9.140625" defaultRowHeight="12.75" x14ac:dyDescent="0.2"/>
  <cols>
    <col min="1" max="1" width="27" style="180" customWidth="1"/>
    <col min="2" max="2" width="31.42578125" style="180" bestFit="1" customWidth="1"/>
    <col min="3" max="3" width="13" style="180" customWidth="1"/>
    <col min="4" max="4" width="18.85546875" style="180" bestFit="1" customWidth="1"/>
    <col min="5" max="5" width="10.7109375" style="264" customWidth="1"/>
    <col min="6" max="6" width="17.7109375" style="180" customWidth="1"/>
    <col min="7" max="7" width="13.5703125" style="180" customWidth="1"/>
    <col min="8" max="16384" width="9.140625" style="180"/>
  </cols>
  <sheetData>
    <row r="1" spans="1:7" ht="31.5" customHeight="1" thickBot="1" x14ac:dyDescent="0.25">
      <c r="A1" s="1087" t="s">
        <v>121</v>
      </c>
      <c r="B1" s="1087"/>
      <c r="C1" s="1087"/>
      <c r="D1" s="1087"/>
    </row>
    <row r="2" spans="1:7" ht="33" thickTop="1" thickBot="1" x14ac:dyDescent="0.3">
      <c r="A2" s="337" t="s">
        <v>31</v>
      </c>
      <c r="B2" s="338" t="s">
        <v>32</v>
      </c>
      <c r="C2" s="338" t="s">
        <v>33</v>
      </c>
      <c r="D2" s="339" t="s">
        <v>4</v>
      </c>
      <c r="E2" s="718" t="s">
        <v>727</v>
      </c>
      <c r="F2" s="318"/>
    </row>
    <row r="3" spans="1:7" ht="16.5" thickTop="1" x14ac:dyDescent="0.25">
      <c r="A3" s="276" t="s">
        <v>34</v>
      </c>
      <c r="B3" s="271" t="s">
        <v>35</v>
      </c>
      <c r="C3" s="256">
        <f>23+3+9</f>
        <v>35</v>
      </c>
      <c r="D3" s="192">
        <v>16481619.66</v>
      </c>
      <c r="E3" s="264">
        <v>3041</v>
      </c>
      <c r="F3" s="227"/>
    </row>
    <row r="4" spans="1:7" ht="15.75" x14ac:dyDescent="0.25">
      <c r="A4" s="185"/>
      <c r="B4" s="271" t="s">
        <v>36</v>
      </c>
      <c r="C4" s="256"/>
      <c r="D4" s="192"/>
    </row>
    <row r="5" spans="1:7" ht="15.75" x14ac:dyDescent="0.25">
      <c r="A5" s="185"/>
      <c r="B5" s="271" t="s">
        <v>37</v>
      </c>
      <c r="C5" s="256" t="s">
        <v>115</v>
      </c>
      <c r="D5" s="319"/>
    </row>
    <row r="6" spans="1:7" ht="15.75" x14ac:dyDescent="0.25">
      <c r="A6" s="185"/>
      <c r="B6" s="271" t="s">
        <v>36</v>
      </c>
      <c r="C6" s="256"/>
      <c r="D6" s="192"/>
    </row>
    <row r="7" spans="1:7" ht="15.75" x14ac:dyDescent="0.25">
      <c r="A7" s="185"/>
      <c r="B7" s="271" t="s">
        <v>0</v>
      </c>
      <c r="C7" s="256"/>
      <c r="D7" s="192"/>
    </row>
    <row r="8" spans="1:7" ht="15.75" x14ac:dyDescent="0.25">
      <c r="A8" s="276" t="s">
        <v>38</v>
      </c>
      <c r="B8" s="271" t="s">
        <v>39</v>
      </c>
      <c r="C8" s="256">
        <f>5</f>
        <v>5</v>
      </c>
      <c r="D8" s="192">
        <v>360719.78</v>
      </c>
      <c r="E8" s="264">
        <v>3042</v>
      </c>
      <c r="F8" s="227"/>
    </row>
    <row r="9" spans="1:7" ht="15.75" x14ac:dyDescent="0.25">
      <c r="A9" s="185"/>
      <c r="B9" s="271" t="s">
        <v>40</v>
      </c>
      <c r="C9" s="256"/>
      <c r="D9" s="192"/>
    </row>
    <row r="10" spans="1:7" ht="15.75" x14ac:dyDescent="0.25">
      <c r="A10" s="185" t="s">
        <v>0</v>
      </c>
      <c r="B10" s="271" t="s">
        <v>122</v>
      </c>
      <c r="C10" s="256" t="s">
        <v>115</v>
      </c>
      <c r="D10" s="192"/>
    </row>
    <row r="11" spans="1:7" ht="15.75" x14ac:dyDescent="0.25">
      <c r="A11" s="185"/>
      <c r="B11" s="271" t="s">
        <v>40</v>
      </c>
      <c r="C11" s="256"/>
      <c r="D11" s="192"/>
    </row>
    <row r="12" spans="1:7" ht="15.75" x14ac:dyDescent="0.25">
      <c r="A12" s="185"/>
      <c r="B12" s="271" t="s">
        <v>0</v>
      </c>
      <c r="C12" s="256"/>
      <c r="D12" s="192"/>
    </row>
    <row r="13" spans="1:7" ht="15.75" x14ac:dyDescent="0.25">
      <c r="A13" s="276" t="s">
        <v>41</v>
      </c>
      <c r="B13" s="271" t="s">
        <v>35</v>
      </c>
      <c r="C13" s="256">
        <f>1+1+21</f>
        <v>23</v>
      </c>
      <c r="D13" s="320">
        <f>3391822.48+1312423.12+68500+116200</f>
        <v>4888945.5999999996</v>
      </c>
      <c r="E13" s="264">
        <v>3040</v>
      </c>
      <c r="F13" s="321" t="s">
        <v>848</v>
      </c>
      <c r="G13" s="180" t="s">
        <v>847</v>
      </c>
    </row>
    <row r="14" spans="1:7" ht="15.75" x14ac:dyDescent="0.25">
      <c r="A14" s="185"/>
      <c r="B14" s="271" t="s">
        <v>42</v>
      </c>
      <c r="C14" s="256"/>
      <c r="D14" s="192"/>
    </row>
    <row r="15" spans="1:7" ht="15.75" x14ac:dyDescent="0.25">
      <c r="A15" s="185"/>
      <c r="B15" s="271" t="s">
        <v>43</v>
      </c>
      <c r="C15" s="256"/>
      <c r="D15" s="192"/>
    </row>
    <row r="16" spans="1:7" ht="15.75" x14ac:dyDescent="0.25">
      <c r="A16" s="185"/>
      <c r="B16" s="271" t="s">
        <v>0</v>
      </c>
      <c r="C16" s="256"/>
      <c r="D16" s="192"/>
      <c r="F16" s="227"/>
    </row>
    <row r="17" spans="1:6" ht="15.75" x14ac:dyDescent="0.25">
      <c r="A17" s="276" t="s">
        <v>44</v>
      </c>
      <c r="B17" s="271" t="s">
        <v>39</v>
      </c>
      <c r="C17" s="256">
        <v>12</v>
      </c>
      <c r="D17" s="192">
        <f>5232590.93-3391822.48-1312423.12</f>
        <v>528345.32999999961</v>
      </c>
      <c r="E17" s="264">
        <v>3040</v>
      </c>
      <c r="F17" s="227"/>
    </row>
    <row r="18" spans="1:6" ht="15.75" x14ac:dyDescent="0.25">
      <c r="A18" s="276" t="s">
        <v>45</v>
      </c>
      <c r="B18" s="271" t="s">
        <v>46</v>
      </c>
      <c r="C18" s="256"/>
      <c r="D18" s="192"/>
      <c r="F18" s="227"/>
    </row>
    <row r="19" spans="1:6" ht="15.75" x14ac:dyDescent="0.25">
      <c r="A19" s="185"/>
      <c r="B19" s="271" t="s">
        <v>47</v>
      </c>
      <c r="C19" s="256"/>
      <c r="D19" s="192"/>
    </row>
    <row r="20" spans="1:6" ht="15.75" x14ac:dyDescent="0.25">
      <c r="A20" s="209"/>
      <c r="B20" s="271" t="s">
        <v>122</v>
      </c>
      <c r="C20" s="322" t="s">
        <v>115</v>
      </c>
      <c r="D20" s="323"/>
    </row>
    <row r="21" spans="1:6" ht="15.75" x14ac:dyDescent="0.25">
      <c r="A21" s="209"/>
      <c r="B21" s="271" t="s">
        <v>46</v>
      </c>
      <c r="C21" s="322"/>
      <c r="D21" s="324"/>
    </row>
    <row r="22" spans="1:6" ht="15.75" x14ac:dyDescent="0.25">
      <c r="A22" s="209"/>
      <c r="B22" s="271" t="s">
        <v>47</v>
      </c>
      <c r="C22" s="322"/>
      <c r="D22" s="324"/>
    </row>
    <row r="23" spans="1:6" ht="16.5" thickBot="1" x14ac:dyDescent="0.3">
      <c r="A23" s="305"/>
      <c r="B23" s="272"/>
      <c r="C23" s="325"/>
      <c r="D23" s="326"/>
    </row>
    <row r="24" spans="1:6" ht="16.5" thickBot="1" x14ac:dyDescent="0.3">
      <c r="A24" s="328" t="s">
        <v>48</v>
      </c>
      <c r="B24" s="329" t="s">
        <v>0</v>
      </c>
      <c r="C24" s="330">
        <f>SUM(C3:C23)</f>
        <v>75</v>
      </c>
      <c r="D24" s="782">
        <f>SUM(D3:D23)</f>
        <v>22259630.369999997</v>
      </c>
      <c r="F24" s="227"/>
    </row>
    <row r="25" spans="1:6" ht="13.5" thickTop="1" x14ac:dyDescent="0.2">
      <c r="A25" s="327"/>
    </row>
    <row r="26" spans="1:6" x14ac:dyDescent="0.2">
      <c r="A26" s="343" t="s">
        <v>849</v>
      </c>
    </row>
    <row r="27" spans="1:6" x14ac:dyDescent="0.2">
      <c r="A27" s="180" t="s">
        <v>0</v>
      </c>
    </row>
  </sheetData>
  <mergeCells count="1">
    <mergeCell ref="A1:D1"/>
  </mergeCells>
  <phoneticPr fontId="19" type="noConversion"/>
  <printOptions horizontalCentered="1"/>
  <pageMargins left="0.75" right="0.75" top="1.25" bottom="1" header="0.33" footer="0.5"/>
  <pageSetup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K1577"/>
  <sheetViews>
    <sheetView showGridLines="0" zoomScaleNormal="100" workbookViewId="0">
      <pane ySplit="2" topLeftCell="A111" activePane="bottomLeft" state="frozen"/>
      <selection pane="bottomLeft" activeCell="E4" sqref="E4"/>
    </sheetView>
  </sheetViews>
  <sheetFormatPr defaultColWidth="9.140625" defaultRowHeight="12.75" x14ac:dyDescent="0.2"/>
  <cols>
    <col min="1" max="1" width="24.85546875" style="870" customWidth="1"/>
    <col min="2" max="2" width="5.7109375" style="870" customWidth="1"/>
    <col min="3" max="3" width="25.42578125" style="870" bestFit="1" customWidth="1"/>
    <col min="4" max="4" width="15.42578125" style="923" customWidth="1"/>
    <col min="5" max="5" width="14.85546875" style="923" customWidth="1"/>
    <col min="6" max="6" width="19.5703125" style="924" customWidth="1"/>
    <col min="7" max="7" width="11.28515625" style="870" customWidth="1"/>
    <col min="8" max="8" width="15.7109375" style="870" customWidth="1"/>
    <col min="9" max="10" width="9.140625" style="870"/>
    <col min="11" max="11" width="14.5703125" style="870" customWidth="1"/>
    <col min="12" max="16384" width="9.140625" style="870"/>
  </cols>
  <sheetData>
    <row r="1" spans="1:8" ht="33" customHeight="1" thickBot="1" x14ac:dyDescent="0.25">
      <c r="A1" s="1105" t="s">
        <v>123</v>
      </c>
      <c r="B1" s="1105"/>
      <c r="C1" s="1105"/>
      <c r="D1" s="1105"/>
      <c r="E1" s="1105"/>
      <c r="F1" s="1105"/>
    </row>
    <row r="2" spans="1:8" ht="15" customHeight="1" thickTop="1" thickBot="1" x14ac:dyDescent="0.25">
      <c r="A2" s="871" t="s">
        <v>1</v>
      </c>
      <c r="B2" s="1101" t="s">
        <v>49</v>
      </c>
      <c r="C2" s="1102"/>
      <c r="D2" s="1103" t="s">
        <v>4</v>
      </c>
      <c r="E2" s="1104"/>
      <c r="F2" s="872" t="s">
        <v>27</v>
      </c>
      <c r="G2" s="873" t="s">
        <v>727</v>
      </c>
      <c r="H2" s="874" t="s">
        <v>586</v>
      </c>
    </row>
    <row r="3" spans="1:8" ht="12.75" customHeight="1" thickTop="1" x14ac:dyDescent="0.2">
      <c r="A3" s="875" t="s">
        <v>317</v>
      </c>
      <c r="B3" s="876" t="s">
        <v>50</v>
      </c>
      <c r="C3" s="877"/>
      <c r="D3" s="878"/>
      <c r="E3" s="879">
        <v>1844.87</v>
      </c>
      <c r="F3" s="880"/>
      <c r="G3" s="870">
        <v>2000</v>
      </c>
    </row>
    <row r="4" spans="1:8" ht="12.75" customHeight="1" x14ac:dyDescent="0.2">
      <c r="A4" s="564"/>
      <c r="B4" s="925" t="s">
        <v>728</v>
      </c>
      <c r="C4" s="881"/>
      <c r="D4" s="882"/>
      <c r="E4" s="929">
        <f>SUM(D5:D33)</f>
        <v>1911535.8600000006</v>
      </c>
      <c r="F4" s="883"/>
    </row>
    <row r="5" spans="1:8" ht="12.75" customHeight="1" x14ac:dyDescent="0.2">
      <c r="A5" s="564"/>
      <c r="B5" s="927" t="s">
        <v>729</v>
      </c>
      <c r="C5" s="881"/>
      <c r="D5" s="882">
        <v>1944</v>
      </c>
      <c r="E5" s="882"/>
      <c r="F5" s="883"/>
      <c r="G5" s="928" t="s">
        <v>756</v>
      </c>
    </row>
    <row r="6" spans="1:8" ht="12.75" customHeight="1" x14ac:dyDescent="0.2">
      <c r="A6" s="564"/>
      <c r="B6" s="927" t="s">
        <v>730</v>
      </c>
      <c r="C6" s="881"/>
      <c r="D6" s="882">
        <v>3231</v>
      </c>
      <c r="E6" s="882"/>
      <c r="F6" s="883"/>
      <c r="G6" s="928" t="s">
        <v>757</v>
      </c>
    </row>
    <row r="7" spans="1:8" ht="12.75" customHeight="1" x14ac:dyDescent="0.2">
      <c r="A7" s="564"/>
      <c r="B7" s="927" t="s">
        <v>731</v>
      </c>
      <c r="C7" s="881"/>
      <c r="D7" s="882">
        <v>1559.16</v>
      </c>
      <c r="E7" s="882"/>
      <c r="F7" s="883"/>
      <c r="G7" s="928" t="s">
        <v>758</v>
      </c>
    </row>
    <row r="8" spans="1:8" ht="12.75" customHeight="1" x14ac:dyDescent="0.2">
      <c r="A8" s="564"/>
      <c r="B8" s="927" t="s">
        <v>732</v>
      </c>
      <c r="C8" s="881"/>
      <c r="D8" s="882">
        <v>2879.6</v>
      </c>
      <c r="E8" s="882"/>
      <c r="F8" s="883"/>
      <c r="G8" s="928" t="s">
        <v>759</v>
      </c>
    </row>
    <row r="9" spans="1:8" ht="12.75" customHeight="1" x14ac:dyDescent="0.2">
      <c r="A9" s="564"/>
      <c r="B9" s="927" t="s">
        <v>733</v>
      </c>
      <c r="C9" s="881"/>
      <c r="D9" s="882">
        <v>0</v>
      </c>
      <c r="E9" s="882"/>
      <c r="F9" s="883"/>
      <c r="G9" s="928" t="s">
        <v>760</v>
      </c>
    </row>
    <row r="10" spans="1:8" ht="12.75" customHeight="1" x14ac:dyDescent="0.2">
      <c r="A10" s="564"/>
      <c r="B10" s="937" t="s">
        <v>51</v>
      </c>
      <c r="C10" s="881"/>
      <c r="D10" s="882">
        <v>1475604.93</v>
      </c>
      <c r="E10" s="882"/>
      <c r="F10" s="883"/>
      <c r="G10" s="928">
        <v>2100</v>
      </c>
      <c r="H10" s="676" t="s">
        <v>814</v>
      </c>
    </row>
    <row r="11" spans="1:8" ht="12.75" customHeight="1" x14ac:dyDescent="0.2">
      <c r="A11" s="564"/>
      <c r="B11" s="927" t="s">
        <v>734</v>
      </c>
      <c r="C11" s="881"/>
      <c r="D11" s="882">
        <v>304.5</v>
      </c>
      <c r="E11" s="882"/>
      <c r="F11" s="883"/>
      <c r="G11" s="928" t="s">
        <v>761</v>
      </c>
    </row>
    <row r="12" spans="1:8" ht="12.75" customHeight="1" x14ac:dyDescent="0.2">
      <c r="A12" s="564"/>
      <c r="B12" s="927" t="s">
        <v>735</v>
      </c>
      <c r="C12" s="881"/>
      <c r="D12" s="882">
        <v>76260.3</v>
      </c>
      <c r="E12" s="882"/>
      <c r="F12" s="883"/>
      <c r="G12" s="928" t="s">
        <v>762</v>
      </c>
    </row>
    <row r="13" spans="1:8" ht="12.75" customHeight="1" x14ac:dyDescent="0.2">
      <c r="A13" s="564"/>
      <c r="B13" s="927" t="s">
        <v>736</v>
      </c>
      <c r="C13" s="881"/>
      <c r="D13" s="882">
        <v>2123.6799999999998</v>
      </c>
      <c r="E13" s="882"/>
      <c r="F13" s="883"/>
      <c r="G13" s="928" t="s">
        <v>763</v>
      </c>
    </row>
    <row r="14" spans="1:8" ht="12.75" customHeight="1" x14ac:dyDescent="0.2">
      <c r="A14" s="564"/>
      <c r="B14" s="927" t="s">
        <v>737</v>
      </c>
      <c r="C14" s="881"/>
      <c r="D14" s="882">
        <v>11040.12</v>
      </c>
      <c r="E14" s="882"/>
      <c r="F14" s="883"/>
      <c r="G14" s="928" t="s">
        <v>764</v>
      </c>
    </row>
    <row r="15" spans="1:8" ht="12.75" customHeight="1" x14ac:dyDescent="0.2">
      <c r="A15" s="564"/>
      <c r="B15" s="927" t="s">
        <v>738</v>
      </c>
      <c r="C15" s="881"/>
      <c r="D15" s="882">
        <v>1362.94</v>
      </c>
      <c r="E15" s="882"/>
      <c r="F15" s="883"/>
      <c r="G15" s="928" t="s">
        <v>765</v>
      </c>
    </row>
    <row r="16" spans="1:8" ht="12.75" customHeight="1" x14ac:dyDescent="0.2">
      <c r="A16" s="564"/>
      <c r="B16" s="927" t="s">
        <v>739</v>
      </c>
      <c r="C16" s="881"/>
      <c r="D16" s="882">
        <v>315.61</v>
      </c>
      <c r="E16" s="882"/>
      <c r="F16" s="883"/>
      <c r="G16" s="928" t="s">
        <v>766</v>
      </c>
    </row>
    <row r="17" spans="1:8" ht="12.75" customHeight="1" x14ac:dyDescent="0.2">
      <c r="A17" s="564"/>
      <c r="B17" s="927" t="s">
        <v>740</v>
      </c>
      <c r="C17" s="881"/>
      <c r="D17" s="882">
        <v>1200</v>
      </c>
      <c r="E17" s="882"/>
      <c r="F17" s="883"/>
      <c r="G17" s="928" t="s">
        <v>767</v>
      </c>
    </row>
    <row r="18" spans="1:8" ht="12.75" customHeight="1" x14ac:dyDescent="0.2">
      <c r="A18" s="564"/>
      <c r="B18" s="927" t="s">
        <v>741</v>
      </c>
      <c r="C18" s="881"/>
      <c r="D18" s="882">
        <v>1959.78</v>
      </c>
      <c r="E18" s="882"/>
      <c r="F18" s="883"/>
      <c r="G18" s="928" t="s">
        <v>768</v>
      </c>
    </row>
    <row r="19" spans="1:8" ht="12.75" customHeight="1" x14ac:dyDescent="0.2">
      <c r="A19" s="564"/>
      <c r="B19" s="927" t="s">
        <v>742</v>
      </c>
      <c r="C19" s="881"/>
      <c r="D19" s="882">
        <v>3345.33</v>
      </c>
      <c r="E19" s="882"/>
      <c r="F19" s="883"/>
      <c r="G19" s="928" t="s">
        <v>769</v>
      </c>
    </row>
    <row r="20" spans="1:8" ht="12.75" customHeight="1" x14ac:dyDescent="0.2">
      <c r="A20" s="564"/>
      <c r="B20" s="927" t="s">
        <v>743</v>
      </c>
      <c r="C20" s="881"/>
      <c r="D20" s="882">
        <v>8005.92</v>
      </c>
      <c r="E20" s="882"/>
      <c r="F20" s="883"/>
      <c r="G20" s="928" t="s">
        <v>770</v>
      </c>
    </row>
    <row r="21" spans="1:8" ht="12.75" customHeight="1" x14ac:dyDescent="0.2">
      <c r="A21" s="564"/>
      <c r="B21" s="927" t="s">
        <v>744</v>
      </c>
      <c r="C21" s="881"/>
      <c r="D21" s="882">
        <v>12000</v>
      </c>
      <c r="E21" s="882"/>
      <c r="F21" s="883"/>
      <c r="G21" s="928" t="s">
        <v>771</v>
      </c>
    </row>
    <row r="22" spans="1:8" ht="12.75" customHeight="1" x14ac:dyDescent="0.2">
      <c r="A22" s="564"/>
      <c r="B22" s="927" t="s">
        <v>745</v>
      </c>
      <c r="C22" s="881"/>
      <c r="D22" s="882">
        <v>49794.33</v>
      </c>
      <c r="E22" s="882"/>
      <c r="F22" s="883"/>
      <c r="G22" s="928" t="s">
        <v>772</v>
      </c>
    </row>
    <row r="23" spans="1:8" ht="12.75" customHeight="1" x14ac:dyDescent="0.2">
      <c r="A23" s="564"/>
      <c r="B23" s="927" t="s">
        <v>746</v>
      </c>
      <c r="C23" s="881"/>
      <c r="D23" s="882">
        <v>3879.25</v>
      </c>
      <c r="E23" s="882"/>
      <c r="F23" s="883"/>
      <c r="G23" s="928" t="s">
        <v>773</v>
      </c>
    </row>
    <row r="24" spans="1:8" ht="12.75" customHeight="1" x14ac:dyDescent="0.2">
      <c r="A24" s="564"/>
      <c r="B24" s="927" t="s">
        <v>747</v>
      </c>
      <c r="C24" s="881"/>
      <c r="D24" s="882">
        <v>11506.3</v>
      </c>
      <c r="E24" s="882"/>
      <c r="F24" s="883"/>
      <c r="G24" s="928" t="s">
        <v>774</v>
      </c>
    </row>
    <row r="25" spans="1:8" ht="12.75" customHeight="1" x14ac:dyDescent="0.2">
      <c r="A25" s="564"/>
      <c r="B25" s="927" t="s">
        <v>748</v>
      </c>
      <c r="C25" s="881"/>
      <c r="D25" s="882">
        <v>2283.5</v>
      </c>
      <c r="E25" s="882"/>
      <c r="F25" s="883"/>
      <c r="G25" s="928" t="s">
        <v>775</v>
      </c>
    </row>
    <row r="26" spans="1:8" ht="12.75" customHeight="1" x14ac:dyDescent="0.2">
      <c r="A26" s="564"/>
      <c r="B26" s="927" t="s">
        <v>749</v>
      </c>
      <c r="C26" s="881"/>
      <c r="D26" s="882">
        <v>65105.85</v>
      </c>
      <c r="E26" s="882"/>
      <c r="F26" s="883"/>
      <c r="G26" s="928" t="s">
        <v>776</v>
      </c>
    </row>
    <row r="27" spans="1:8" ht="12.75" customHeight="1" x14ac:dyDescent="0.2">
      <c r="A27" s="564"/>
      <c r="B27" s="927" t="s">
        <v>750</v>
      </c>
      <c r="C27" s="881"/>
      <c r="D27" s="882">
        <v>3219.61</v>
      </c>
      <c r="E27" s="882"/>
      <c r="F27" s="883"/>
      <c r="G27" s="928" t="s">
        <v>777</v>
      </c>
    </row>
    <row r="28" spans="1:8" ht="12.75" customHeight="1" x14ac:dyDescent="0.2">
      <c r="A28" s="564"/>
      <c r="B28" s="927" t="s">
        <v>751</v>
      </c>
      <c r="C28" s="881"/>
      <c r="D28" s="882">
        <v>579.30999999999995</v>
      </c>
      <c r="E28" s="882"/>
      <c r="F28" s="883"/>
      <c r="G28" s="928" t="s">
        <v>778</v>
      </c>
    </row>
    <row r="29" spans="1:8" ht="12.75" customHeight="1" x14ac:dyDescent="0.2">
      <c r="A29" s="564"/>
      <c r="B29" s="927" t="s">
        <v>752</v>
      </c>
      <c r="C29" s="881"/>
      <c r="D29" s="882">
        <v>1200.32</v>
      </c>
      <c r="E29" s="882"/>
      <c r="F29" s="883"/>
      <c r="G29" s="928" t="s">
        <v>779</v>
      </c>
    </row>
    <row r="30" spans="1:8" ht="12.75" customHeight="1" x14ac:dyDescent="0.2">
      <c r="A30" s="564"/>
      <c r="B30" s="927" t="s">
        <v>753</v>
      </c>
      <c r="C30" s="881"/>
      <c r="D30" s="882">
        <v>170139.28</v>
      </c>
      <c r="E30" s="882"/>
      <c r="F30" s="883"/>
      <c r="G30" s="928" t="s">
        <v>780</v>
      </c>
      <c r="H30" s="885"/>
    </row>
    <row r="31" spans="1:8" ht="12.75" customHeight="1" x14ac:dyDescent="0.2">
      <c r="A31" s="564"/>
      <c r="B31" s="927" t="s">
        <v>754</v>
      </c>
      <c r="C31" s="881"/>
      <c r="D31" s="882">
        <v>687.24</v>
      </c>
      <c r="E31" s="882"/>
      <c r="F31" s="883"/>
      <c r="G31" s="928" t="s">
        <v>781</v>
      </c>
    </row>
    <row r="32" spans="1:8" ht="12.75" customHeight="1" x14ac:dyDescent="0.2">
      <c r="A32" s="564"/>
      <c r="B32" s="927" t="s">
        <v>755</v>
      </c>
      <c r="C32" s="881"/>
      <c r="D32" s="882">
        <v>4</v>
      </c>
      <c r="E32" s="882"/>
      <c r="F32" s="883"/>
      <c r="G32" s="928" t="s">
        <v>782</v>
      </c>
      <c r="H32" s="885"/>
    </row>
    <row r="33" spans="1:8" ht="12.75" customHeight="1" x14ac:dyDescent="0.2">
      <c r="A33" s="564"/>
      <c r="B33" s="884"/>
      <c r="C33" s="926"/>
      <c r="D33" s="882"/>
      <c r="E33" s="882"/>
      <c r="F33" s="883"/>
    </row>
    <row r="34" spans="1:8" ht="12.75" customHeight="1" x14ac:dyDescent="0.2">
      <c r="A34" s="564"/>
      <c r="B34" s="930" t="s">
        <v>326</v>
      </c>
      <c r="D34" s="882">
        <v>529028.09</v>
      </c>
      <c r="E34" s="929">
        <f>SUM(D34)</f>
        <v>529028.09</v>
      </c>
      <c r="F34" s="883"/>
      <c r="G34" s="870">
        <v>3001</v>
      </c>
      <c r="H34" s="885"/>
    </row>
    <row r="35" spans="1:8" ht="12.75" customHeight="1" x14ac:dyDescent="0.2">
      <c r="A35" s="564"/>
      <c r="B35" s="931" t="s">
        <v>481</v>
      </c>
      <c r="C35" s="887"/>
      <c r="D35" s="882"/>
      <c r="E35" s="929">
        <f>SUM(D36:D41)</f>
        <v>2507653.8900000006</v>
      </c>
      <c r="F35" s="883"/>
    </row>
    <row r="36" spans="1:8" ht="12.75" customHeight="1" x14ac:dyDescent="0.2">
      <c r="A36" s="564"/>
      <c r="B36" s="884"/>
      <c r="C36" s="886" t="s">
        <v>327</v>
      </c>
      <c r="D36" s="882">
        <v>373418.73</v>
      </c>
      <c r="E36" s="882"/>
      <c r="F36" s="883"/>
      <c r="G36" s="870">
        <v>4000</v>
      </c>
    </row>
    <row r="37" spans="1:8" ht="12.75" customHeight="1" x14ac:dyDescent="0.2">
      <c r="A37" s="564"/>
      <c r="B37" s="884"/>
      <c r="C37" s="886" t="s">
        <v>328</v>
      </c>
      <c r="D37" s="882">
        <v>0</v>
      </c>
      <c r="E37" s="882"/>
      <c r="F37" s="883"/>
    </row>
    <row r="38" spans="1:8" ht="12.75" customHeight="1" x14ac:dyDescent="0.2">
      <c r="A38" s="564"/>
      <c r="B38" s="884"/>
      <c r="C38" s="886" t="s">
        <v>329</v>
      </c>
      <c r="D38" s="882">
        <v>1848395.76</v>
      </c>
      <c r="E38" s="882"/>
      <c r="F38" s="883"/>
    </row>
    <row r="39" spans="1:8" ht="12.75" customHeight="1" x14ac:dyDescent="0.2">
      <c r="A39" s="564"/>
      <c r="B39" s="884"/>
      <c r="C39" s="886" t="s">
        <v>330</v>
      </c>
      <c r="D39" s="882">
        <v>7003.68</v>
      </c>
      <c r="E39" s="882"/>
      <c r="F39" s="883"/>
    </row>
    <row r="40" spans="1:8" ht="12.75" customHeight="1" x14ac:dyDescent="0.2">
      <c r="A40" s="564"/>
      <c r="B40" s="884"/>
      <c r="C40" s="887" t="s">
        <v>331</v>
      </c>
      <c r="D40" s="882">
        <v>78693.47</v>
      </c>
      <c r="E40" s="882"/>
      <c r="F40" s="883"/>
    </row>
    <row r="41" spans="1:8" ht="12.75" customHeight="1" x14ac:dyDescent="0.2">
      <c r="A41" s="564"/>
      <c r="B41" s="884"/>
      <c r="C41" s="887" t="s">
        <v>133</v>
      </c>
      <c r="D41" s="882">
        <v>200142.25</v>
      </c>
      <c r="E41" s="882"/>
      <c r="F41" s="883"/>
    </row>
    <row r="42" spans="1:8" ht="12.75" customHeight="1" x14ac:dyDescent="0.2">
      <c r="A42" s="888"/>
      <c r="B42" s="889" t="s">
        <v>332</v>
      </c>
      <c r="C42" s="934"/>
      <c r="D42" s="882"/>
      <c r="E42" s="891"/>
      <c r="F42" s="892"/>
    </row>
    <row r="43" spans="1:8" ht="12.75" customHeight="1" x14ac:dyDescent="0.2">
      <c r="A43" s="888"/>
      <c r="B43" s="933" t="s">
        <v>333</v>
      </c>
      <c r="D43" s="882">
        <v>0</v>
      </c>
      <c r="E43" s="932">
        <f>D43</f>
        <v>0</v>
      </c>
      <c r="F43" s="892"/>
      <c r="G43" s="870">
        <v>5000</v>
      </c>
    </row>
    <row r="44" spans="1:8" ht="12.75" customHeight="1" thickBot="1" x14ac:dyDescent="0.25">
      <c r="A44" s="893"/>
      <c r="B44" s="894"/>
      <c r="C44" s="895"/>
      <c r="D44" s="896"/>
      <c r="E44" s="897"/>
      <c r="F44" s="935">
        <f>SUM(E3:E43)</f>
        <v>4950062.7100000009</v>
      </c>
      <c r="H44" s="898">
        <f>'Sched-B1'!B4+'Sched-B2'!E20+'Sched-D1'!F44-29050522.97-1475604.93</f>
        <v>3.4924596548080444E-9</v>
      </c>
    </row>
    <row r="45" spans="1:8" ht="12.75" customHeight="1" x14ac:dyDescent="0.2">
      <c r="A45" s="875" t="s">
        <v>784</v>
      </c>
      <c r="B45" s="876" t="s">
        <v>50</v>
      </c>
      <c r="C45" s="877"/>
      <c r="D45" s="878"/>
      <c r="E45" s="879">
        <v>15602.94</v>
      </c>
      <c r="F45" s="880"/>
    </row>
    <row r="46" spans="1:8" ht="12.75" customHeight="1" x14ac:dyDescent="0.2">
      <c r="A46" s="564"/>
      <c r="B46" s="925" t="s">
        <v>728</v>
      </c>
      <c r="C46" s="881"/>
      <c r="D46" s="882"/>
      <c r="E46" s="929">
        <f>SUM(D47:D78)</f>
        <v>826735.76000000013</v>
      </c>
      <c r="F46" s="883"/>
      <c r="H46" s="885">
        <f>E46+24327.27</f>
        <v>851063.03000000014</v>
      </c>
    </row>
    <row r="47" spans="1:8" ht="12.75" customHeight="1" x14ac:dyDescent="0.2">
      <c r="A47" s="564"/>
      <c r="B47" s="937" t="s">
        <v>253</v>
      </c>
      <c r="C47" s="676"/>
      <c r="D47" s="938">
        <v>-24327.27</v>
      </c>
      <c r="E47" s="882"/>
      <c r="F47" s="883"/>
      <c r="H47" s="885">
        <f>H46-E46</f>
        <v>24327.270000000019</v>
      </c>
    </row>
    <row r="48" spans="1:8" ht="12.75" customHeight="1" x14ac:dyDescent="0.2">
      <c r="A48" s="564"/>
      <c r="B48" s="927" t="s">
        <v>729</v>
      </c>
      <c r="C48" s="881"/>
      <c r="D48" s="882">
        <v>0</v>
      </c>
      <c r="E48" s="882"/>
      <c r="F48" s="883"/>
      <c r="G48" s="928" t="s">
        <v>756</v>
      </c>
    </row>
    <row r="49" spans="1:7" ht="12.75" customHeight="1" x14ac:dyDescent="0.2">
      <c r="A49" s="564"/>
      <c r="B49" s="927" t="s">
        <v>730</v>
      </c>
      <c r="C49" s="881"/>
      <c r="D49" s="882">
        <v>919</v>
      </c>
      <c r="E49" s="882"/>
      <c r="F49" s="883"/>
      <c r="G49" s="928" t="s">
        <v>757</v>
      </c>
    </row>
    <row r="50" spans="1:7" ht="12.75" customHeight="1" x14ac:dyDescent="0.2">
      <c r="A50" s="564"/>
      <c r="B50" s="927" t="s">
        <v>731</v>
      </c>
      <c r="C50" s="881"/>
      <c r="D50" s="882">
        <v>82.85</v>
      </c>
      <c r="E50" s="882"/>
      <c r="F50" s="883"/>
      <c r="G50" s="928" t="s">
        <v>758</v>
      </c>
    </row>
    <row r="51" spans="1:7" ht="12.75" customHeight="1" x14ac:dyDescent="0.2">
      <c r="A51" s="564"/>
      <c r="B51" s="927" t="s">
        <v>732</v>
      </c>
      <c r="C51" s="881"/>
      <c r="D51" s="882">
        <v>0</v>
      </c>
      <c r="E51" s="882"/>
      <c r="F51" s="883"/>
      <c r="G51" s="928" t="s">
        <v>759</v>
      </c>
    </row>
    <row r="52" spans="1:7" ht="12.75" customHeight="1" x14ac:dyDescent="0.2">
      <c r="A52" s="564"/>
      <c r="B52" s="927" t="s">
        <v>733</v>
      </c>
      <c r="C52" s="881"/>
      <c r="D52" s="882">
        <v>0</v>
      </c>
      <c r="E52" s="882"/>
      <c r="F52" s="883"/>
      <c r="G52" s="928" t="s">
        <v>760</v>
      </c>
    </row>
    <row r="53" spans="1:7" ht="12.75" customHeight="1" x14ac:dyDescent="0.2">
      <c r="A53" s="564"/>
      <c r="B53" s="937" t="s">
        <v>51</v>
      </c>
      <c r="C53" s="881"/>
      <c r="D53" s="882">
        <v>727378.1</v>
      </c>
      <c r="E53" s="882"/>
      <c r="F53" s="883"/>
      <c r="G53" s="928"/>
    </row>
    <row r="54" spans="1:7" ht="12.75" customHeight="1" x14ac:dyDescent="0.2">
      <c r="A54" s="564"/>
      <c r="B54" s="927" t="s">
        <v>734</v>
      </c>
      <c r="C54" s="881"/>
      <c r="D54" s="882">
        <v>0</v>
      </c>
      <c r="E54" s="882"/>
      <c r="F54" s="883"/>
      <c r="G54" s="928" t="s">
        <v>761</v>
      </c>
    </row>
    <row r="55" spans="1:7" ht="12.75" customHeight="1" x14ac:dyDescent="0.2">
      <c r="A55" s="564"/>
      <c r="B55" s="927" t="s">
        <v>735</v>
      </c>
      <c r="C55" s="881"/>
      <c r="D55" s="882">
        <v>12520.18</v>
      </c>
      <c r="E55" s="882"/>
      <c r="F55" s="883"/>
      <c r="G55" s="928" t="s">
        <v>762</v>
      </c>
    </row>
    <row r="56" spans="1:7" ht="12.75" customHeight="1" x14ac:dyDescent="0.2">
      <c r="A56" s="564"/>
      <c r="B56" s="927" t="s">
        <v>785</v>
      </c>
      <c r="C56" s="881"/>
      <c r="D56" s="882">
        <v>701.4</v>
      </c>
      <c r="E56" s="882"/>
      <c r="F56" s="883"/>
      <c r="G56" s="928">
        <v>3034</v>
      </c>
    </row>
    <row r="57" spans="1:7" ht="12.75" customHeight="1" x14ac:dyDescent="0.2">
      <c r="A57" s="564"/>
      <c r="B57" s="927" t="s">
        <v>736</v>
      </c>
      <c r="C57" s="881"/>
      <c r="D57" s="882">
        <v>4677.45</v>
      </c>
      <c r="E57" s="882"/>
      <c r="F57" s="883"/>
      <c r="G57" s="928" t="s">
        <v>763</v>
      </c>
    </row>
    <row r="58" spans="1:7" ht="12.75" customHeight="1" x14ac:dyDescent="0.2">
      <c r="A58" s="564"/>
      <c r="B58" s="927" t="s">
        <v>737</v>
      </c>
      <c r="C58" s="881"/>
      <c r="D58" s="882">
        <v>6738.59</v>
      </c>
      <c r="E58" s="882"/>
      <c r="F58" s="883"/>
      <c r="G58" s="928" t="s">
        <v>764</v>
      </c>
    </row>
    <row r="59" spans="1:7" ht="12.75" customHeight="1" x14ac:dyDescent="0.2">
      <c r="A59" s="564"/>
      <c r="B59" s="927" t="s">
        <v>738</v>
      </c>
      <c r="C59" s="881"/>
      <c r="D59" s="882">
        <v>9543.7000000000007</v>
      </c>
      <c r="E59" s="882"/>
      <c r="F59" s="883"/>
      <c r="G59" s="928" t="s">
        <v>765</v>
      </c>
    </row>
    <row r="60" spans="1:7" ht="12.75" customHeight="1" x14ac:dyDescent="0.2">
      <c r="A60" s="564"/>
      <c r="B60" s="927" t="s">
        <v>739</v>
      </c>
      <c r="C60" s="881"/>
      <c r="D60" s="882">
        <v>593.4</v>
      </c>
      <c r="E60" s="882"/>
      <c r="F60" s="883"/>
      <c r="G60" s="928" t="s">
        <v>766</v>
      </c>
    </row>
    <row r="61" spans="1:7" ht="12.75" customHeight="1" x14ac:dyDescent="0.2">
      <c r="A61" s="564"/>
      <c r="B61" s="927" t="s">
        <v>740</v>
      </c>
      <c r="C61" s="881"/>
      <c r="D61" s="882">
        <v>0</v>
      </c>
      <c r="E61" s="882"/>
      <c r="F61" s="883"/>
      <c r="G61" s="928" t="s">
        <v>767</v>
      </c>
    </row>
    <row r="62" spans="1:7" ht="12.75" customHeight="1" x14ac:dyDescent="0.2">
      <c r="A62" s="564"/>
      <c r="B62" s="927" t="s">
        <v>741</v>
      </c>
      <c r="C62" s="881"/>
      <c r="D62" s="882">
        <v>0</v>
      </c>
      <c r="E62" s="882"/>
      <c r="F62" s="883"/>
      <c r="G62" s="928" t="s">
        <v>768</v>
      </c>
    </row>
    <row r="63" spans="1:7" ht="12.75" customHeight="1" x14ac:dyDescent="0.2">
      <c r="A63" s="564"/>
      <c r="B63" s="927" t="s">
        <v>742</v>
      </c>
      <c r="C63" s="881"/>
      <c r="D63" s="882">
        <v>18888.53</v>
      </c>
      <c r="E63" s="882"/>
      <c r="F63" s="883"/>
      <c r="G63" s="928" t="s">
        <v>769</v>
      </c>
    </row>
    <row r="64" spans="1:7" ht="12.75" customHeight="1" x14ac:dyDescent="0.2">
      <c r="A64" s="564"/>
      <c r="B64" s="927" t="s">
        <v>743</v>
      </c>
      <c r="C64" s="881"/>
      <c r="D64" s="882">
        <v>133.68</v>
      </c>
      <c r="E64" s="882"/>
      <c r="F64" s="883"/>
      <c r="G64" s="928" t="s">
        <v>770</v>
      </c>
    </row>
    <row r="65" spans="1:8" ht="12.75" customHeight="1" x14ac:dyDescent="0.2">
      <c r="A65" s="564"/>
      <c r="B65" s="927" t="s">
        <v>744</v>
      </c>
      <c r="C65" s="881"/>
      <c r="D65" s="882">
        <v>4000</v>
      </c>
      <c r="E65" s="882"/>
      <c r="F65" s="883"/>
      <c r="G65" s="928" t="s">
        <v>771</v>
      </c>
    </row>
    <row r="66" spans="1:8" ht="12.75" customHeight="1" x14ac:dyDescent="0.2">
      <c r="A66" s="564"/>
      <c r="B66" s="927" t="s">
        <v>786</v>
      </c>
      <c r="C66" s="881"/>
      <c r="D66" s="882">
        <v>437.5</v>
      </c>
      <c r="E66" s="882"/>
      <c r="F66" s="883"/>
      <c r="G66" s="928">
        <v>3048</v>
      </c>
    </row>
    <row r="67" spans="1:8" ht="12.75" customHeight="1" x14ac:dyDescent="0.2">
      <c r="A67" s="564"/>
      <c r="B67" s="927" t="s">
        <v>745</v>
      </c>
      <c r="C67" s="881"/>
      <c r="D67" s="882">
        <v>180</v>
      </c>
      <c r="E67" s="882"/>
      <c r="F67" s="883"/>
      <c r="G67" s="928" t="s">
        <v>772</v>
      </c>
    </row>
    <row r="68" spans="1:8" ht="12.75" customHeight="1" x14ac:dyDescent="0.2">
      <c r="A68" s="564"/>
      <c r="B68" s="927" t="s">
        <v>746</v>
      </c>
      <c r="C68" s="881"/>
      <c r="D68" s="882">
        <v>5150.75</v>
      </c>
      <c r="E68" s="882"/>
      <c r="F68" s="883"/>
      <c r="G68" s="928" t="s">
        <v>773</v>
      </c>
    </row>
    <row r="69" spans="1:8" ht="12.75" customHeight="1" x14ac:dyDescent="0.2">
      <c r="A69" s="564"/>
      <c r="B69" s="927" t="s">
        <v>747</v>
      </c>
      <c r="C69" s="881"/>
      <c r="D69" s="882">
        <v>3063.62</v>
      </c>
      <c r="E69" s="882"/>
      <c r="F69" s="883"/>
      <c r="G69" s="928" t="s">
        <v>774</v>
      </c>
    </row>
    <row r="70" spans="1:8" ht="12.75" customHeight="1" x14ac:dyDescent="0.2">
      <c r="A70" s="564"/>
      <c r="B70" s="927" t="s">
        <v>748</v>
      </c>
      <c r="C70" s="881"/>
      <c r="D70" s="882">
        <v>459</v>
      </c>
      <c r="E70" s="882"/>
      <c r="F70" s="883"/>
      <c r="G70" s="928" t="s">
        <v>775</v>
      </c>
    </row>
    <row r="71" spans="1:8" ht="12.75" customHeight="1" x14ac:dyDescent="0.2">
      <c r="A71" s="564"/>
      <c r="B71" s="927" t="s">
        <v>749</v>
      </c>
      <c r="C71" s="881"/>
      <c r="D71" s="882">
        <v>8468.15</v>
      </c>
      <c r="E71" s="882"/>
      <c r="F71" s="883"/>
      <c r="G71" s="928" t="s">
        <v>776</v>
      </c>
    </row>
    <row r="72" spans="1:8" ht="12.75" customHeight="1" x14ac:dyDescent="0.2">
      <c r="A72" s="564"/>
      <c r="B72" s="927" t="s">
        <v>750</v>
      </c>
      <c r="C72" s="881"/>
      <c r="D72" s="882">
        <v>1253.28</v>
      </c>
      <c r="E72" s="882"/>
      <c r="F72" s="883"/>
      <c r="G72" s="928" t="s">
        <v>777</v>
      </c>
    </row>
    <row r="73" spans="1:8" ht="12.75" customHeight="1" x14ac:dyDescent="0.2">
      <c r="A73" s="564"/>
      <c r="B73" s="927" t="s">
        <v>787</v>
      </c>
      <c r="C73" s="881"/>
      <c r="D73" s="882">
        <v>1022.5</v>
      </c>
      <c r="E73" s="882"/>
      <c r="F73" s="883"/>
      <c r="G73" s="928">
        <v>3061</v>
      </c>
    </row>
    <row r="74" spans="1:8" ht="12.75" customHeight="1" x14ac:dyDescent="0.2">
      <c r="A74" s="564"/>
      <c r="B74" s="927" t="s">
        <v>751</v>
      </c>
      <c r="C74" s="881"/>
      <c r="D74" s="882">
        <v>0</v>
      </c>
      <c r="E74" s="882"/>
      <c r="F74" s="883"/>
      <c r="G74" s="928" t="s">
        <v>778</v>
      </c>
    </row>
    <row r="75" spans="1:8" ht="12.75" customHeight="1" x14ac:dyDescent="0.2">
      <c r="A75" s="564"/>
      <c r="B75" s="927" t="s">
        <v>752</v>
      </c>
      <c r="C75" s="881"/>
      <c r="D75" s="882">
        <v>555</v>
      </c>
      <c r="E75" s="882"/>
      <c r="F75" s="883"/>
      <c r="G75" s="928" t="s">
        <v>779</v>
      </c>
    </row>
    <row r="76" spans="1:8" ht="12.75" customHeight="1" x14ac:dyDescent="0.2">
      <c r="A76" s="564"/>
      <c r="B76" s="927" t="s">
        <v>753</v>
      </c>
      <c r="C76" s="881"/>
      <c r="D76" s="882">
        <v>44118.55</v>
      </c>
      <c r="E76" s="882"/>
      <c r="F76" s="883"/>
      <c r="G76" s="928" t="s">
        <v>780</v>
      </c>
      <c r="H76" s="885"/>
    </row>
    <row r="77" spans="1:8" ht="12.75" customHeight="1" x14ac:dyDescent="0.2">
      <c r="A77" s="564"/>
      <c r="B77" s="927" t="s">
        <v>754</v>
      </c>
      <c r="C77" s="881"/>
      <c r="D77" s="882">
        <v>0</v>
      </c>
      <c r="E77" s="882"/>
      <c r="F77" s="883"/>
      <c r="G77" s="928" t="s">
        <v>781</v>
      </c>
    </row>
    <row r="78" spans="1:8" ht="12.75" customHeight="1" x14ac:dyDescent="0.2">
      <c r="A78" s="564"/>
      <c r="B78" s="927" t="s">
        <v>755</v>
      </c>
      <c r="C78" s="881"/>
      <c r="D78" s="882">
        <v>177.8</v>
      </c>
      <c r="E78" s="882"/>
      <c r="F78" s="883"/>
      <c r="G78" s="928" t="s">
        <v>782</v>
      </c>
      <c r="H78" s="885"/>
    </row>
    <row r="79" spans="1:8" ht="12.75" customHeight="1" x14ac:dyDescent="0.2">
      <c r="A79" s="564"/>
      <c r="B79" s="930" t="s">
        <v>326</v>
      </c>
      <c r="C79" s="886"/>
      <c r="D79" s="882">
        <v>103456.47</v>
      </c>
      <c r="E79" s="929">
        <f>SUM(D79)</f>
        <v>103456.47</v>
      </c>
      <c r="F79" s="883"/>
      <c r="H79" s="885"/>
    </row>
    <row r="80" spans="1:8" ht="12.75" customHeight="1" x14ac:dyDescent="0.2">
      <c r="A80" s="564"/>
      <c r="B80" s="931" t="s">
        <v>481</v>
      </c>
      <c r="C80" s="887"/>
      <c r="D80" s="882"/>
      <c r="E80" s="929">
        <f>SUM(D81:D87)</f>
        <v>498171.05</v>
      </c>
      <c r="F80" s="883"/>
      <c r="H80" s="885"/>
    </row>
    <row r="81" spans="1:8" ht="12.75" customHeight="1" x14ac:dyDescent="0.2">
      <c r="A81" s="564"/>
      <c r="B81" s="884"/>
      <c r="C81" s="886" t="s">
        <v>327</v>
      </c>
      <c r="D81" s="882">
        <v>122939.72</v>
      </c>
      <c r="E81" s="882"/>
      <c r="F81" s="883"/>
    </row>
    <row r="82" spans="1:8" ht="12.75" customHeight="1" x14ac:dyDescent="0.2">
      <c r="A82" s="564"/>
      <c r="B82" s="884"/>
      <c r="C82" s="886" t="s">
        <v>328</v>
      </c>
      <c r="D82" s="882">
        <v>495.25</v>
      </c>
      <c r="E82" s="882"/>
      <c r="F82" s="883"/>
    </row>
    <row r="83" spans="1:8" ht="12.75" customHeight="1" x14ac:dyDescent="0.2">
      <c r="A83" s="564"/>
      <c r="B83" s="884"/>
      <c r="C83" s="886" t="s">
        <v>329</v>
      </c>
      <c r="D83" s="882">
        <v>327239.82</v>
      </c>
      <c r="E83" s="882"/>
      <c r="F83" s="883"/>
    </row>
    <row r="84" spans="1:8" ht="12.75" customHeight="1" x14ac:dyDescent="0.2">
      <c r="A84" s="899"/>
      <c r="B84" s="884"/>
      <c r="C84" s="886" t="s">
        <v>330</v>
      </c>
      <c r="D84" s="882">
        <v>1713.68</v>
      </c>
      <c r="E84" s="882"/>
      <c r="F84" s="883"/>
    </row>
    <row r="85" spans="1:8" ht="12.75" customHeight="1" x14ac:dyDescent="0.2">
      <c r="A85" s="564"/>
      <c r="B85" s="884"/>
      <c r="C85" s="887" t="s">
        <v>331</v>
      </c>
      <c r="D85" s="882">
        <v>17919.599999999999</v>
      </c>
      <c r="E85" s="882"/>
      <c r="F85" s="883"/>
    </row>
    <row r="86" spans="1:8" ht="12.75" customHeight="1" x14ac:dyDescent="0.2">
      <c r="A86" s="564"/>
      <c r="B86" s="889"/>
      <c r="C86" s="887" t="s">
        <v>133</v>
      </c>
      <c r="D86" s="882">
        <v>27862.98</v>
      </c>
      <c r="E86" s="882"/>
      <c r="F86" s="883"/>
      <c r="G86" s="870">
        <v>4005</v>
      </c>
    </row>
    <row r="87" spans="1:8" ht="12.75" customHeight="1" x14ac:dyDescent="0.2">
      <c r="A87" s="564"/>
      <c r="B87" s="889" t="s">
        <v>332</v>
      </c>
      <c r="C87" s="887"/>
      <c r="D87" s="882">
        <v>0</v>
      </c>
      <c r="E87" s="882"/>
      <c r="F87" s="883"/>
      <c r="H87" s="885"/>
    </row>
    <row r="88" spans="1:8" ht="12.75" customHeight="1" x14ac:dyDescent="0.2">
      <c r="A88" s="888"/>
      <c r="B88" s="933" t="s">
        <v>333</v>
      </c>
      <c r="C88" s="890"/>
      <c r="D88" s="882">
        <v>0</v>
      </c>
      <c r="E88" s="932">
        <f>D88</f>
        <v>0</v>
      </c>
      <c r="F88" s="892"/>
      <c r="H88" s="885"/>
    </row>
    <row r="89" spans="1:8" ht="12.75" customHeight="1" thickBot="1" x14ac:dyDescent="0.25">
      <c r="A89" s="893"/>
      <c r="B89" s="894"/>
      <c r="C89" s="895"/>
      <c r="D89" s="900"/>
      <c r="E89" s="897"/>
      <c r="F89" s="935">
        <f>SUM(E45:E89)</f>
        <v>1443966.22</v>
      </c>
      <c r="H89" s="898">
        <f>'Sched-B1'!B5+'Sched-B2'!E37+'Sched-D1'!F89-5748500.16-727378.1+24327.27</f>
        <v>9.822542779147625E-11</v>
      </c>
    </row>
    <row r="90" spans="1:8" ht="12.75" customHeight="1" x14ac:dyDescent="0.2">
      <c r="A90" s="875" t="s">
        <v>783</v>
      </c>
      <c r="B90" s="876" t="s">
        <v>50</v>
      </c>
      <c r="C90" s="877"/>
      <c r="D90" s="878"/>
      <c r="E90" s="879">
        <v>0</v>
      </c>
      <c r="F90" s="880"/>
      <c r="G90" s="870">
        <v>2000</v>
      </c>
    </row>
    <row r="91" spans="1:8" ht="12.75" customHeight="1" x14ac:dyDescent="0.2">
      <c r="A91" s="564"/>
      <c r="B91" s="925" t="s">
        <v>728</v>
      </c>
      <c r="C91" s="881"/>
      <c r="D91" s="882"/>
      <c r="E91" s="929">
        <f>SUM(D92:D127)</f>
        <v>1059064.97</v>
      </c>
      <c r="F91" s="883"/>
    </row>
    <row r="92" spans="1:8" ht="12.75" customHeight="1" x14ac:dyDescent="0.2">
      <c r="A92" s="564"/>
      <c r="B92" s="927" t="s">
        <v>729</v>
      </c>
      <c r="C92" s="881"/>
      <c r="D92" s="882">
        <v>2971</v>
      </c>
      <c r="E92" s="882"/>
      <c r="F92" s="883"/>
      <c r="G92" s="928" t="s">
        <v>756</v>
      </c>
    </row>
    <row r="93" spans="1:8" ht="12.75" customHeight="1" x14ac:dyDescent="0.2">
      <c r="A93" s="564"/>
      <c r="B93" s="927" t="s">
        <v>730</v>
      </c>
      <c r="C93" s="881"/>
      <c r="D93" s="882">
        <v>3988.75</v>
      </c>
      <c r="E93" s="882"/>
      <c r="F93" s="883"/>
      <c r="G93" s="928" t="s">
        <v>757</v>
      </c>
    </row>
    <row r="94" spans="1:8" ht="12.75" customHeight="1" x14ac:dyDescent="0.2">
      <c r="A94" s="564"/>
      <c r="B94" s="927" t="s">
        <v>788</v>
      </c>
      <c r="C94" s="881"/>
      <c r="D94" s="882">
        <v>150</v>
      </c>
      <c r="E94" s="882"/>
      <c r="F94" s="883"/>
      <c r="G94" s="928">
        <v>3003</v>
      </c>
    </row>
    <row r="95" spans="1:8" ht="12.75" customHeight="1" x14ac:dyDescent="0.2">
      <c r="A95" s="564"/>
      <c r="B95" s="927" t="s">
        <v>731</v>
      </c>
      <c r="C95" s="881"/>
      <c r="D95" s="882">
        <v>3655.5</v>
      </c>
      <c r="E95" s="882"/>
      <c r="F95" s="883"/>
      <c r="G95" s="928" t="s">
        <v>758</v>
      </c>
    </row>
    <row r="96" spans="1:8" ht="12.75" customHeight="1" x14ac:dyDescent="0.2">
      <c r="A96" s="564"/>
      <c r="B96" s="927" t="s">
        <v>732</v>
      </c>
      <c r="C96" s="881"/>
      <c r="D96" s="882">
        <v>211.39</v>
      </c>
      <c r="E96" s="882"/>
      <c r="F96" s="883"/>
      <c r="G96" s="928" t="s">
        <v>759</v>
      </c>
    </row>
    <row r="97" spans="1:7" ht="12.75" customHeight="1" x14ac:dyDescent="0.2">
      <c r="A97" s="564"/>
      <c r="B97" s="927" t="s">
        <v>733</v>
      </c>
      <c r="C97" s="881"/>
      <c r="D97" s="882">
        <v>0</v>
      </c>
      <c r="E97" s="882"/>
      <c r="F97" s="883"/>
      <c r="G97" s="928" t="s">
        <v>760</v>
      </c>
    </row>
    <row r="98" spans="1:7" ht="12.75" customHeight="1" x14ac:dyDescent="0.2">
      <c r="A98" s="564"/>
      <c r="B98" s="937" t="s">
        <v>51</v>
      </c>
      <c r="C98" s="881"/>
      <c r="D98" s="882">
        <v>720317.19</v>
      </c>
      <c r="E98" s="882"/>
      <c r="F98" s="883"/>
      <c r="G98" s="928"/>
    </row>
    <row r="99" spans="1:7" ht="12.75" customHeight="1" x14ac:dyDescent="0.2">
      <c r="A99" s="564"/>
      <c r="B99" s="927" t="s">
        <v>734</v>
      </c>
      <c r="C99" s="881"/>
      <c r="D99" s="882">
        <v>29213.759999999998</v>
      </c>
      <c r="E99" s="882"/>
      <c r="F99" s="883"/>
      <c r="G99" s="928" t="s">
        <v>761</v>
      </c>
    </row>
    <row r="100" spans="1:7" ht="12.75" customHeight="1" x14ac:dyDescent="0.2">
      <c r="A100" s="564"/>
      <c r="B100" s="927" t="s">
        <v>735</v>
      </c>
      <c r="C100" s="881"/>
      <c r="D100" s="882">
        <v>0</v>
      </c>
      <c r="E100" s="882"/>
      <c r="F100" s="883"/>
      <c r="G100" s="928" t="s">
        <v>762</v>
      </c>
    </row>
    <row r="101" spans="1:7" ht="12.75" customHeight="1" x14ac:dyDescent="0.2">
      <c r="A101" s="564"/>
      <c r="B101" s="927" t="s">
        <v>785</v>
      </c>
      <c r="C101" s="881"/>
      <c r="D101" s="882">
        <v>0</v>
      </c>
      <c r="E101" s="882"/>
      <c r="F101" s="883"/>
      <c r="G101" s="928">
        <v>3034</v>
      </c>
    </row>
    <row r="102" spans="1:7" ht="12.75" customHeight="1" x14ac:dyDescent="0.2">
      <c r="A102" s="564"/>
      <c r="B102" s="927" t="s">
        <v>736</v>
      </c>
      <c r="C102" s="881"/>
      <c r="D102" s="882">
        <v>4588.6000000000004</v>
      </c>
      <c r="E102" s="882"/>
      <c r="F102" s="883"/>
      <c r="G102" s="928" t="s">
        <v>763</v>
      </c>
    </row>
    <row r="103" spans="1:7" ht="12.75" customHeight="1" x14ac:dyDescent="0.2">
      <c r="A103" s="564"/>
      <c r="B103" s="927" t="s">
        <v>737</v>
      </c>
      <c r="C103" s="881"/>
      <c r="D103" s="882">
        <v>11607.42</v>
      </c>
      <c r="E103" s="882"/>
      <c r="F103" s="883"/>
      <c r="G103" s="928" t="s">
        <v>764</v>
      </c>
    </row>
    <row r="104" spans="1:7" ht="12.75" customHeight="1" x14ac:dyDescent="0.2">
      <c r="A104" s="564"/>
      <c r="B104" s="927" t="s">
        <v>738</v>
      </c>
      <c r="C104" s="881"/>
      <c r="D104" s="882">
        <v>0</v>
      </c>
      <c r="E104" s="882"/>
      <c r="F104" s="883"/>
      <c r="G104" s="928" t="s">
        <v>765</v>
      </c>
    </row>
    <row r="105" spans="1:7" ht="12.75" customHeight="1" x14ac:dyDescent="0.2">
      <c r="A105" s="564"/>
      <c r="B105" s="927" t="s">
        <v>739</v>
      </c>
      <c r="C105" s="881"/>
      <c r="D105" s="882">
        <v>935.64</v>
      </c>
      <c r="E105" s="882"/>
      <c r="F105" s="883"/>
      <c r="G105" s="928" t="s">
        <v>766</v>
      </c>
    </row>
    <row r="106" spans="1:7" ht="12.75" customHeight="1" x14ac:dyDescent="0.2">
      <c r="A106" s="564"/>
      <c r="B106" s="927" t="s">
        <v>740</v>
      </c>
      <c r="C106" s="881"/>
      <c r="D106" s="882">
        <v>0</v>
      </c>
      <c r="E106" s="882"/>
      <c r="F106" s="883"/>
      <c r="G106" s="928" t="s">
        <v>767</v>
      </c>
    </row>
    <row r="107" spans="1:7" ht="12.75" customHeight="1" x14ac:dyDescent="0.2">
      <c r="A107" s="564"/>
      <c r="B107" s="927" t="s">
        <v>741</v>
      </c>
      <c r="C107" s="881"/>
      <c r="D107" s="882">
        <v>8535.73</v>
      </c>
      <c r="E107" s="882"/>
      <c r="F107" s="883"/>
      <c r="G107" s="928" t="s">
        <v>768</v>
      </c>
    </row>
    <row r="108" spans="1:7" ht="12.75" customHeight="1" x14ac:dyDescent="0.2">
      <c r="A108" s="564"/>
      <c r="B108" s="927" t="s">
        <v>742</v>
      </c>
      <c r="C108" s="881"/>
      <c r="D108" s="882">
        <v>0</v>
      </c>
      <c r="E108" s="882"/>
      <c r="F108" s="883"/>
      <c r="G108" s="928" t="s">
        <v>769</v>
      </c>
    </row>
    <row r="109" spans="1:7" ht="12.75" customHeight="1" x14ac:dyDescent="0.2">
      <c r="A109" s="564"/>
      <c r="B109" s="927" t="s">
        <v>743</v>
      </c>
      <c r="C109" s="881"/>
      <c r="D109" s="882">
        <v>0</v>
      </c>
      <c r="E109" s="882"/>
      <c r="F109" s="883"/>
      <c r="G109" s="928" t="s">
        <v>770</v>
      </c>
    </row>
    <row r="110" spans="1:7" ht="12.75" customHeight="1" x14ac:dyDescent="0.2">
      <c r="A110" s="564"/>
      <c r="B110" s="927" t="s">
        <v>744</v>
      </c>
      <c r="C110" s="881"/>
      <c r="D110" s="882">
        <v>10000</v>
      </c>
      <c r="E110" s="882"/>
      <c r="F110" s="883"/>
      <c r="G110" s="928" t="s">
        <v>771</v>
      </c>
    </row>
    <row r="111" spans="1:7" ht="12.75" customHeight="1" x14ac:dyDescent="0.2">
      <c r="A111" s="564"/>
      <c r="B111" s="927" t="s">
        <v>786</v>
      </c>
      <c r="C111" s="881"/>
      <c r="D111" s="882">
        <v>0</v>
      </c>
      <c r="E111" s="882"/>
      <c r="F111" s="883"/>
      <c r="G111" s="928">
        <v>3048</v>
      </c>
    </row>
    <row r="112" spans="1:7" ht="12.75" customHeight="1" x14ac:dyDescent="0.2">
      <c r="A112" s="564"/>
      <c r="B112" s="927" t="s">
        <v>745</v>
      </c>
      <c r="C112" s="881"/>
      <c r="D112" s="882">
        <v>10327.26</v>
      </c>
      <c r="E112" s="882"/>
      <c r="F112" s="883"/>
      <c r="G112" s="928" t="s">
        <v>772</v>
      </c>
    </row>
    <row r="113" spans="1:8" ht="12.75" customHeight="1" x14ac:dyDescent="0.2">
      <c r="A113" s="564"/>
      <c r="B113" s="927" t="s">
        <v>746</v>
      </c>
      <c r="C113" s="881"/>
      <c r="D113" s="882">
        <v>2247</v>
      </c>
      <c r="E113" s="882"/>
      <c r="F113" s="883"/>
      <c r="G113" s="928" t="s">
        <v>773</v>
      </c>
    </row>
    <row r="114" spans="1:8" ht="12.75" customHeight="1" x14ac:dyDescent="0.2">
      <c r="A114" s="564"/>
      <c r="B114" s="927" t="s">
        <v>789</v>
      </c>
      <c r="C114" s="881"/>
      <c r="D114" s="882">
        <v>5561.49</v>
      </c>
      <c r="E114" s="882"/>
      <c r="F114" s="883"/>
      <c r="G114" s="928">
        <v>3051</v>
      </c>
    </row>
    <row r="115" spans="1:8" ht="12.75" customHeight="1" x14ac:dyDescent="0.2">
      <c r="A115" s="564"/>
      <c r="B115" s="927" t="s">
        <v>747</v>
      </c>
      <c r="C115" s="881"/>
      <c r="D115" s="882">
        <v>11749</v>
      </c>
      <c r="E115" s="882"/>
      <c r="F115" s="883"/>
      <c r="G115" s="928" t="s">
        <v>774</v>
      </c>
    </row>
    <row r="116" spans="1:8" ht="12.75" customHeight="1" x14ac:dyDescent="0.2">
      <c r="A116" s="564"/>
      <c r="B116" s="927" t="s">
        <v>790</v>
      </c>
      <c r="C116" s="881"/>
      <c r="D116" s="882">
        <v>17404.8</v>
      </c>
      <c r="E116" s="882"/>
      <c r="F116" s="883"/>
      <c r="G116" s="928">
        <v>3056</v>
      </c>
    </row>
    <row r="117" spans="1:8" ht="12.75" customHeight="1" x14ac:dyDescent="0.2">
      <c r="A117" s="564"/>
      <c r="B117" s="927" t="s">
        <v>748</v>
      </c>
      <c r="C117" s="881"/>
      <c r="D117" s="882">
        <v>16</v>
      </c>
      <c r="E117" s="882"/>
      <c r="F117" s="883"/>
      <c r="G117" s="928">
        <v>3057</v>
      </c>
    </row>
    <row r="118" spans="1:8" ht="12.75" customHeight="1" x14ac:dyDescent="0.2">
      <c r="A118" s="564"/>
      <c r="B118" s="927" t="s">
        <v>749</v>
      </c>
      <c r="C118" s="881"/>
      <c r="D118" s="882">
        <v>22354.74</v>
      </c>
      <c r="E118" s="882"/>
      <c r="F118" s="883"/>
      <c r="G118" s="928" t="s">
        <v>776</v>
      </c>
    </row>
    <row r="119" spans="1:8" ht="12.75" customHeight="1" x14ac:dyDescent="0.2">
      <c r="A119" s="564"/>
      <c r="B119" s="927" t="s">
        <v>750</v>
      </c>
      <c r="C119" s="881"/>
      <c r="D119" s="882">
        <v>3222.94</v>
      </c>
      <c r="E119" s="882"/>
      <c r="F119" s="883"/>
      <c r="G119" s="928" t="s">
        <v>777</v>
      </c>
    </row>
    <row r="120" spans="1:8" ht="12.75" customHeight="1" x14ac:dyDescent="0.2">
      <c r="A120" s="564"/>
      <c r="B120" s="927" t="s">
        <v>787</v>
      </c>
      <c r="C120" s="881"/>
      <c r="D120" s="882">
        <v>0</v>
      </c>
      <c r="E120" s="882"/>
      <c r="F120" s="883"/>
      <c r="G120" s="928"/>
    </row>
    <row r="121" spans="1:8" ht="12.75" customHeight="1" x14ac:dyDescent="0.2">
      <c r="A121" s="564"/>
      <c r="B121" s="927" t="s">
        <v>751</v>
      </c>
      <c r="C121" s="881"/>
      <c r="D121" s="882">
        <v>0</v>
      </c>
      <c r="E121" s="882"/>
      <c r="F121" s="883"/>
      <c r="G121" s="928" t="s">
        <v>778</v>
      </c>
    </row>
    <row r="122" spans="1:8" ht="12.75" customHeight="1" x14ac:dyDescent="0.2">
      <c r="A122" s="564"/>
      <c r="B122" s="927" t="s">
        <v>752</v>
      </c>
      <c r="C122" s="881"/>
      <c r="D122" s="882">
        <v>529</v>
      </c>
      <c r="E122" s="882"/>
      <c r="F122" s="883"/>
      <c r="G122" s="928" t="s">
        <v>779</v>
      </c>
    </row>
    <row r="123" spans="1:8" ht="12.75" customHeight="1" x14ac:dyDescent="0.2">
      <c r="A123" s="564"/>
      <c r="B123" s="927" t="s">
        <v>753</v>
      </c>
      <c r="C123" s="881"/>
      <c r="D123" s="882">
        <v>187977.76</v>
      </c>
      <c r="E123" s="882"/>
      <c r="F123" s="883"/>
      <c r="G123" s="928" t="s">
        <v>780</v>
      </c>
      <c r="H123" s="885"/>
    </row>
    <row r="124" spans="1:8" ht="12.75" customHeight="1" x14ac:dyDescent="0.2">
      <c r="A124" s="564"/>
      <c r="B124" s="927" t="s">
        <v>791</v>
      </c>
      <c r="C124" s="881"/>
      <c r="D124" s="882">
        <v>1500</v>
      </c>
      <c r="E124" s="882"/>
      <c r="F124" s="883"/>
      <c r="G124" s="928">
        <v>3073</v>
      </c>
    </row>
    <row r="125" spans="1:8" ht="12.75" customHeight="1" x14ac:dyDescent="0.2">
      <c r="A125" s="564"/>
      <c r="B125" s="927"/>
      <c r="C125" s="881"/>
      <c r="D125" s="882"/>
      <c r="E125" s="882"/>
      <c r="F125" s="883"/>
      <c r="G125" s="928"/>
      <c r="H125" s="885"/>
    </row>
    <row r="126" spans="1:8" ht="12.75" customHeight="1" x14ac:dyDescent="0.2">
      <c r="A126" s="564"/>
      <c r="B126" s="927"/>
      <c r="C126" s="881"/>
      <c r="D126" s="882"/>
      <c r="E126" s="882"/>
      <c r="F126" s="883"/>
      <c r="G126" s="936"/>
      <c r="H126" s="885"/>
    </row>
    <row r="127" spans="1:8" ht="12.75" customHeight="1" x14ac:dyDescent="0.2">
      <c r="A127" s="564"/>
      <c r="B127" s="884"/>
      <c r="C127" s="926"/>
      <c r="D127" s="882"/>
      <c r="E127" s="882"/>
      <c r="F127" s="883"/>
    </row>
    <row r="128" spans="1:8" ht="12.75" customHeight="1" x14ac:dyDescent="0.2">
      <c r="A128" s="564"/>
      <c r="B128" s="930" t="s">
        <v>326</v>
      </c>
      <c r="D128" s="882">
        <v>237972.77</v>
      </c>
      <c r="E128" s="929">
        <f>SUM(D128)</f>
        <v>237972.77</v>
      </c>
      <c r="F128" s="883"/>
      <c r="G128" s="870">
        <v>3001</v>
      </c>
      <c r="H128" s="885"/>
    </row>
    <row r="129" spans="1:8" ht="12.75" customHeight="1" x14ac:dyDescent="0.2">
      <c r="A129" s="564"/>
      <c r="B129" s="931" t="s">
        <v>481</v>
      </c>
      <c r="C129" s="887"/>
      <c r="D129" s="882"/>
      <c r="E129" s="929">
        <f>SUM(D130:D135)</f>
        <v>1226900.73</v>
      </c>
      <c r="F129" s="883"/>
    </row>
    <row r="130" spans="1:8" ht="12.75" customHeight="1" x14ac:dyDescent="0.2">
      <c r="A130" s="564"/>
      <c r="B130" s="884"/>
      <c r="C130" s="886" t="s">
        <v>327</v>
      </c>
      <c r="D130" s="882">
        <v>205477.72</v>
      </c>
      <c r="E130" s="882"/>
      <c r="F130" s="883"/>
      <c r="G130" s="870">
        <v>4000</v>
      </c>
    </row>
    <row r="131" spans="1:8" ht="12.75" customHeight="1" x14ac:dyDescent="0.2">
      <c r="A131" s="564"/>
      <c r="B131" s="884"/>
      <c r="C131" s="886" t="s">
        <v>328</v>
      </c>
      <c r="D131" s="882">
        <v>0</v>
      </c>
      <c r="E131" s="882"/>
      <c r="F131" s="883"/>
      <c r="G131" s="870">
        <v>4001</v>
      </c>
    </row>
    <row r="132" spans="1:8" ht="12.75" customHeight="1" x14ac:dyDescent="0.2">
      <c r="A132" s="564"/>
      <c r="B132" s="884"/>
      <c r="C132" s="886" t="s">
        <v>329</v>
      </c>
      <c r="D132" s="882">
        <v>868189.81</v>
      </c>
      <c r="E132" s="882"/>
      <c r="F132" s="883"/>
    </row>
    <row r="133" spans="1:8" ht="12.75" customHeight="1" x14ac:dyDescent="0.2">
      <c r="A133" s="564"/>
      <c r="B133" s="884"/>
      <c r="C133" s="886" t="s">
        <v>330</v>
      </c>
      <c r="D133" s="882">
        <v>3729.42</v>
      </c>
      <c r="E133" s="882"/>
      <c r="F133" s="883"/>
    </row>
    <row r="134" spans="1:8" ht="12.75" customHeight="1" x14ac:dyDescent="0.2">
      <c r="A134" s="564"/>
      <c r="B134" s="884"/>
      <c r="C134" s="887" t="s">
        <v>331</v>
      </c>
      <c r="D134" s="882">
        <v>39514.85</v>
      </c>
      <c r="E134" s="882"/>
      <c r="F134" s="883"/>
    </row>
    <row r="135" spans="1:8" ht="12.75" customHeight="1" x14ac:dyDescent="0.2">
      <c r="A135" s="564"/>
      <c r="B135" s="884"/>
      <c r="C135" s="887" t="s">
        <v>133</v>
      </c>
      <c r="D135" s="882">
        <v>109988.93</v>
      </c>
      <c r="E135" s="882"/>
      <c r="F135" s="883"/>
    </row>
    <row r="136" spans="1:8" ht="12.75" customHeight="1" x14ac:dyDescent="0.2">
      <c r="A136" s="888"/>
      <c r="B136" s="889" t="s">
        <v>332</v>
      </c>
      <c r="C136" s="934"/>
      <c r="D136" s="882"/>
      <c r="E136" s="891"/>
      <c r="F136" s="892"/>
    </row>
    <row r="137" spans="1:8" ht="12.75" customHeight="1" x14ac:dyDescent="0.2">
      <c r="A137" s="888"/>
      <c r="B137" s="933" t="s">
        <v>333</v>
      </c>
      <c r="D137" s="882">
        <v>16381.55</v>
      </c>
      <c r="E137" s="932">
        <f>D137</f>
        <v>16381.55</v>
      </c>
      <c r="F137" s="892"/>
      <c r="G137" s="870">
        <v>5000</v>
      </c>
    </row>
    <row r="138" spans="1:8" ht="12.75" customHeight="1" thickBot="1" x14ac:dyDescent="0.25">
      <c r="A138" s="893"/>
      <c r="B138" s="894"/>
      <c r="C138" s="895"/>
      <c r="D138" s="896"/>
      <c r="E138" s="897"/>
      <c r="F138" s="935">
        <f>SUM(E90:E137)</f>
        <v>2540320.0199999996</v>
      </c>
      <c r="H138" s="898">
        <f>'Sched-B1'!B6+'Sched-B2'!E54+'Sched-D1'!F138-12009048.38-720317.19</f>
        <v>0</v>
      </c>
    </row>
    <row r="139" spans="1:8" ht="12.75" customHeight="1" x14ac:dyDescent="0.2">
      <c r="A139" s="875" t="s">
        <v>792</v>
      </c>
      <c r="B139" s="876" t="s">
        <v>50</v>
      </c>
      <c r="C139" s="877"/>
      <c r="D139" s="878"/>
      <c r="E139" s="879">
        <v>43205.61</v>
      </c>
      <c r="F139" s="880"/>
      <c r="G139" s="870">
        <v>2000</v>
      </c>
    </row>
    <row r="140" spans="1:8" ht="12.75" customHeight="1" x14ac:dyDescent="0.2">
      <c r="A140" s="564"/>
      <c r="B140" s="925" t="s">
        <v>728</v>
      </c>
      <c r="C140" s="881"/>
      <c r="D140" s="882"/>
      <c r="E140" s="929">
        <f>SUM(D141:D179)</f>
        <v>1011486.3799999999</v>
      </c>
      <c r="F140" s="883"/>
    </row>
    <row r="141" spans="1:8" ht="12.75" customHeight="1" x14ac:dyDescent="0.2">
      <c r="A141" s="564"/>
      <c r="B141" s="927" t="s">
        <v>729</v>
      </c>
      <c r="C141" s="881"/>
      <c r="D141" s="882">
        <v>2161.25</v>
      </c>
      <c r="E141" s="882"/>
      <c r="F141" s="883"/>
      <c r="G141" s="928" t="s">
        <v>756</v>
      </c>
    </row>
    <row r="142" spans="1:8" ht="12.75" customHeight="1" x14ac:dyDescent="0.2">
      <c r="A142" s="564"/>
      <c r="B142" s="927" t="s">
        <v>730</v>
      </c>
      <c r="C142" s="881"/>
      <c r="D142" s="882">
        <v>1193</v>
      </c>
      <c r="E142" s="882"/>
      <c r="F142" s="883"/>
      <c r="G142" s="928" t="s">
        <v>757</v>
      </c>
    </row>
    <row r="143" spans="1:8" ht="12.75" customHeight="1" x14ac:dyDescent="0.2">
      <c r="A143" s="564"/>
      <c r="B143" s="927" t="s">
        <v>788</v>
      </c>
      <c r="C143" s="881"/>
      <c r="D143" s="882">
        <v>0</v>
      </c>
      <c r="E143" s="882"/>
      <c r="F143" s="883"/>
      <c r="G143" s="928">
        <v>3003</v>
      </c>
    </row>
    <row r="144" spans="1:8" ht="12.75" customHeight="1" x14ac:dyDescent="0.2">
      <c r="A144" s="564"/>
      <c r="B144" s="927" t="s">
        <v>731</v>
      </c>
      <c r="C144" s="881"/>
      <c r="D144" s="882">
        <v>31.5</v>
      </c>
      <c r="E144" s="882"/>
      <c r="F144" s="883"/>
      <c r="G144" s="928" t="s">
        <v>758</v>
      </c>
    </row>
    <row r="145" spans="1:7" ht="12.75" customHeight="1" x14ac:dyDescent="0.2">
      <c r="A145" s="564"/>
      <c r="B145" s="927" t="s">
        <v>732</v>
      </c>
      <c r="C145" s="881"/>
      <c r="D145" s="882">
        <v>0</v>
      </c>
      <c r="E145" s="882"/>
      <c r="F145" s="883"/>
      <c r="G145" s="928" t="s">
        <v>759</v>
      </c>
    </row>
    <row r="146" spans="1:7" ht="12.75" customHeight="1" x14ac:dyDescent="0.2">
      <c r="A146" s="564"/>
      <c r="B146" s="927" t="s">
        <v>733</v>
      </c>
      <c r="C146" s="881"/>
      <c r="D146" s="882">
        <v>0</v>
      </c>
      <c r="E146" s="882"/>
      <c r="F146" s="883"/>
      <c r="G146" s="928" t="s">
        <v>760</v>
      </c>
    </row>
    <row r="147" spans="1:7" ht="12.75" customHeight="1" x14ac:dyDescent="0.2">
      <c r="A147" s="564"/>
      <c r="B147" s="937" t="s">
        <v>51</v>
      </c>
      <c r="C147" s="881"/>
      <c r="D147" s="882">
        <v>772938.71</v>
      </c>
      <c r="E147" s="882"/>
      <c r="F147" s="883"/>
      <c r="G147" s="928"/>
    </row>
    <row r="148" spans="1:7" ht="12.75" customHeight="1" x14ac:dyDescent="0.2">
      <c r="A148" s="564"/>
      <c r="B148" s="927" t="s">
        <v>793</v>
      </c>
      <c r="C148" s="881"/>
      <c r="D148" s="882">
        <v>1542</v>
      </c>
      <c r="E148" s="882"/>
      <c r="F148" s="883"/>
      <c r="G148" s="928">
        <v>3029</v>
      </c>
    </row>
    <row r="149" spans="1:7" ht="12.75" customHeight="1" x14ac:dyDescent="0.2">
      <c r="A149" s="564"/>
      <c r="B149" s="927" t="s">
        <v>734</v>
      </c>
      <c r="C149" s="881"/>
      <c r="D149" s="882"/>
      <c r="E149" s="882"/>
      <c r="F149" s="883"/>
      <c r="G149" s="928" t="s">
        <v>761</v>
      </c>
    </row>
    <row r="150" spans="1:7" ht="12.75" customHeight="1" x14ac:dyDescent="0.2">
      <c r="A150" s="564"/>
      <c r="B150" s="927" t="s">
        <v>735</v>
      </c>
      <c r="C150" s="881"/>
      <c r="D150" s="882">
        <v>26709.72</v>
      </c>
      <c r="E150" s="882"/>
      <c r="F150" s="883"/>
      <c r="G150" s="928" t="s">
        <v>762</v>
      </c>
    </row>
    <row r="151" spans="1:7" ht="12.75" customHeight="1" x14ac:dyDescent="0.2">
      <c r="A151" s="564"/>
      <c r="B151" s="927" t="s">
        <v>785</v>
      </c>
      <c r="C151" s="881"/>
      <c r="D151" s="882">
        <v>0</v>
      </c>
      <c r="E151" s="882"/>
      <c r="F151" s="883"/>
      <c r="G151" s="928">
        <v>3034</v>
      </c>
    </row>
    <row r="152" spans="1:7" ht="12.75" customHeight="1" x14ac:dyDescent="0.2">
      <c r="A152" s="564"/>
      <c r="B152" s="927" t="s">
        <v>736</v>
      </c>
      <c r="C152" s="881"/>
      <c r="D152" s="882">
        <v>801.01</v>
      </c>
      <c r="E152" s="882"/>
      <c r="F152" s="883"/>
      <c r="G152" s="928" t="s">
        <v>763</v>
      </c>
    </row>
    <row r="153" spans="1:7" ht="12.75" customHeight="1" x14ac:dyDescent="0.2">
      <c r="A153" s="564"/>
      <c r="B153" s="927" t="s">
        <v>737</v>
      </c>
      <c r="C153" s="881"/>
      <c r="D153" s="882">
        <v>5133.87</v>
      </c>
      <c r="E153" s="882"/>
      <c r="F153" s="883"/>
      <c r="G153" s="928" t="s">
        <v>764</v>
      </c>
    </row>
    <row r="154" spans="1:7" ht="12.75" customHeight="1" x14ac:dyDescent="0.2">
      <c r="A154" s="564"/>
      <c r="B154" s="927" t="s">
        <v>738</v>
      </c>
      <c r="C154" s="881"/>
      <c r="D154" s="882">
        <v>0</v>
      </c>
      <c r="E154" s="882"/>
      <c r="F154" s="883"/>
      <c r="G154" s="928" t="s">
        <v>765</v>
      </c>
    </row>
    <row r="155" spans="1:7" ht="12.75" customHeight="1" x14ac:dyDescent="0.2">
      <c r="A155" s="564"/>
      <c r="B155" s="927" t="s">
        <v>739</v>
      </c>
      <c r="C155" s="881"/>
      <c r="D155" s="882">
        <v>1035.94</v>
      </c>
      <c r="E155" s="882"/>
      <c r="F155" s="883"/>
      <c r="G155" s="928" t="s">
        <v>766</v>
      </c>
    </row>
    <row r="156" spans="1:7" ht="12.75" customHeight="1" x14ac:dyDescent="0.2">
      <c r="A156" s="564"/>
      <c r="B156" s="927" t="s">
        <v>740</v>
      </c>
      <c r="C156" s="881"/>
      <c r="D156" s="882">
        <v>0</v>
      </c>
      <c r="E156" s="882"/>
      <c r="F156" s="883"/>
      <c r="G156" s="928" t="s">
        <v>767</v>
      </c>
    </row>
    <row r="157" spans="1:7" ht="12.75" customHeight="1" x14ac:dyDescent="0.2">
      <c r="A157" s="564"/>
      <c r="B157" s="927" t="s">
        <v>741</v>
      </c>
      <c r="C157" s="881"/>
      <c r="D157" s="882">
        <v>0</v>
      </c>
      <c r="E157" s="882"/>
      <c r="F157" s="883"/>
      <c r="G157" s="928" t="s">
        <v>768</v>
      </c>
    </row>
    <row r="158" spans="1:7" ht="12.75" customHeight="1" x14ac:dyDescent="0.2">
      <c r="A158" s="564"/>
      <c r="B158" s="927" t="s">
        <v>742</v>
      </c>
      <c r="C158" s="881"/>
      <c r="D158" s="882">
        <v>8670.91</v>
      </c>
      <c r="E158" s="882"/>
      <c r="F158" s="883"/>
      <c r="G158" s="928" t="s">
        <v>769</v>
      </c>
    </row>
    <row r="159" spans="1:7" ht="12.75" customHeight="1" x14ac:dyDescent="0.2">
      <c r="A159" s="564"/>
      <c r="B159" s="927" t="s">
        <v>743</v>
      </c>
      <c r="C159" s="881"/>
      <c r="D159" s="882">
        <v>2425.35</v>
      </c>
      <c r="E159" s="882"/>
      <c r="F159" s="883"/>
      <c r="G159" s="928" t="s">
        <v>770</v>
      </c>
    </row>
    <row r="160" spans="1:7" ht="12.75" customHeight="1" x14ac:dyDescent="0.2">
      <c r="A160" s="564"/>
      <c r="B160" s="927" t="s">
        <v>744</v>
      </c>
      <c r="C160" s="881"/>
      <c r="D160" s="882">
        <v>3000</v>
      </c>
      <c r="E160" s="882"/>
      <c r="F160" s="883"/>
      <c r="G160" s="928" t="s">
        <v>771</v>
      </c>
    </row>
    <row r="161" spans="1:8" ht="12.75" customHeight="1" x14ac:dyDescent="0.2">
      <c r="A161" s="564"/>
      <c r="B161" s="927" t="s">
        <v>786</v>
      </c>
      <c r="C161" s="881"/>
      <c r="D161" s="882">
        <v>22613.759999999998</v>
      </c>
      <c r="E161" s="882"/>
      <c r="F161" s="883"/>
      <c r="G161" s="928">
        <v>3048</v>
      </c>
    </row>
    <row r="162" spans="1:8" ht="12.75" customHeight="1" x14ac:dyDescent="0.2">
      <c r="A162" s="564"/>
      <c r="B162" s="927" t="s">
        <v>745</v>
      </c>
      <c r="C162" s="881"/>
      <c r="D162" s="882">
        <v>0</v>
      </c>
      <c r="E162" s="882"/>
      <c r="F162" s="883"/>
      <c r="G162" s="928" t="s">
        <v>772</v>
      </c>
    </row>
    <row r="163" spans="1:8" ht="12.75" customHeight="1" x14ac:dyDescent="0.2">
      <c r="A163" s="564"/>
      <c r="B163" s="927" t="s">
        <v>746</v>
      </c>
      <c r="C163" s="881"/>
      <c r="D163" s="882">
        <v>0</v>
      </c>
      <c r="E163" s="882"/>
      <c r="F163" s="883"/>
      <c r="G163" s="928" t="s">
        <v>773</v>
      </c>
    </row>
    <row r="164" spans="1:8" ht="12.75" customHeight="1" x14ac:dyDescent="0.2">
      <c r="A164" s="564"/>
      <c r="B164" s="927" t="s">
        <v>789</v>
      </c>
      <c r="C164" s="881"/>
      <c r="D164" s="882">
        <v>0</v>
      </c>
      <c r="E164" s="882"/>
      <c r="F164" s="883"/>
      <c r="G164" s="928">
        <v>3051</v>
      </c>
    </row>
    <row r="165" spans="1:8" ht="12.75" customHeight="1" x14ac:dyDescent="0.2">
      <c r="A165" s="564"/>
      <c r="B165" s="927" t="s">
        <v>747</v>
      </c>
      <c r="C165" s="881"/>
      <c r="D165" s="882">
        <v>720</v>
      </c>
      <c r="E165" s="882"/>
      <c r="F165" s="883"/>
      <c r="G165" s="928" t="s">
        <v>774</v>
      </c>
    </row>
    <row r="166" spans="1:8" ht="12.75" customHeight="1" x14ac:dyDescent="0.2">
      <c r="A166" s="564"/>
      <c r="B166" s="927" t="s">
        <v>790</v>
      </c>
      <c r="C166" s="881"/>
      <c r="D166" s="882">
        <v>5018</v>
      </c>
      <c r="E166" s="882"/>
      <c r="F166" s="883"/>
      <c r="G166" s="928">
        <v>3056</v>
      </c>
    </row>
    <row r="167" spans="1:8" ht="12.75" customHeight="1" x14ac:dyDescent="0.2">
      <c r="A167" s="564"/>
      <c r="B167" s="927" t="s">
        <v>748</v>
      </c>
      <c r="C167" s="881"/>
      <c r="D167" s="882">
        <v>0</v>
      </c>
      <c r="E167" s="882"/>
      <c r="F167" s="883"/>
      <c r="G167" s="928">
        <v>3057</v>
      </c>
    </row>
    <row r="168" spans="1:8" ht="12.75" customHeight="1" x14ac:dyDescent="0.2">
      <c r="A168" s="564"/>
      <c r="B168" s="927" t="s">
        <v>749</v>
      </c>
      <c r="C168" s="881"/>
      <c r="D168" s="882">
        <v>33405.5</v>
      </c>
      <c r="E168" s="882"/>
      <c r="F168" s="883"/>
      <c r="G168" s="928" t="s">
        <v>776</v>
      </c>
    </row>
    <row r="169" spans="1:8" ht="12.75" customHeight="1" x14ac:dyDescent="0.2">
      <c r="A169" s="564"/>
      <c r="B169" s="927" t="s">
        <v>750</v>
      </c>
      <c r="C169" s="881"/>
      <c r="D169" s="882">
        <v>1123.21</v>
      </c>
      <c r="E169" s="882"/>
      <c r="F169" s="883"/>
      <c r="G169" s="928" t="s">
        <v>777</v>
      </c>
    </row>
    <row r="170" spans="1:8" ht="12.75" customHeight="1" x14ac:dyDescent="0.2">
      <c r="A170" s="564"/>
      <c r="B170" s="927" t="s">
        <v>787</v>
      </c>
      <c r="C170" s="881"/>
      <c r="D170" s="882">
        <v>4386.25</v>
      </c>
      <c r="E170" s="882"/>
      <c r="F170" s="883"/>
      <c r="G170" s="928"/>
    </row>
    <row r="171" spans="1:8" ht="12.75" customHeight="1" x14ac:dyDescent="0.2">
      <c r="A171" s="564"/>
      <c r="B171" s="927" t="s">
        <v>751</v>
      </c>
      <c r="C171" s="881"/>
      <c r="D171" s="882">
        <v>0</v>
      </c>
      <c r="E171" s="882"/>
      <c r="F171" s="883"/>
      <c r="G171" s="928" t="s">
        <v>778</v>
      </c>
    </row>
    <row r="172" spans="1:8" ht="12.75" customHeight="1" x14ac:dyDescent="0.2">
      <c r="A172" s="564"/>
      <c r="B172" s="927" t="s">
        <v>752</v>
      </c>
      <c r="C172" s="881"/>
      <c r="D172" s="882">
        <v>3042.72</v>
      </c>
      <c r="E172" s="882"/>
      <c r="F172" s="883"/>
      <c r="G172" s="928" t="s">
        <v>779</v>
      </c>
    </row>
    <row r="173" spans="1:8" ht="12.75" customHeight="1" x14ac:dyDescent="0.2">
      <c r="A173" s="564"/>
      <c r="B173" s="927" t="s">
        <v>753</v>
      </c>
      <c r="C173" s="881"/>
      <c r="D173" s="882">
        <v>111699.3</v>
      </c>
      <c r="E173" s="882"/>
      <c r="F173" s="883"/>
      <c r="G173" s="928" t="s">
        <v>780</v>
      </c>
      <c r="H173" s="885"/>
    </row>
    <row r="174" spans="1:8" ht="12.75" customHeight="1" x14ac:dyDescent="0.2">
      <c r="A174" s="564"/>
      <c r="B174" s="927" t="s">
        <v>754</v>
      </c>
      <c r="C174" s="881"/>
      <c r="D174" s="882">
        <v>3570.9</v>
      </c>
      <c r="E174" s="882"/>
      <c r="F174" s="883"/>
      <c r="G174" s="928">
        <v>3068</v>
      </c>
      <c r="H174" s="885"/>
    </row>
    <row r="175" spans="1:8" ht="12.75" customHeight="1" x14ac:dyDescent="0.2">
      <c r="A175" s="564"/>
      <c r="B175" s="927" t="s">
        <v>755</v>
      </c>
      <c r="C175" s="881"/>
      <c r="D175" s="882">
        <v>263.48</v>
      </c>
      <c r="E175" s="882"/>
      <c r="F175" s="883"/>
      <c r="G175" s="928">
        <v>3069</v>
      </c>
      <c r="H175" s="885"/>
    </row>
    <row r="176" spans="1:8" ht="12.75" customHeight="1" x14ac:dyDescent="0.2">
      <c r="A176" s="564"/>
      <c r="B176" s="927" t="s">
        <v>791</v>
      </c>
      <c r="C176" s="881"/>
      <c r="D176" s="882">
        <v>0</v>
      </c>
      <c r="E176" s="882"/>
      <c r="F176" s="883"/>
      <c r="G176" s="928">
        <v>3073</v>
      </c>
    </row>
    <row r="177" spans="1:8" ht="12.75" customHeight="1" x14ac:dyDescent="0.2">
      <c r="A177" s="564"/>
      <c r="B177" s="927"/>
      <c r="C177" s="881"/>
      <c r="D177" s="882"/>
      <c r="E177" s="882"/>
      <c r="F177" s="883"/>
      <c r="G177" s="928"/>
      <c r="H177" s="885"/>
    </row>
    <row r="178" spans="1:8" ht="12.75" customHeight="1" x14ac:dyDescent="0.2">
      <c r="A178" s="564"/>
      <c r="B178" s="927"/>
      <c r="C178" s="881"/>
      <c r="D178" s="882"/>
      <c r="E178" s="882"/>
      <c r="F178" s="883"/>
      <c r="G178" s="936"/>
      <c r="H178" s="885"/>
    </row>
    <row r="179" spans="1:8" ht="12.75" customHeight="1" x14ac:dyDescent="0.2">
      <c r="A179" s="564"/>
      <c r="B179" s="884"/>
      <c r="C179" s="926"/>
      <c r="D179" s="882"/>
      <c r="E179" s="882"/>
      <c r="F179" s="883"/>
    </row>
    <row r="180" spans="1:8" ht="12.75" customHeight="1" x14ac:dyDescent="0.2">
      <c r="A180" s="564"/>
      <c r="B180" s="930" t="s">
        <v>326</v>
      </c>
      <c r="D180" s="882">
        <v>199778.02</v>
      </c>
      <c r="E180" s="929">
        <f>SUM(D180)</f>
        <v>199778.02</v>
      </c>
      <c r="F180" s="883"/>
      <c r="G180" s="870">
        <v>3001</v>
      </c>
      <c r="H180" s="885"/>
    </row>
    <row r="181" spans="1:8" ht="12.75" customHeight="1" x14ac:dyDescent="0.2">
      <c r="A181" s="564"/>
      <c r="B181" s="931" t="s">
        <v>481</v>
      </c>
      <c r="C181" s="887"/>
      <c r="D181" s="882"/>
      <c r="E181" s="929">
        <f>SUM(D182:D187)</f>
        <v>1043223.22</v>
      </c>
      <c r="F181" s="883"/>
    </row>
    <row r="182" spans="1:8" ht="12.75" customHeight="1" x14ac:dyDescent="0.2">
      <c r="A182" s="564"/>
      <c r="B182" s="884"/>
      <c r="C182" s="886" t="s">
        <v>327</v>
      </c>
      <c r="D182" s="882">
        <v>100753.39</v>
      </c>
      <c r="E182" s="882"/>
      <c r="F182" s="883"/>
      <c r="G182" s="870">
        <v>4000</v>
      </c>
    </row>
    <row r="183" spans="1:8" ht="12.75" customHeight="1" x14ac:dyDescent="0.2">
      <c r="A183" s="564"/>
      <c r="B183" s="884"/>
      <c r="C183" s="886" t="s">
        <v>328</v>
      </c>
      <c r="D183" s="882">
        <v>545</v>
      </c>
      <c r="E183" s="882"/>
      <c r="F183" s="883"/>
      <c r="G183" s="870">
        <v>4001</v>
      </c>
    </row>
    <row r="184" spans="1:8" ht="12.75" customHeight="1" x14ac:dyDescent="0.2">
      <c r="A184" s="564"/>
      <c r="B184" s="884"/>
      <c r="C184" s="886" t="s">
        <v>329</v>
      </c>
      <c r="D184" s="882">
        <v>813102.87</v>
      </c>
      <c r="E184" s="882"/>
      <c r="F184" s="883"/>
    </row>
    <row r="185" spans="1:8" ht="12.75" customHeight="1" x14ac:dyDescent="0.2">
      <c r="A185" s="564"/>
      <c r="B185" s="884"/>
      <c r="C185" s="886" t="s">
        <v>330</v>
      </c>
      <c r="D185" s="882">
        <v>2188.36</v>
      </c>
      <c r="E185" s="882"/>
      <c r="F185" s="883"/>
    </row>
    <row r="186" spans="1:8" ht="12.75" customHeight="1" x14ac:dyDescent="0.2">
      <c r="A186" s="564"/>
      <c r="B186" s="884"/>
      <c r="C186" s="887" t="s">
        <v>331</v>
      </c>
      <c r="D186" s="882">
        <v>54718.34</v>
      </c>
      <c r="E186" s="882"/>
      <c r="F186" s="883"/>
    </row>
    <row r="187" spans="1:8" ht="12.75" customHeight="1" x14ac:dyDescent="0.2">
      <c r="A187" s="564"/>
      <c r="B187" s="884"/>
      <c r="C187" s="887" t="s">
        <v>133</v>
      </c>
      <c r="D187" s="882">
        <v>71915.259999999995</v>
      </c>
      <c r="E187" s="882"/>
      <c r="F187" s="883"/>
    </row>
    <row r="188" spans="1:8" ht="12.75" customHeight="1" x14ac:dyDescent="0.2">
      <c r="A188" s="888"/>
      <c r="B188" s="889" t="s">
        <v>332</v>
      </c>
      <c r="C188" s="934"/>
      <c r="D188" s="882"/>
      <c r="E188" s="891"/>
      <c r="F188" s="892"/>
    </row>
    <row r="189" spans="1:8" ht="12.75" customHeight="1" x14ac:dyDescent="0.2">
      <c r="A189" s="888"/>
      <c r="B189" s="933" t="s">
        <v>333</v>
      </c>
      <c r="D189" s="882"/>
      <c r="E189" s="932">
        <f>D189</f>
        <v>0</v>
      </c>
      <c r="F189" s="892"/>
      <c r="G189" s="870">
        <v>5000</v>
      </c>
    </row>
    <row r="190" spans="1:8" ht="12.75" customHeight="1" thickBot="1" x14ac:dyDescent="0.25">
      <c r="A190" s="893"/>
      <c r="B190" s="894"/>
      <c r="C190" s="895"/>
      <c r="D190" s="896"/>
      <c r="E190" s="897"/>
      <c r="F190" s="935">
        <f>SUM(E139:E189)</f>
        <v>2297693.23</v>
      </c>
      <c r="H190" s="898">
        <f>'Sched-B1'!B7+'Sched-B2'!E71+'Sched-D1'!F190-10783703.64-772938.71</f>
        <v>9.3132257461547852E-10</v>
      </c>
    </row>
    <row r="191" spans="1:8" ht="12.75" customHeight="1" x14ac:dyDescent="0.2">
      <c r="A191" s="875" t="s">
        <v>794</v>
      </c>
      <c r="B191" s="876" t="s">
        <v>50</v>
      </c>
      <c r="C191" s="877"/>
      <c r="D191" s="878"/>
      <c r="E191" s="879">
        <v>2399.59</v>
      </c>
      <c r="F191" s="880"/>
      <c r="G191" s="870">
        <v>2000</v>
      </c>
    </row>
    <row r="192" spans="1:8" ht="12.75" customHeight="1" x14ac:dyDescent="0.2">
      <c r="A192" s="564"/>
      <c r="B192" s="925" t="s">
        <v>728</v>
      </c>
      <c r="C192" s="881"/>
      <c r="D192" s="882"/>
      <c r="E192" s="929">
        <f>SUM(D193:D230)</f>
        <v>8440683.0800000001</v>
      </c>
      <c r="F192" s="883"/>
    </row>
    <row r="193" spans="1:7" ht="12.75" customHeight="1" x14ac:dyDescent="0.2">
      <c r="A193" s="564"/>
      <c r="B193" s="927" t="s">
        <v>729</v>
      </c>
      <c r="C193" s="881"/>
      <c r="D193" s="882">
        <v>6435</v>
      </c>
      <c r="E193" s="882"/>
      <c r="F193" s="883"/>
      <c r="G193" s="928" t="s">
        <v>756</v>
      </c>
    </row>
    <row r="194" spans="1:7" ht="12.75" customHeight="1" x14ac:dyDescent="0.2">
      <c r="A194" s="564"/>
      <c r="B194" s="927" t="s">
        <v>730</v>
      </c>
      <c r="C194" s="881"/>
      <c r="D194" s="882">
        <v>4975.75</v>
      </c>
      <c r="E194" s="882"/>
      <c r="F194" s="883"/>
      <c r="G194" s="928" t="s">
        <v>757</v>
      </c>
    </row>
    <row r="195" spans="1:7" ht="12.75" customHeight="1" x14ac:dyDescent="0.2">
      <c r="A195" s="564"/>
      <c r="B195" s="927" t="s">
        <v>788</v>
      </c>
      <c r="C195" s="881"/>
      <c r="D195" s="882">
        <v>0</v>
      </c>
      <c r="E195" s="882"/>
      <c r="F195" s="883"/>
      <c r="G195" s="928">
        <v>3003</v>
      </c>
    </row>
    <row r="196" spans="1:7" ht="12.75" customHeight="1" x14ac:dyDescent="0.2">
      <c r="A196" s="564"/>
      <c r="B196" s="927" t="s">
        <v>731</v>
      </c>
      <c r="C196" s="881"/>
      <c r="D196" s="882">
        <v>942.54</v>
      </c>
      <c r="E196" s="882"/>
      <c r="F196" s="883"/>
      <c r="G196" s="928" t="s">
        <v>758</v>
      </c>
    </row>
    <row r="197" spans="1:7" ht="12.75" customHeight="1" x14ac:dyDescent="0.2">
      <c r="A197" s="564"/>
      <c r="B197" s="927" t="s">
        <v>732</v>
      </c>
      <c r="C197" s="881"/>
      <c r="D197" s="882">
        <v>3375.55</v>
      </c>
      <c r="E197" s="882"/>
      <c r="F197" s="883"/>
      <c r="G197" s="928" t="s">
        <v>759</v>
      </c>
    </row>
    <row r="198" spans="1:7" ht="12.75" customHeight="1" x14ac:dyDescent="0.2">
      <c r="A198" s="564"/>
      <c r="B198" s="927" t="s">
        <v>733</v>
      </c>
      <c r="C198" s="881"/>
      <c r="D198" s="882">
        <v>0</v>
      </c>
      <c r="E198" s="882"/>
      <c r="F198" s="883"/>
      <c r="G198" s="928" t="s">
        <v>760</v>
      </c>
    </row>
    <row r="199" spans="1:7" ht="12.75" customHeight="1" x14ac:dyDescent="0.2">
      <c r="A199" s="564"/>
      <c r="B199" s="937" t="s">
        <v>51</v>
      </c>
      <c r="C199" s="881"/>
      <c r="D199" s="882">
        <v>3016946.77</v>
      </c>
      <c r="E199" s="882"/>
      <c r="F199" s="883"/>
      <c r="G199" s="928"/>
    </row>
    <row r="200" spans="1:7" ht="12.75" customHeight="1" x14ac:dyDescent="0.2">
      <c r="A200" s="564"/>
      <c r="B200" s="927" t="s">
        <v>793</v>
      </c>
      <c r="C200" s="881"/>
      <c r="D200" s="882">
        <v>0</v>
      </c>
      <c r="E200" s="882"/>
      <c r="F200" s="883"/>
      <c r="G200" s="928">
        <v>3029</v>
      </c>
    </row>
    <row r="201" spans="1:7" ht="12.75" customHeight="1" x14ac:dyDescent="0.2">
      <c r="A201" s="564"/>
      <c r="B201" s="927" t="s">
        <v>734</v>
      </c>
      <c r="C201" s="881"/>
      <c r="D201" s="882">
        <v>1480.88</v>
      </c>
      <c r="E201" s="882"/>
      <c r="F201" s="883"/>
      <c r="G201" s="928" t="s">
        <v>761</v>
      </c>
    </row>
    <row r="202" spans="1:7" ht="12.75" customHeight="1" x14ac:dyDescent="0.2">
      <c r="A202" s="564"/>
      <c r="B202" s="927" t="s">
        <v>735</v>
      </c>
      <c r="C202" s="881"/>
      <c r="D202" s="882">
        <v>205663.35</v>
      </c>
      <c r="E202" s="882"/>
      <c r="F202" s="883"/>
      <c r="G202" s="928" t="s">
        <v>762</v>
      </c>
    </row>
    <row r="203" spans="1:7" ht="12.75" customHeight="1" x14ac:dyDescent="0.2">
      <c r="A203" s="564"/>
      <c r="B203" s="927" t="s">
        <v>785</v>
      </c>
      <c r="C203" s="881"/>
      <c r="D203" s="882">
        <v>52986.6</v>
      </c>
      <c r="E203" s="882"/>
      <c r="F203" s="883"/>
      <c r="G203" s="928">
        <v>3034</v>
      </c>
    </row>
    <row r="204" spans="1:7" ht="12.75" customHeight="1" x14ac:dyDescent="0.2">
      <c r="A204" s="564"/>
      <c r="B204" s="927" t="s">
        <v>736</v>
      </c>
      <c r="C204" s="881"/>
      <c r="D204" s="882">
        <v>3907.16</v>
      </c>
      <c r="E204" s="882"/>
      <c r="F204" s="883"/>
      <c r="G204" s="928" t="s">
        <v>763</v>
      </c>
    </row>
    <row r="205" spans="1:7" ht="12.75" customHeight="1" x14ac:dyDescent="0.2">
      <c r="A205" s="564"/>
      <c r="B205" s="927" t="s">
        <v>737</v>
      </c>
      <c r="C205" s="881"/>
      <c r="D205" s="882">
        <v>93314.22</v>
      </c>
      <c r="E205" s="882"/>
      <c r="F205" s="883"/>
      <c r="G205" s="928" t="s">
        <v>764</v>
      </c>
    </row>
    <row r="206" spans="1:7" ht="12.75" customHeight="1" x14ac:dyDescent="0.2">
      <c r="A206" s="564"/>
      <c r="B206" s="927" t="s">
        <v>738</v>
      </c>
      <c r="C206" s="881"/>
      <c r="D206" s="882">
        <v>2281.8200000000002</v>
      </c>
      <c r="E206" s="882"/>
      <c r="F206" s="883"/>
      <c r="G206" s="928" t="s">
        <v>765</v>
      </c>
    </row>
    <row r="207" spans="1:7" ht="12.75" customHeight="1" x14ac:dyDescent="0.2">
      <c r="A207" s="564"/>
      <c r="B207" s="927" t="s">
        <v>739</v>
      </c>
      <c r="C207" s="881"/>
      <c r="D207" s="882">
        <v>3016.95</v>
      </c>
      <c r="E207" s="882"/>
      <c r="F207" s="883"/>
      <c r="G207" s="928" t="s">
        <v>766</v>
      </c>
    </row>
    <row r="208" spans="1:7" ht="12.75" customHeight="1" x14ac:dyDescent="0.2">
      <c r="A208" s="564"/>
      <c r="B208" s="927" t="s">
        <v>740</v>
      </c>
      <c r="C208" s="881"/>
      <c r="D208" s="882">
        <v>2400</v>
      </c>
      <c r="E208" s="882"/>
      <c r="F208" s="883"/>
      <c r="G208" s="928" t="s">
        <v>767</v>
      </c>
    </row>
    <row r="209" spans="1:7" ht="12.75" customHeight="1" x14ac:dyDescent="0.2">
      <c r="A209" s="564"/>
      <c r="B209" s="927" t="s">
        <v>741</v>
      </c>
      <c r="C209" s="881"/>
      <c r="D209" s="882">
        <v>2638076.48</v>
      </c>
      <c r="E209" s="882"/>
      <c r="F209" s="883"/>
      <c r="G209" s="928" t="s">
        <v>768</v>
      </c>
    </row>
    <row r="210" spans="1:7" ht="12.75" customHeight="1" x14ac:dyDescent="0.2">
      <c r="A210" s="564"/>
      <c r="B210" s="927" t="s">
        <v>795</v>
      </c>
      <c r="C210" s="881"/>
      <c r="D210" s="882">
        <v>11598.25</v>
      </c>
      <c r="E210" s="882"/>
      <c r="F210" s="883"/>
      <c r="G210" s="928">
        <v>3042</v>
      </c>
    </row>
    <row r="211" spans="1:7" ht="12.75" customHeight="1" x14ac:dyDescent="0.2">
      <c r="A211" s="564"/>
      <c r="B211" s="927" t="s">
        <v>742</v>
      </c>
      <c r="C211" s="881"/>
      <c r="D211" s="882">
        <v>6832.32</v>
      </c>
      <c r="E211" s="882"/>
      <c r="F211" s="883"/>
      <c r="G211" s="928" t="s">
        <v>769</v>
      </c>
    </row>
    <row r="212" spans="1:7" ht="12.75" customHeight="1" x14ac:dyDescent="0.2">
      <c r="A212" s="564"/>
      <c r="B212" s="927" t="s">
        <v>743</v>
      </c>
      <c r="C212" s="881"/>
      <c r="D212" s="882">
        <v>1996.66</v>
      </c>
      <c r="E212" s="882"/>
      <c r="F212" s="883"/>
      <c r="G212" s="928" t="s">
        <v>770</v>
      </c>
    </row>
    <row r="213" spans="1:7" ht="12.75" customHeight="1" x14ac:dyDescent="0.2">
      <c r="A213" s="564"/>
      <c r="B213" s="927" t="s">
        <v>744</v>
      </c>
      <c r="C213" s="881"/>
      <c r="D213" s="882">
        <v>40090.160000000003</v>
      </c>
      <c r="E213" s="882"/>
      <c r="F213" s="883"/>
      <c r="G213" s="928" t="s">
        <v>771</v>
      </c>
    </row>
    <row r="214" spans="1:7" ht="12.75" customHeight="1" x14ac:dyDescent="0.2">
      <c r="A214" s="564"/>
      <c r="B214" s="927" t="s">
        <v>786</v>
      </c>
      <c r="C214" s="881"/>
      <c r="D214" s="882">
        <v>0</v>
      </c>
      <c r="E214" s="882"/>
      <c r="F214" s="883"/>
      <c r="G214" s="928">
        <v>3048</v>
      </c>
    </row>
    <row r="215" spans="1:7" ht="12.75" customHeight="1" x14ac:dyDescent="0.2">
      <c r="A215" s="564"/>
      <c r="B215" s="927" t="s">
        <v>745</v>
      </c>
      <c r="C215" s="881"/>
      <c r="D215" s="882">
        <v>492.5</v>
      </c>
      <c r="E215" s="882"/>
      <c r="F215" s="883"/>
      <c r="G215" s="928" t="s">
        <v>772</v>
      </c>
    </row>
    <row r="216" spans="1:7" ht="12.75" customHeight="1" x14ac:dyDescent="0.2">
      <c r="A216" s="564"/>
      <c r="B216" s="927" t="s">
        <v>746</v>
      </c>
      <c r="C216" s="881"/>
      <c r="D216" s="882">
        <v>55301.82</v>
      </c>
      <c r="E216" s="882"/>
      <c r="F216" s="883"/>
      <c r="G216" s="928" t="s">
        <v>773</v>
      </c>
    </row>
    <row r="217" spans="1:7" ht="12.75" customHeight="1" x14ac:dyDescent="0.2">
      <c r="A217" s="564"/>
      <c r="B217" s="927" t="s">
        <v>789</v>
      </c>
      <c r="C217" s="881"/>
      <c r="D217" s="882">
        <v>4255.3100000000004</v>
      </c>
      <c r="E217" s="882"/>
      <c r="F217" s="883"/>
      <c r="G217" s="928">
        <v>3051</v>
      </c>
    </row>
    <row r="218" spans="1:7" ht="12.75" customHeight="1" x14ac:dyDescent="0.2">
      <c r="A218" s="564"/>
      <c r="B218" s="927" t="s">
        <v>747</v>
      </c>
      <c r="C218" s="881"/>
      <c r="D218" s="882">
        <v>47487.4</v>
      </c>
      <c r="E218" s="882"/>
      <c r="F218" s="883"/>
      <c r="G218" s="928" t="s">
        <v>774</v>
      </c>
    </row>
    <row r="219" spans="1:7" ht="12.75" customHeight="1" x14ac:dyDescent="0.2">
      <c r="A219" s="564"/>
      <c r="B219" s="927" t="s">
        <v>790</v>
      </c>
      <c r="C219" s="881"/>
      <c r="D219" s="882">
        <v>33133.46</v>
      </c>
      <c r="E219" s="882"/>
      <c r="F219" s="883"/>
      <c r="G219" s="928">
        <v>3056</v>
      </c>
    </row>
    <row r="220" spans="1:7" ht="12.75" customHeight="1" x14ac:dyDescent="0.2">
      <c r="A220" s="564"/>
      <c r="B220" s="927" t="s">
        <v>748</v>
      </c>
      <c r="C220" s="881"/>
      <c r="D220" s="882">
        <v>1224956.6399999999</v>
      </c>
      <c r="E220" s="882"/>
      <c r="F220" s="883"/>
      <c r="G220" s="928">
        <v>3057</v>
      </c>
    </row>
    <row r="221" spans="1:7" ht="12.75" customHeight="1" x14ac:dyDescent="0.2">
      <c r="A221" s="564"/>
      <c r="B221" s="927" t="s">
        <v>749</v>
      </c>
      <c r="C221" s="881"/>
      <c r="D221" s="882">
        <v>165229.28</v>
      </c>
      <c r="E221" s="882"/>
      <c r="F221" s="883"/>
      <c r="G221" s="928" t="s">
        <v>776</v>
      </c>
    </row>
    <row r="222" spans="1:7" ht="12.75" customHeight="1" x14ac:dyDescent="0.2">
      <c r="A222" s="564"/>
      <c r="B222" s="927" t="s">
        <v>750</v>
      </c>
      <c r="C222" s="881"/>
      <c r="D222" s="882">
        <v>27548.959999999999</v>
      </c>
      <c r="E222" s="882"/>
      <c r="F222" s="883"/>
      <c r="G222" s="928" t="s">
        <v>777</v>
      </c>
    </row>
    <row r="223" spans="1:7" ht="12.75" customHeight="1" x14ac:dyDescent="0.2">
      <c r="A223" s="564"/>
      <c r="B223" s="927" t="s">
        <v>787</v>
      </c>
      <c r="C223" s="881"/>
      <c r="D223" s="882">
        <v>127.05</v>
      </c>
      <c r="E223" s="882"/>
      <c r="F223" s="883"/>
      <c r="G223" s="928">
        <v>3061</v>
      </c>
    </row>
    <row r="224" spans="1:7" ht="12.75" customHeight="1" x14ac:dyDescent="0.2">
      <c r="A224" s="564"/>
      <c r="B224" s="927" t="s">
        <v>796</v>
      </c>
      <c r="C224" s="881"/>
      <c r="D224" s="882">
        <v>126454.5</v>
      </c>
      <c r="E224" s="882"/>
      <c r="F224" s="883"/>
      <c r="G224" s="928">
        <v>3063</v>
      </c>
    </row>
    <row r="225" spans="1:8" ht="12.75" customHeight="1" x14ac:dyDescent="0.2">
      <c r="A225" s="564"/>
      <c r="B225" s="927" t="s">
        <v>751</v>
      </c>
      <c r="C225" s="881"/>
      <c r="D225" s="882">
        <v>0</v>
      </c>
      <c r="E225" s="882"/>
      <c r="F225" s="883"/>
      <c r="G225" s="928" t="s">
        <v>778</v>
      </c>
    </row>
    <row r="226" spans="1:8" ht="12.75" customHeight="1" x14ac:dyDescent="0.2">
      <c r="A226" s="564"/>
      <c r="B226" s="927" t="s">
        <v>752</v>
      </c>
      <c r="C226" s="881"/>
      <c r="D226" s="882">
        <v>12770.99</v>
      </c>
      <c r="E226" s="882"/>
      <c r="F226" s="883"/>
      <c r="G226" s="928" t="s">
        <v>779</v>
      </c>
    </row>
    <row r="227" spans="1:8" ht="12.75" customHeight="1" x14ac:dyDescent="0.2">
      <c r="A227" s="564"/>
      <c r="B227" s="927" t="s">
        <v>753</v>
      </c>
      <c r="C227" s="881"/>
      <c r="D227" s="882">
        <v>644800.11</v>
      </c>
      <c r="E227" s="882"/>
      <c r="F227" s="883"/>
      <c r="G227" s="928" t="s">
        <v>780</v>
      </c>
      <c r="H227" s="885"/>
    </row>
    <row r="228" spans="1:8" ht="12.75" customHeight="1" x14ac:dyDescent="0.2">
      <c r="A228" s="564"/>
      <c r="B228" s="927" t="s">
        <v>754</v>
      </c>
      <c r="C228" s="881"/>
      <c r="D228" s="882">
        <v>1748.08</v>
      </c>
      <c r="E228" s="882"/>
      <c r="F228" s="883"/>
      <c r="G228" s="928">
        <v>3068</v>
      </c>
      <c r="H228" s="885"/>
    </row>
    <row r="229" spans="1:8" ht="12.75" customHeight="1" x14ac:dyDescent="0.2">
      <c r="A229" s="564"/>
      <c r="B229" s="927" t="s">
        <v>755</v>
      </c>
      <c r="C229" s="881"/>
      <c r="D229" s="882">
        <v>56.52</v>
      </c>
      <c r="E229" s="882"/>
      <c r="F229" s="883"/>
      <c r="G229" s="928">
        <v>3069</v>
      </c>
      <c r="H229" s="885"/>
    </row>
    <row r="230" spans="1:8" ht="12.75" customHeight="1" x14ac:dyDescent="0.2">
      <c r="A230" s="564"/>
      <c r="B230" s="927" t="s">
        <v>791</v>
      </c>
      <c r="C230" s="881"/>
      <c r="D230" s="882">
        <v>0</v>
      </c>
      <c r="E230" s="882"/>
      <c r="F230" s="883"/>
      <c r="G230" s="928">
        <v>3073</v>
      </c>
    </row>
    <row r="231" spans="1:8" ht="12.75" customHeight="1" x14ac:dyDescent="0.2">
      <c r="A231" s="564"/>
      <c r="B231" s="930" t="s">
        <v>326</v>
      </c>
      <c r="D231" s="882">
        <v>856809.16</v>
      </c>
      <c r="E231" s="929">
        <f>SUM(D231)</f>
        <v>856809.16</v>
      </c>
      <c r="F231" s="883"/>
      <c r="G231" s="870">
        <v>3001</v>
      </c>
      <c r="H231" s="885"/>
    </row>
    <row r="232" spans="1:8" ht="12.75" customHeight="1" x14ac:dyDescent="0.2">
      <c r="A232" s="564"/>
      <c r="B232" s="931" t="s">
        <v>481</v>
      </c>
      <c r="C232" s="887"/>
      <c r="D232" s="882"/>
      <c r="E232" s="929">
        <f>SUM(D233:D238)</f>
        <v>4173857.54</v>
      </c>
      <c r="F232" s="883"/>
    </row>
    <row r="233" spans="1:8" ht="12.75" customHeight="1" x14ac:dyDescent="0.2">
      <c r="A233" s="564"/>
      <c r="B233" s="884"/>
      <c r="C233" s="886" t="s">
        <v>327</v>
      </c>
      <c r="D233" s="882">
        <v>313180.28000000003</v>
      </c>
      <c r="E233" s="882"/>
      <c r="F233" s="883"/>
      <c r="G233" s="870">
        <v>4000</v>
      </c>
    </row>
    <row r="234" spans="1:8" ht="12.75" customHeight="1" x14ac:dyDescent="0.2">
      <c r="A234" s="564"/>
      <c r="B234" s="884"/>
      <c r="C234" s="886" t="s">
        <v>328</v>
      </c>
      <c r="D234" s="882">
        <v>182390.32</v>
      </c>
      <c r="E234" s="882"/>
      <c r="F234" s="883"/>
      <c r="G234" s="870">
        <v>4001</v>
      </c>
    </row>
    <row r="235" spans="1:8" ht="12.75" customHeight="1" x14ac:dyDescent="0.2">
      <c r="A235" s="564"/>
      <c r="B235" s="884"/>
      <c r="C235" s="886" t="s">
        <v>329</v>
      </c>
      <c r="D235" s="882">
        <v>2985690.5</v>
      </c>
      <c r="E235" s="882"/>
      <c r="F235" s="883"/>
    </row>
    <row r="236" spans="1:8" ht="12.75" customHeight="1" x14ac:dyDescent="0.2">
      <c r="A236" s="564"/>
      <c r="B236" s="884"/>
      <c r="C236" s="886" t="s">
        <v>330</v>
      </c>
      <c r="D236" s="882">
        <v>26018.76</v>
      </c>
      <c r="E236" s="882"/>
      <c r="F236" s="883"/>
    </row>
    <row r="237" spans="1:8" ht="12.75" customHeight="1" x14ac:dyDescent="0.2">
      <c r="A237" s="564"/>
      <c r="B237" s="884"/>
      <c r="C237" s="887" t="s">
        <v>331</v>
      </c>
      <c r="D237" s="882">
        <v>71158.48</v>
      </c>
      <c r="E237" s="882"/>
      <c r="F237" s="883"/>
    </row>
    <row r="238" spans="1:8" ht="12.75" customHeight="1" x14ac:dyDescent="0.2">
      <c r="A238" s="564"/>
      <c r="B238" s="884"/>
      <c r="C238" s="887" t="s">
        <v>133</v>
      </c>
      <c r="D238" s="882">
        <v>595419.19999999995</v>
      </c>
      <c r="E238" s="882"/>
      <c r="F238" s="883"/>
    </row>
    <row r="239" spans="1:8" ht="12.75" customHeight="1" x14ac:dyDescent="0.2">
      <c r="A239" s="888"/>
      <c r="B239" s="889" t="s">
        <v>332</v>
      </c>
      <c r="C239" s="934"/>
      <c r="D239" s="882"/>
      <c r="E239" s="891"/>
      <c r="F239" s="892"/>
    </row>
    <row r="240" spans="1:8" ht="12.75" customHeight="1" x14ac:dyDescent="0.2">
      <c r="A240" s="888"/>
      <c r="B240" s="933" t="s">
        <v>333</v>
      </c>
      <c r="D240" s="882">
        <f>59463.54+50553.9</f>
        <v>110017.44</v>
      </c>
      <c r="E240" s="932">
        <f>D240</f>
        <v>110017.44</v>
      </c>
      <c r="F240" s="892"/>
      <c r="G240" s="870">
        <v>5000</v>
      </c>
    </row>
    <row r="241" spans="1:8" ht="12.75" customHeight="1" thickBot="1" x14ac:dyDescent="0.25">
      <c r="A241" s="893"/>
      <c r="B241" s="894"/>
      <c r="C241" s="895"/>
      <c r="D241" s="896"/>
      <c r="E241" s="897"/>
      <c r="F241" s="935">
        <f>SUM(E191:E240)</f>
        <v>13583766.810000001</v>
      </c>
      <c r="H241" s="898">
        <f>'Sched-B1'!B8+'Sched-B2'!E88+'Sched-D1'!F241-41831486.92-3016946.77</f>
        <v>0</v>
      </c>
    </row>
    <row r="242" spans="1:8" ht="12.75" customHeight="1" x14ac:dyDescent="0.2">
      <c r="A242" s="875" t="s">
        <v>16</v>
      </c>
      <c r="B242" s="876" t="s">
        <v>50</v>
      </c>
      <c r="C242" s="877"/>
      <c r="D242" s="878"/>
      <c r="E242" s="879">
        <v>35440.839999999997</v>
      </c>
      <c r="F242" s="880"/>
      <c r="G242" s="870">
        <v>2000</v>
      </c>
    </row>
    <row r="243" spans="1:8" ht="12.75" customHeight="1" x14ac:dyDescent="0.2">
      <c r="A243" s="564"/>
      <c r="B243" s="925" t="s">
        <v>728</v>
      </c>
      <c r="C243" s="881"/>
      <c r="D243" s="882"/>
      <c r="E243" s="929">
        <f>SUM(D244:D284)</f>
        <v>182195.69999999998</v>
      </c>
      <c r="F243" s="883"/>
      <c r="H243" s="870" t="s">
        <v>810</v>
      </c>
    </row>
    <row r="244" spans="1:8" ht="12.75" customHeight="1" x14ac:dyDescent="0.2">
      <c r="A244" s="564"/>
      <c r="B244" s="927" t="s">
        <v>729</v>
      </c>
      <c r="C244" s="881"/>
      <c r="D244" s="882">
        <v>0</v>
      </c>
      <c r="E244" s="882"/>
      <c r="F244" s="883"/>
      <c r="G244" s="928" t="s">
        <v>756</v>
      </c>
    </row>
    <row r="245" spans="1:8" ht="12.75" customHeight="1" x14ac:dyDescent="0.2">
      <c r="A245" s="564"/>
      <c r="B245" s="927" t="s">
        <v>730</v>
      </c>
      <c r="C245" s="881"/>
      <c r="D245" s="882">
        <v>232.75</v>
      </c>
      <c r="E245" s="882"/>
      <c r="F245" s="883"/>
      <c r="G245" s="928" t="s">
        <v>757</v>
      </c>
    </row>
    <row r="246" spans="1:8" ht="12.75" customHeight="1" x14ac:dyDescent="0.2">
      <c r="A246" s="564"/>
      <c r="B246" s="927" t="s">
        <v>788</v>
      </c>
      <c r="C246" s="881"/>
      <c r="D246" s="882">
        <v>71.75</v>
      </c>
      <c r="E246" s="882"/>
      <c r="F246" s="883"/>
      <c r="G246" s="928">
        <v>3003</v>
      </c>
    </row>
    <row r="247" spans="1:8" ht="12.75" customHeight="1" x14ac:dyDescent="0.2">
      <c r="A247" s="564"/>
      <c r="B247" s="927" t="s">
        <v>731</v>
      </c>
      <c r="C247" s="881"/>
      <c r="D247" s="882">
        <v>0</v>
      </c>
      <c r="E247" s="882"/>
      <c r="F247" s="883"/>
      <c r="G247" s="928" t="s">
        <v>758</v>
      </c>
    </row>
    <row r="248" spans="1:8" ht="12.75" customHeight="1" x14ac:dyDescent="0.2">
      <c r="A248" s="564"/>
      <c r="B248" s="927" t="s">
        <v>800</v>
      </c>
      <c r="C248" s="881"/>
      <c r="D248" s="882">
        <v>121.11</v>
      </c>
      <c r="E248" s="882"/>
      <c r="F248" s="883"/>
      <c r="G248" s="928">
        <v>3014</v>
      </c>
    </row>
    <row r="249" spans="1:8" ht="12.75" customHeight="1" x14ac:dyDescent="0.2">
      <c r="A249" s="564"/>
      <c r="B249" s="927" t="s">
        <v>732</v>
      </c>
      <c r="C249" s="881"/>
      <c r="D249" s="882">
        <v>0</v>
      </c>
      <c r="E249" s="882"/>
      <c r="F249" s="883"/>
      <c r="G249" s="928" t="s">
        <v>759</v>
      </c>
    </row>
    <row r="250" spans="1:8" ht="12.75" customHeight="1" x14ac:dyDescent="0.2">
      <c r="A250" s="564"/>
      <c r="B250" s="927" t="s">
        <v>733</v>
      </c>
      <c r="C250" s="881"/>
      <c r="D250" s="882">
        <v>0</v>
      </c>
      <c r="E250" s="882"/>
      <c r="F250" s="883"/>
      <c r="G250" s="928" t="s">
        <v>760</v>
      </c>
    </row>
    <row r="251" spans="1:8" ht="12.75" customHeight="1" x14ac:dyDescent="0.2">
      <c r="A251" s="564"/>
      <c r="B251" s="937" t="s">
        <v>51</v>
      </c>
      <c r="C251" s="881"/>
      <c r="D251" s="882">
        <v>91714.37</v>
      </c>
      <c r="E251" s="882"/>
      <c r="F251" s="883"/>
      <c r="G251" s="928"/>
    </row>
    <row r="252" spans="1:8" ht="12.75" customHeight="1" x14ac:dyDescent="0.2">
      <c r="A252" s="564"/>
      <c r="B252" s="927" t="s">
        <v>793</v>
      </c>
      <c r="C252" s="881"/>
      <c r="D252" s="882">
        <v>0</v>
      </c>
      <c r="E252" s="882"/>
      <c r="F252" s="883"/>
      <c r="G252" s="928">
        <v>3029</v>
      </c>
    </row>
    <row r="253" spans="1:8" ht="12.75" customHeight="1" x14ac:dyDescent="0.2">
      <c r="A253" s="564"/>
      <c r="B253" s="927" t="s">
        <v>734</v>
      </c>
      <c r="C253" s="881"/>
      <c r="D253" s="882">
        <v>0</v>
      </c>
      <c r="E253" s="882"/>
      <c r="F253" s="883"/>
      <c r="G253" s="928" t="s">
        <v>761</v>
      </c>
    </row>
    <row r="254" spans="1:8" ht="12.75" customHeight="1" x14ac:dyDescent="0.2">
      <c r="A254" s="564"/>
      <c r="B254" s="927" t="s">
        <v>735</v>
      </c>
      <c r="C254" s="881"/>
      <c r="D254" s="882">
        <v>10016.14</v>
      </c>
      <c r="E254" s="882"/>
      <c r="F254" s="883"/>
      <c r="G254" s="928" t="s">
        <v>762</v>
      </c>
    </row>
    <row r="255" spans="1:8" ht="12.75" customHeight="1" x14ac:dyDescent="0.2">
      <c r="A255" s="564"/>
      <c r="B255" s="927" t="s">
        <v>785</v>
      </c>
      <c r="C255" s="881"/>
      <c r="D255" s="882">
        <v>955.14</v>
      </c>
      <c r="E255" s="882"/>
      <c r="F255" s="883"/>
      <c r="G255" s="928">
        <v>3034</v>
      </c>
    </row>
    <row r="256" spans="1:8" ht="12.75" customHeight="1" x14ac:dyDescent="0.2">
      <c r="A256" s="564"/>
      <c r="B256" s="927" t="s">
        <v>736</v>
      </c>
      <c r="C256" s="881"/>
      <c r="D256" s="882">
        <v>2406.09</v>
      </c>
      <c r="E256" s="882"/>
      <c r="F256" s="883"/>
      <c r="G256" s="928" t="s">
        <v>763</v>
      </c>
    </row>
    <row r="257" spans="1:7" ht="12.75" customHeight="1" x14ac:dyDescent="0.2">
      <c r="A257" s="564"/>
      <c r="B257" s="927" t="s">
        <v>737</v>
      </c>
      <c r="C257" s="881"/>
      <c r="D257" s="882">
        <v>12071.68</v>
      </c>
      <c r="E257" s="882"/>
      <c r="F257" s="883"/>
      <c r="G257" s="928" t="s">
        <v>764</v>
      </c>
    </row>
    <row r="258" spans="1:7" ht="12.75" customHeight="1" x14ac:dyDescent="0.2">
      <c r="A258" s="564"/>
      <c r="B258" s="927" t="s">
        <v>738</v>
      </c>
      <c r="C258" s="881"/>
      <c r="D258" s="882">
        <v>0</v>
      </c>
      <c r="E258" s="882"/>
      <c r="F258" s="883"/>
      <c r="G258" s="928" t="s">
        <v>765</v>
      </c>
    </row>
    <row r="259" spans="1:7" ht="12.75" customHeight="1" x14ac:dyDescent="0.2">
      <c r="A259" s="564"/>
      <c r="B259" s="927" t="s">
        <v>739</v>
      </c>
      <c r="C259" s="881"/>
      <c r="D259" s="882">
        <v>146.46</v>
      </c>
      <c r="E259" s="882"/>
      <c r="F259" s="883"/>
      <c r="G259" s="928" t="s">
        <v>766</v>
      </c>
    </row>
    <row r="260" spans="1:7" ht="12.75" customHeight="1" x14ac:dyDescent="0.2">
      <c r="A260" s="564"/>
      <c r="B260" s="927" t="s">
        <v>740</v>
      </c>
      <c r="C260" s="881"/>
      <c r="D260" s="882">
        <v>0</v>
      </c>
      <c r="E260" s="882"/>
      <c r="F260" s="883"/>
      <c r="G260" s="928" t="s">
        <v>767</v>
      </c>
    </row>
    <row r="261" spans="1:7" ht="12.75" customHeight="1" x14ac:dyDescent="0.2">
      <c r="A261" s="564"/>
      <c r="B261" s="927" t="s">
        <v>741</v>
      </c>
      <c r="C261" s="881"/>
      <c r="D261" s="882">
        <v>210</v>
      </c>
      <c r="E261" s="882"/>
      <c r="F261" s="883"/>
      <c r="G261" s="928" t="s">
        <v>768</v>
      </c>
    </row>
    <row r="262" spans="1:7" ht="12.75" customHeight="1" x14ac:dyDescent="0.2">
      <c r="A262" s="564"/>
      <c r="B262" s="927" t="s">
        <v>795</v>
      </c>
      <c r="C262" s="881"/>
      <c r="D262" s="882">
        <v>0</v>
      </c>
      <c r="E262" s="882"/>
      <c r="F262" s="883"/>
      <c r="G262" s="928">
        <v>3042</v>
      </c>
    </row>
    <row r="263" spans="1:7" ht="12.75" customHeight="1" x14ac:dyDescent="0.2">
      <c r="A263" s="564"/>
      <c r="B263" s="927" t="s">
        <v>742</v>
      </c>
      <c r="C263" s="881"/>
      <c r="D263" s="882">
        <v>255.34</v>
      </c>
      <c r="E263" s="882"/>
      <c r="F263" s="883"/>
      <c r="G263" s="928" t="s">
        <v>769</v>
      </c>
    </row>
    <row r="264" spans="1:7" ht="12.75" customHeight="1" x14ac:dyDescent="0.2">
      <c r="A264" s="564"/>
      <c r="B264" s="927" t="s">
        <v>743</v>
      </c>
      <c r="C264" s="881"/>
      <c r="D264" s="882">
        <v>3466.79</v>
      </c>
      <c r="E264" s="882"/>
      <c r="F264" s="883"/>
      <c r="G264" s="928" t="s">
        <v>770</v>
      </c>
    </row>
    <row r="265" spans="1:7" ht="12.75" customHeight="1" x14ac:dyDescent="0.2">
      <c r="A265" s="564"/>
      <c r="B265" s="927" t="s">
        <v>744</v>
      </c>
      <c r="C265" s="881"/>
      <c r="D265" s="882">
        <v>1000</v>
      </c>
      <c r="E265" s="882"/>
      <c r="F265" s="883"/>
      <c r="G265" s="928" t="s">
        <v>771</v>
      </c>
    </row>
    <row r="266" spans="1:7" ht="12.75" customHeight="1" x14ac:dyDescent="0.2">
      <c r="A266" s="564"/>
      <c r="B266" s="927" t="s">
        <v>786</v>
      </c>
      <c r="C266" s="881"/>
      <c r="D266" s="882">
        <v>0</v>
      </c>
      <c r="E266" s="882"/>
      <c r="F266" s="883"/>
      <c r="G266" s="928">
        <v>3048</v>
      </c>
    </row>
    <row r="267" spans="1:7" ht="12.75" customHeight="1" x14ac:dyDescent="0.2">
      <c r="A267" s="564"/>
      <c r="B267" s="927" t="s">
        <v>745</v>
      </c>
      <c r="C267" s="881"/>
      <c r="D267" s="882">
        <v>0</v>
      </c>
      <c r="E267" s="882"/>
      <c r="F267" s="883"/>
      <c r="G267" s="928" t="s">
        <v>772</v>
      </c>
    </row>
    <row r="268" spans="1:7" ht="12.75" customHeight="1" x14ac:dyDescent="0.2">
      <c r="A268" s="564"/>
      <c r="B268" s="927" t="s">
        <v>746</v>
      </c>
      <c r="C268" s="881"/>
      <c r="D268" s="882">
        <v>861.4</v>
      </c>
      <c r="E268" s="882"/>
      <c r="F268" s="883"/>
      <c r="G268" s="928" t="s">
        <v>773</v>
      </c>
    </row>
    <row r="269" spans="1:7" ht="12.75" customHeight="1" x14ac:dyDescent="0.2">
      <c r="A269" s="564"/>
      <c r="B269" s="927" t="s">
        <v>789</v>
      </c>
      <c r="C269" s="881"/>
      <c r="D269" s="882">
        <v>0</v>
      </c>
      <c r="E269" s="882"/>
      <c r="F269" s="883"/>
      <c r="G269" s="928">
        <v>3051</v>
      </c>
    </row>
    <row r="270" spans="1:7" ht="12.75" customHeight="1" x14ac:dyDescent="0.2">
      <c r="A270" s="564"/>
      <c r="B270" s="927" t="s">
        <v>807</v>
      </c>
      <c r="C270" s="881"/>
      <c r="D270" s="882">
        <v>1642.23</v>
      </c>
      <c r="E270" s="882"/>
      <c r="F270" s="883"/>
      <c r="G270" s="928">
        <v>3052</v>
      </c>
    </row>
    <row r="271" spans="1:7" ht="12.75" customHeight="1" x14ac:dyDescent="0.2">
      <c r="A271" s="564"/>
      <c r="B271" s="927" t="s">
        <v>747</v>
      </c>
      <c r="C271" s="881"/>
      <c r="D271" s="882">
        <v>4663.75</v>
      </c>
      <c r="E271" s="882"/>
      <c r="F271" s="883"/>
      <c r="G271" s="928" t="s">
        <v>774</v>
      </c>
    </row>
    <row r="272" spans="1:7" ht="12.75" customHeight="1" x14ac:dyDescent="0.2">
      <c r="A272" s="564"/>
      <c r="B272" s="927" t="s">
        <v>790</v>
      </c>
      <c r="C272" s="881"/>
      <c r="D272" s="882">
        <v>16266.81</v>
      </c>
      <c r="E272" s="882"/>
      <c r="F272" s="883"/>
      <c r="G272" s="928">
        <v>3056</v>
      </c>
    </row>
    <row r="273" spans="1:8" ht="12.75" customHeight="1" x14ac:dyDescent="0.2">
      <c r="A273" s="564"/>
      <c r="B273" s="927" t="s">
        <v>748</v>
      </c>
      <c r="C273" s="881"/>
      <c r="D273" s="882">
        <v>210</v>
      </c>
      <c r="E273" s="882"/>
      <c r="F273" s="883"/>
      <c r="G273" s="928">
        <v>3057</v>
      </c>
    </row>
    <row r="274" spans="1:8" ht="12.75" customHeight="1" x14ac:dyDescent="0.2">
      <c r="A274" s="564"/>
      <c r="B274" s="927" t="s">
        <v>749</v>
      </c>
      <c r="C274" s="881"/>
      <c r="D274" s="882">
        <v>11354.24</v>
      </c>
      <c r="E274" s="882"/>
      <c r="F274" s="883"/>
      <c r="G274" s="928" t="s">
        <v>776</v>
      </c>
    </row>
    <row r="275" spans="1:8" ht="12.75" customHeight="1" x14ac:dyDescent="0.2">
      <c r="A275" s="564"/>
      <c r="B275" s="927" t="s">
        <v>750</v>
      </c>
      <c r="C275" s="881"/>
      <c r="D275" s="882">
        <v>1190</v>
      </c>
      <c r="E275" s="882"/>
      <c r="F275" s="883"/>
      <c r="G275" s="928" t="s">
        <v>777</v>
      </c>
    </row>
    <row r="276" spans="1:8" ht="12.75" customHeight="1" x14ac:dyDescent="0.2">
      <c r="A276" s="564"/>
      <c r="B276" s="927" t="s">
        <v>787</v>
      </c>
      <c r="C276" s="881"/>
      <c r="D276" s="882">
        <v>420</v>
      </c>
      <c r="E276" s="882"/>
      <c r="F276" s="883"/>
      <c r="G276" s="928">
        <v>3061</v>
      </c>
    </row>
    <row r="277" spans="1:8" ht="12.75" customHeight="1" x14ac:dyDescent="0.2">
      <c r="A277" s="564"/>
      <c r="B277" s="927" t="s">
        <v>796</v>
      </c>
      <c r="C277" s="881"/>
      <c r="D277" s="882">
        <v>0</v>
      </c>
      <c r="E277" s="882"/>
      <c r="F277" s="883"/>
      <c r="G277" s="928">
        <v>3063</v>
      </c>
    </row>
    <row r="278" spans="1:8" ht="12.75" customHeight="1" x14ac:dyDescent="0.2">
      <c r="A278" s="564"/>
      <c r="B278" s="927" t="s">
        <v>751</v>
      </c>
      <c r="C278" s="881"/>
      <c r="D278" s="882">
        <v>0</v>
      </c>
      <c r="E278" s="882"/>
      <c r="F278" s="883"/>
      <c r="G278" s="928" t="s">
        <v>778</v>
      </c>
    </row>
    <row r="279" spans="1:8" ht="12.75" customHeight="1" x14ac:dyDescent="0.2">
      <c r="A279" s="564"/>
      <c r="B279" s="927" t="s">
        <v>801</v>
      </c>
      <c r="C279" s="881"/>
      <c r="D279" s="882">
        <v>5263.91</v>
      </c>
      <c r="E279" s="882"/>
      <c r="F279" s="883"/>
      <c r="G279" s="928">
        <v>3065</v>
      </c>
    </row>
    <row r="280" spans="1:8" ht="12.75" customHeight="1" x14ac:dyDescent="0.2">
      <c r="A280" s="564"/>
      <c r="B280" s="927" t="s">
        <v>752</v>
      </c>
      <c r="C280" s="881"/>
      <c r="D280" s="882">
        <v>0</v>
      </c>
      <c r="E280" s="882"/>
      <c r="F280" s="883"/>
      <c r="G280" s="928" t="s">
        <v>779</v>
      </c>
    </row>
    <row r="281" spans="1:8" ht="12.75" customHeight="1" x14ac:dyDescent="0.2">
      <c r="A281" s="564"/>
      <c r="B281" s="927" t="s">
        <v>753</v>
      </c>
      <c r="C281" s="881"/>
      <c r="D281" s="882">
        <v>17431.150000000001</v>
      </c>
      <c r="E281" s="882"/>
      <c r="F281" s="883"/>
      <c r="G281" s="928" t="s">
        <v>780</v>
      </c>
      <c r="H281" s="885"/>
    </row>
    <row r="282" spans="1:8" ht="12.75" customHeight="1" x14ac:dyDescent="0.2">
      <c r="A282" s="564"/>
      <c r="B282" s="927" t="s">
        <v>754</v>
      </c>
      <c r="C282" s="881"/>
      <c r="D282" s="882">
        <v>0</v>
      </c>
      <c r="E282" s="882"/>
      <c r="F282" s="883"/>
      <c r="G282" s="928">
        <v>3068</v>
      </c>
      <c r="H282" s="885"/>
    </row>
    <row r="283" spans="1:8" ht="12.75" customHeight="1" x14ac:dyDescent="0.2">
      <c r="A283" s="564"/>
      <c r="B283" s="927" t="s">
        <v>755</v>
      </c>
      <c r="C283" s="881"/>
      <c r="D283" s="882">
        <v>224.59</v>
      </c>
      <c r="E283" s="882"/>
      <c r="F283" s="883"/>
      <c r="G283" s="928">
        <v>3069</v>
      </c>
      <c r="H283" s="885"/>
    </row>
    <row r="284" spans="1:8" ht="12.75" customHeight="1" x14ac:dyDescent="0.2">
      <c r="A284" s="564"/>
      <c r="B284" s="927" t="s">
        <v>791</v>
      </c>
      <c r="C284" s="881"/>
      <c r="D284" s="882">
        <v>0</v>
      </c>
      <c r="E284" s="882"/>
      <c r="F284" s="883"/>
      <c r="G284" s="928">
        <v>3073</v>
      </c>
    </row>
    <row r="285" spans="1:8" ht="12.75" customHeight="1" x14ac:dyDescent="0.2">
      <c r="A285" s="564"/>
      <c r="B285" s="930" t="s">
        <v>326</v>
      </c>
      <c r="C285" s="886"/>
      <c r="D285" s="883">
        <v>67719.360000000001</v>
      </c>
      <c r="E285" s="939">
        <f>SUM(D285)</f>
        <v>67719.360000000001</v>
      </c>
      <c r="F285" s="883"/>
      <c r="G285" s="928">
        <v>3001</v>
      </c>
      <c r="H285" s="885"/>
    </row>
    <row r="286" spans="1:8" ht="12.75" customHeight="1" x14ac:dyDescent="0.2">
      <c r="A286" s="564"/>
      <c r="B286" s="931" t="s">
        <v>481</v>
      </c>
      <c r="C286" s="887"/>
      <c r="D286" s="883"/>
      <c r="E286" s="939">
        <f>SUM(D287:D292)</f>
        <v>338733.41</v>
      </c>
      <c r="F286" s="883"/>
    </row>
    <row r="287" spans="1:8" ht="12.75" customHeight="1" x14ac:dyDescent="0.2">
      <c r="A287" s="564"/>
      <c r="B287" s="884"/>
      <c r="C287" s="886" t="s">
        <v>327</v>
      </c>
      <c r="D287" s="883">
        <v>31097.919999999998</v>
      </c>
      <c r="E287" s="883"/>
      <c r="F287" s="883"/>
      <c r="G287" s="870">
        <v>4000</v>
      </c>
    </row>
    <row r="288" spans="1:8" ht="12.75" customHeight="1" x14ac:dyDescent="0.2">
      <c r="A288" s="564"/>
      <c r="B288" s="884"/>
      <c r="C288" s="886" t="s">
        <v>328</v>
      </c>
      <c r="D288" s="882">
        <v>0</v>
      </c>
      <c r="E288" s="882"/>
      <c r="F288" s="883"/>
      <c r="G288" s="870">
        <v>4001</v>
      </c>
    </row>
    <row r="289" spans="1:11" ht="12.75" customHeight="1" x14ac:dyDescent="0.2">
      <c r="A289" s="564"/>
      <c r="B289" s="884"/>
      <c r="C289" s="886" t="s">
        <v>329</v>
      </c>
      <c r="D289" s="883">
        <v>247391.57</v>
      </c>
      <c r="E289" s="883"/>
      <c r="F289" s="883"/>
    </row>
    <row r="290" spans="1:11" ht="12.75" customHeight="1" x14ac:dyDescent="0.2">
      <c r="A290" s="564"/>
      <c r="B290" s="884"/>
      <c r="C290" s="886" t="s">
        <v>330</v>
      </c>
      <c r="D290" s="883">
        <v>632.24</v>
      </c>
      <c r="E290" s="883"/>
      <c r="F290" s="883"/>
    </row>
    <row r="291" spans="1:11" ht="12.75" customHeight="1" x14ac:dyDescent="0.2">
      <c r="A291" s="564"/>
      <c r="B291" s="884"/>
      <c r="C291" s="887" t="s">
        <v>331</v>
      </c>
      <c r="D291" s="883">
        <v>32182.79</v>
      </c>
      <c r="E291" s="883"/>
      <c r="F291" s="883"/>
    </row>
    <row r="292" spans="1:11" ht="12.75" customHeight="1" x14ac:dyDescent="0.2">
      <c r="A292" s="564"/>
      <c r="B292" s="884"/>
      <c r="C292" s="887" t="s">
        <v>133</v>
      </c>
      <c r="D292" s="883">
        <v>27428.89</v>
      </c>
      <c r="E292" s="883"/>
      <c r="F292" s="883"/>
    </row>
    <row r="293" spans="1:11" ht="12.75" customHeight="1" x14ac:dyDescent="0.2">
      <c r="A293" s="564"/>
      <c r="B293" s="889" t="s">
        <v>332</v>
      </c>
      <c r="C293" s="887"/>
      <c r="D293" s="904"/>
      <c r="E293" s="892"/>
      <c r="F293" s="892"/>
    </row>
    <row r="294" spans="1:11" ht="12.75" customHeight="1" x14ac:dyDescent="0.2">
      <c r="A294" s="901"/>
      <c r="B294" s="933" t="s">
        <v>333</v>
      </c>
      <c r="D294" s="883">
        <v>0</v>
      </c>
      <c r="E294" s="940">
        <f>D294</f>
        <v>0</v>
      </c>
      <c r="F294" s="892"/>
      <c r="H294" s="885"/>
    </row>
    <row r="295" spans="1:11" ht="12.75" customHeight="1" thickBot="1" x14ac:dyDescent="0.25">
      <c r="A295" s="893"/>
      <c r="B295" s="894"/>
      <c r="C295" s="895"/>
      <c r="D295" s="905"/>
      <c r="E295" s="906"/>
      <c r="F295" s="935">
        <f>SUM(E242:E295)</f>
        <v>624089.30999999994</v>
      </c>
      <c r="G295" s="870">
        <v>70200</v>
      </c>
      <c r="H295" s="907">
        <f>'Sched-B1'!B9+'Sched-B2'!E105+'Sched-D1'!F295-4554613.84-91714.37</f>
        <v>1.1641532182693481E-10</v>
      </c>
      <c r="K295" s="885"/>
    </row>
    <row r="296" spans="1:11" ht="12.75" customHeight="1" x14ac:dyDescent="0.2">
      <c r="A296" s="875" t="s">
        <v>808</v>
      </c>
      <c r="B296" s="876" t="s">
        <v>50</v>
      </c>
      <c r="C296" s="877"/>
      <c r="D296" s="878"/>
      <c r="E296" s="879">
        <v>40805.49</v>
      </c>
      <c r="F296" s="880"/>
    </row>
    <row r="297" spans="1:11" ht="12.75" customHeight="1" x14ac:dyDescent="0.2">
      <c r="A297" s="564"/>
      <c r="B297" s="925" t="s">
        <v>728</v>
      </c>
      <c r="C297" s="881"/>
      <c r="D297" s="882"/>
      <c r="E297" s="929">
        <f>SUM(D298:D332)</f>
        <v>596969.1</v>
      </c>
      <c r="F297" s="883"/>
      <c r="H297" s="885"/>
    </row>
    <row r="298" spans="1:11" ht="12.75" customHeight="1" x14ac:dyDescent="0.2">
      <c r="A298" s="564"/>
      <c r="B298" s="937" t="s">
        <v>809</v>
      </c>
      <c r="C298" s="676"/>
      <c r="D298" s="938">
        <v>-302902.03000000003</v>
      </c>
      <c r="E298" s="882"/>
      <c r="F298" s="883"/>
      <c r="H298" s="870" t="s">
        <v>811</v>
      </c>
    </row>
    <row r="299" spans="1:11" ht="12.75" customHeight="1" x14ac:dyDescent="0.2">
      <c r="A299" s="564"/>
      <c r="B299" s="927" t="s">
        <v>729</v>
      </c>
      <c r="C299" s="881"/>
      <c r="D299" s="882">
        <v>1833.35</v>
      </c>
      <c r="E299" s="882"/>
      <c r="F299" s="883"/>
      <c r="G299" s="928" t="s">
        <v>756</v>
      </c>
      <c r="H299" s="885">
        <f>302902.3+77056.65</f>
        <v>379958.94999999995</v>
      </c>
      <c r="I299" s="870" t="s">
        <v>812</v>
      </c>
    </row>
    <row r="300" spans="1:11" ht="12.75" customHeight="1" x14ac:dyDescent="0.2">
      <c r="A300" s="564"/>
      <c r="B300" s="927" t="s">
        <v>730</v>
      </c>
      <c r="C300" s="881"/>
      <c r="D300" s="882">
        <v>1023.5</v>
      </c>
      <c r="E300" s="882"/>
      <c r="F300" s="883"/>
      <c r="G300" s="928" t="s">
        <v>757</v>
      </c>
    </row>
    <row r="301" spans="1:11" ht="12.75" customHeight="1" x14ac:dyDescent="0.2">
      <c r="A301" s="564"/>
      <c r="B301" s="927" t="s">
        <v>731</v>
      </c>
      <c r="C301" s="881"/>
      <c r="D301" s="882">
        <v>0</v>
      </c>
      <c r="E301" s="882"/>
      <c r="F301" s="883"/>
      <c r="G301" s="928" t="s">
        <v>758</v>
      </c>
    </row>
    <row r="302" spans="1:11" ht="12.75" customHeight="1" x14ac:dyDescent="0.2">
      <c r="A302" s="564"/>
      <c r="B302" s="927" t="s">
        <v>800</v>
      </c>
      <c r="C302" s="881"/>
      <c r="D302" s="882">
        <v>0.38</v>
      </c>
      <c r="E302" s="882"/>
      <c r="F302" s="883"/>
      <c r="G302" s="928">
        <v>3014</v>
      </c>
    </row>
    <row r="303" spans="1:11" ht="12.75" customHeight="1" x14ac:dyDescent="0.2">
      <c r="A303" s="564"/>
      <c r="B303" s="927" t="s">
        <v>732</v>
      </c>
      <c r="C303" s="881"/>
      <c r="D303" s="882">
        <v>4730</v>
      </c>
      <c r="E303" s="882"/>
      <c r="F303" s="883"/>
      <c r="G303" s="928" t="s">
        <v>759</v>
      </c>
    </row>
    <row r="304" spans="1:11" ht="12.75" customHeight="1" x14ac:dyDescent="0.2">
      <c r="A304" s="564"/>
      <c r="B304" s="927" t="s">
        <v>733</v>
      </c>
      <c r="C304" s="881"/>
      <c r="D304" s="882">
        <v>0</v>
      </c>
      <c r="E304" s="882"/>
      <c r="F304" s="883"/>
      <c r="G304" s="928" t="s">
        <v>760</v>
      </c>
    </row>
    <row r="305" spans="1:7" ht="12.75" customHeight="1" x14ac:dyDescent="0.2">
      <c r="A305" s="564"/>
      <c r="B305" s="927" t="s">
        <v>813</v>
      </c>
      <c r="C305" s="881"/>
      <c r="D305" s="882">
        <v>321.95999999999998</v>
      </c>
      <c r="E305" s="882"/>
      <c r="F305" s="883"/>
      <c r="G305" s="928">
        <v>3028</v>
      </c>
    </row>
    <row r="306" spans="1:7" ht="12.75" customHeight="1" x14ac:dyDescent="0.2">
      <c r="A306" s="564"/>
      <c r="B306" s="937" t="s">
        <v>51</v>
      </c>
      <c r="C306" s="881"/>
      <c r="D306" s="882">
        <v>553310.47</v>
      </c>
      <c r="E306" s="882"/>
      <c r="F306" s="883"/>
      <c r="G306" s="928"/>
    </row>
    <row r="307" spans="1:7" ht="12.75" customHeight="1" x14ac:dyDescent="0.2">
      <c r="A307" s="564"/>
      <c r="B307" s="927" t="s">
        <v>734</v>
      </c>
      <c r="C307" s="881"/>
      <c r="D307" s="882">
        <v>0</v>
      </c>
      <c r="E307" s="882"/>
      <c r="F307" s="883"/>
      <c r="G307" s="928" t="s">
        <v>761</v>
      </c>
    </row>
    <row r="308" spans="1:7" ht="12.75" customHeight="1" x14ac:dyDescent="0.2">
      <c r="A308" s="564"/>
      <c r="B308" s="927" t="s">
        <v>735</v>
      </c>
      <c r="C308" s="881"/>
      <c r="D308" s="882">
        <v>22536.34</v>
      </c>
      <c r="E308" s="882"/>
      <c r="F308" s="883"/>
      <c r="G308" s="928" t="s">
        <v>762</v>
      </c>
    </row>
    <row r="309" spans="1:7" ht="12.75" customHeight="1" x14ac:dyDescent="0.2">
      <c r="A309" s="564"/>
      <c r="B309" s="927" t="s">
        <v>785</v>
      </c>
      <c r="C309" s="881"/>
      <c r="D309" s="882">
        <v>2101.0500000000002</v>
      </c>
      <c r="E309" s="882"/>
      <c r="F309" s="883"/>
      <c r="G309" s="928">
        <v>3034</v>
      </c>
    </row>
    <row r="310" spans="1:7" ht="12.75" customHeight="1" x14ac:dyDescent="0.2">
      <c r="A310" s="564"/>
      <c r="B310" s="927" t="s">
        <v>736</v>
      </c>
      <c r="C310" s="881"/>
      <c r="D310" s="882">
        <v>963.32</v>
      </c>
      <c r="E310" s="882"/>
      <c r="F310" s="883"/>
      <c r="G310" s="928" t="s">
        <v>763</v>
      </c>
    </row>
    <row r="311" spans="1:7" ht="12.75" customHeight="1" x14ac:dyDescent="0.2">
      <c r="A311" s="564"/>
      <c r="B311" s="927" t="s">
        <v>737</v>
      </c>
      <c r="C311" s="881"/>
      <c r="D311" s="882">
        <v>1793.92</v>
      </c>
      <c r="E311" s="882"/>
      <c r="F311" s="883"/>
      <c r="G311" s="928" t="s">
        <v>764</v>
      </c>
    </row>
    <row r="312" spans="1:7" ht="12.75" customHeight="1" x14ac:dyDescent="0.2">
      <c r="A312" s="564"/>
      <c r="B312" s="927" t="s">
        <v>738</v>
      </c>
      <c r="C312" s="881"/>
      <c r="D312" s="882">
        <v>1708.58</v>
      </c>
      <c r="E312" s="882"/>
      <c r="F312" s="883"/>
      <c r="G312" s="928" t="s">
        <v>765</v>
      </c>
    </row>
    <row r="313" spans="1:7" ht="12.75" customHeight="1" x14ac:dyDescent="0.2">
      <c r="A313" s="564"/>
      <c r="B313" s="927" t="s">
        <v>739</v>
      </c>
      <c r="C313" s="881"/>
      <c r="D313" s="882">
        <v>68.64</v>
      </c>
      <c r="E313" s="882"/>
      <c r="F313" s="883"/>
      <c r="G313" s="928" t="s">
        <v>766</v>
      </c>
    </row>
    <row r="314" spans="1:7" ht="12.75" customHeight="1" x14ac:dyDescent="0.2">
      <c r="A314" s="564"/>
      <c r="B314" s="927" t="s">
        <v>740</v>
      </c>
      <c r="C314" s="881"/>
      <c r="D314" s="882">
        <v>0</v>
      </c>
      <c r="E314" s="882"/>
      <c r="F314" s="883"/>
      <c r="G314" s="928" t="s">
        <v>767</v>
      </c>
    </row>
    <row r="315" spans="1:7" ht="12.75" customHeight="1" x14ac:dyDescent="0.2">
      <c r="A315" s="564"/>
      <c r="B315" s="927" t="s">
        <v>741</v>
      </c>
      <c r="C315" s="881"/>
      <c r="D315" s="882">
        <v>272</v>
      </c>
      <c r="E315" s="882"/>
      <c r="F315" s="883"/>
      <c r="G315" s="928" t="s">
        <v>768</v>
      </c>
    </row>
    <row r="316" spans="1:7" ht="12.75" customHeight="1" x14ac:dyDescent="0.2">
      <c r="A316" s="564"/>
      <c r="B316" s="927" t="s">
        <v>742</v>
      </c>
      <c r="C316" s="881"/>
      <c r="D316" s="882">
        <v>521.5</v>
      </c>
      <c r="E316" s="882"/>
      <c r="F316" s="883"/>
      <c r="G316" s="928" t="s">
        <v>769</v>
      </c>
    </row>
    <row r="317" spans="1:7" ht="12.75" customHeight="1" x14ac:dyDescent="0.2">
      <c r="A317" s="564"/>
      <c r="B317" s="927" t="s">
        <v>743</v>
      </c>
      <c r="C317" s="881"/>
      <c r="D317" s="882">
        <v>16.010000000000002</v>
      </c>
      <c r="E317" s="882"/>
      <c r="F317" s="883"/>
      <c r="G317" s="928" t="s">
        <v>770</v>
      </c>
    </row>
    <row r="318" spans="1:7" ht="12.75" customHeight="1" x14ac:dyDescent="0.2">
      <c r="A318" s="564"/>
      <c r="B318" s="927" t="s">
        <v>744</v>
      </c>
      <c r="C318" s="881"/>
      <c r="D318" s="882">
        <v>8000</v>
      </c>
      <c r="E318" s="882"/>
      <c r="F318" s="883"/>
      <c r="G318" s="928" t="s">
        <v>771</v>
      </c>
    </row>
    <row r="319" spans="1:7" ht="12.75" customHeight="1" x14ac:dyDescent="0.2">
      <c r="A319" s="564"/>
      <c r="B319" s="927" t="s">
        <v>786</v>
      </c>
      <c r="C319" s="881"/>
      <c r="D319" s="882">
        <v>19679</v>
      </c>
      <c r="E319" s="882"/>
      <c r="F319" s="883"/>
      <c r="G319" s="928">
        <v>3048</v>
      </c>
    </row>
    <row r="320" spans="1:7" ht="12.75" customHeight="1" x14ac:dyDescent="0.2">
      <c r="A320" s="564"/>
      <c r="B320" s="927" t="s">
        <v>745</v>
      </c>
      <c r="C320" s="881"/>
      <c r="D320" s="882">
        <v>26537.94</v>
      </c>
      <c r="E320" s="882"/>
      <c r="F320" s="883"/>
      <c r="G320" s="928" t="s">
        <v>772</v>
      </c>
    </row>
    <row r="321" spans="1:8" ht="12.75" customHeight="1" x14ac:dyDescent="0.2">
      <c r="A321" s="564"/>
      <c r="B321" s="927" t="s">
        <v>746</v>
      </c>
      <c r="C321" s="881"/>
      <c r="D321" s="882">
        <v>5941.6</v>
      </c>
      <c r="E321" s="882"/>
      <c r="F321" s="883"/>
      <c r="G321" s="928" t="s">
        <v>773</v>
      </c>
    </row>
    <row r="322" spans="1:8" ht="12.75" customHeight="1" x14ac:dyDescent="0.2">
      <c r="A322" s="564"/>
      <c r="B322" s="927" t="s">
        <v>807</v>
      </c>
      <c r="C322" s="881"/>
      <c r="D322" s="882">
        <v>53387.65</v>
      </c>
      <c r="E322" s="882"/>
      <c r="F322" s="883"/>
      <c r="G322" s="928">
        <v>3052</v>
      </c>
    </row>
    <row r="323" spans="1:8" ht="12.75" customHeight="1" x14ac:dyDescent="0.2">
      <c r="A323" s="564"/>
      <c r="B323" s="927" t="s">
        <v>747</v>
      </c>
      <c r="C323" s="881"/>
      <c r="D323" s="882">
        <v>6052.56</v>
      </c>
      <c r="E323" s="882"/>
      <c r="F323" s="883"/>
      <c r="G323" s="928" t="s">
        <v>774</v>
      </c>
    </row>
    <row r="324" spans="1:8" ht="12.75" customHeight="1" x14ac:dyDescent="0.2">
      <c r="A324" s="564"/>
      <c r="B324" s="927" t="s">
        <v>748</v>
      </c>
      <c r="C324" s="881"/>
      <c r="D324" s="882">
        <v>773</v>
      </c>
      <c r="E324" s="882"/>
      <c r="F324" s="883"/>
      <c r="G324" s="928" t="s">
        <v>775</v>
      </c>
    </row>
    <row r="325" spans="1:8" ht="12.75" customHeight="1" x14ac:dyDescent="0.2">
      <c r="A325" s="564"/>
      <c r="B325" s="927" t="s">
        <v>749</v>
      </c>
      <c r="C325" s="881"/>
      <c r="D325" s="882">
        <v>27053.82</v>
      </c>
      <c r="E325" s="882"/>
      <c r="F325" s="883"/>
      <c r="G325" s="928" t="s">
        <v>776</v>
      </c>
    </row>
    <row r="326" spans="1:8" ht="12.75" customHeight="1" x14ac:dyDescent="0.2">
      <c r="A326" s="564"/>
      <c r="B326" s="927" t="s">
        <v>750</v>
      </c>
      <c r="C326" s="881"/>
      <c r="D326" s="882">
        <v>31853.54</v>
      </c>
      <c r="E326" s="882"/>
      <c r="F326" s="883"/>
      <c r="G326" s="928" t="s">
        <v>777</v>
      </c>
    </row>
    <row r="327" spans="1:8" ht="12.75" customHeight="1" x14ac:dyDescent="0.2">
      <c r="A327" s="564"/>
      <c r="B327" s="927" t="s">
        <v>787</v>
      </c>
      <c r="C327" s="881"/>
      <c r="D327" s="882">
        <v>4238.4399999999996</v>
      </c>
      <c r="E327" s="882"/>
      <c r="F327" s="883"/>
      <c r="G327" s="928">
        <v>3061</v>
      </c>
    </row>
    <row r="328" spans="1:8" ht="12.75" customHeight="1" x14ac:dyDescent="0.2">
      <c r="A328" s="564"/>
      <c r="B328" s="927" t="s">
        <v>751</v>
      </c>
      <c r="C328" s="881"/>
      <c r="D328" s="882">
        <v>4.6399999999999997</v>
      </c>
      <c r="E328" s="882"/>
      <c r="F328" s="883"/>
      <c r="G328" s="928" t="s">
        <v>778</v>
      </c>
    </row>
    <row r="329" spans="1:8" ht="12.75" customHeight="1" x14ac:dyDescent="0.2">
      <c r="A329" s="564"/>
      <c r="B329" s="927" t="s">
        <v>752</v>
      </c>
      <c r="C329" s="881"/>
      <c r="D329" s="882">
        <v>2738</v>
      </c>
      <c r="E329" s="882"/>
      <c r="F329" s="883"/>
      <c r="G329" s="928" t="s">
        <v>779</v>
      </c>
    </row>
    <row r="330" spans="1:8" ht="12.75" customHeight="1" x14ac:dyDescent="0.2">
      <c r="A330" s="564"/>
      <c r="B330" s="927" t="s">
        <v>753</v>
      </c>
      <c r="C330" s="881"/>
      <c r="D330" s="882">
        <v>122070.18</v>
      </c>
      <c r="E330" s="882"/>
      <c r="F330" s="883"/>
      <c r="G330" s="928" t="s">
        <v>780</v>
      </c>
      <c r="H330" s="885"/>
    </row>
    <row r="331" spans="1:8" ht="12.75" customHeight="1" x14ac:dyDescent="0.2">
      <c r="A331" s="564"/>
      <c r="B331" s="927" t="s">
        <v>754</v>
      </c>
      <c r="C331" s="881"/>
      <c r="D331" s="882">
        <v>0</v>
      </c>
      <c r="E331" s="882"/>
      <c r="F331" s="883"/>
      <c r="G331" s="928" t="s">
        <v>781</v>
      </c>
    </row>
    <row r="332" spans="1:8" ht="12.75" customHeight="1" x14ac:dyDescent="0.2">
      <c r="A332" s="564"/>
      <c r="B332" s="927" t="s">
        <v>755</v>
      </c>
      <c r="C332" s="881"/>
      <c r="D332" s="882">
        <v>339.74</v>
      </c>
      <c r="E332" s="882"/>
      <c r="F332" s="883"/>
      <c r="G332" s="928" t="s">
        <v>782</v>
      </c>
      <c r="H332" s="885"/>
    </row>
    <row r="333" spans="1:8" ht="12.75" customHeight="1" x14ac:dyDescent="0.2">
      <c r="A333" s="564"/>
      <c r="B333" s="930" t="s">
        <v>326</v>
      </c>
      <c r="C333" s="886"/>
      <c r="D333" s="883">
        <v>202115.99</v>
      </c>
      <c r="E333" s="939">
        <f>SUM(D333)</f>
        <v>202115.99</v>
      </c>
      <c r="F333" s="883"/>
      <c r="G333" s="928">
        <v>3001</v>
      </c>
      <c r="H333" s="885"/>
    </row>
    <row r="334" spans="1:8" ht="12.75" customHeight="1" x14ac:dyDescent="0.2">
      <c r="A334" s="564"/>
      <c r="B334" s="931" t="s">
        <v>481</v>
      </c>
      <c r="C334" s="887"/>
      <c r="D334" s="883"/>
      <c r="E334" s="939">
        <f>SUM(D335:D340)</f>
        <v>950876.42</v>
      </c>
      <c r="F334" s="883"/>
      <c r="H334" s="885"/>
    </row>
    <row r="335" spans="1:8" ht="12.75" customHeight="1" x14ac:dyDescent="0.2">
      <c r="A335" s="564"/>
      <c r="B335" s="884"/>
      <c r="C335" s="886" t="s">
        <v>327</v>
      </c>
      <c r="D335" s="883">
        <v>50610.71</v>
      </c>
      <c r="E335" s="883"/>
      <c r="F335" s="883"/>
      <c r="H335" s="885"/>
    </row>
    <row r="336" spans="1:8" ht="12.75" customHeight="1" x14ac:dyDescent="0.2">
      <c r="A336" s="564"/>
      <c r="B336" s="884"/>
      <c r="C336" s="886" t="s">
        <v>328</v>
      </c>
      <c r="D336" s="882">
        <v>303.45</v>
      </c>
      <c r="E336" s="882"/>
      <c r="F336" s="883"/>
    </row>
    <row r="337" spans="1:8" ht="12.75" customHeight="1" x14ac:dyDescent="0.2">
      <c r="A337" s="564"/>
      <c r="B337" s="884"/>
      <c r="C337" s="886" t="s">
        <v>329</v>
      </c>
      <c r="D337" s="883">
        <v>752191.13</v>
      </c>
      <c r="E337" s="883"/>
      <c r="F337" s="883"/>
    </row>
    <row r="338" spans="1:8" ht="12.75" customHeight="1" x14ac:dyDescent="0.2">
      <c r="A338" s="564"/>
      <c r="B338" s="884"/>
      <c r="C338" s="886" t="s">
        <v>330</v>
      </c>
      <c r="D338" s="883">
        <v>10659.4</v>
      </c>
      <c r="E338" s="883"/>
      <c r="F338" s="883"/>
    </row>
    <row r="339" spans="1:8" ht="12.75" customHeight="1" x14ac:dyDescent="0.2">
      <c r="A339" s="899"/>
      <c r="B339" s="884"/>
      <c r="C339" s="887" t="s">
        <v>331</v>
      </c>
      <c r="D339" s="883">
        <v>21265.63</v>
      </c>
      <c r="E339" s="883"/>
      <c r="F339" s="883"/>
    </row>
    <row r="340" spans="1:8" ht="12.75" customHeight="1" x14ac:dyDescent="0.2">
      <c r="A340" s="564"/>
      <c r="B340" s="884"/>
      <c r="C340" s="887" t="s">
        <v>133</v>
      </c>
      <c r="D340" s="883">
        <v>115846.1</v>
      </c>
      <c r="E340" s="883"/>
      <c r="F340" s="883"/>
    </row>
    <row r="341" spans="1:8" ht="12.75" customHeight="1" x14ac:dyDescent="0.2">
      <c r="A341" s="564"/>
      <c r="B341" s="889" t="s">
        <v>332</v>
      </c>
      <c r="C341" s="887"/>
      <c r="D341" s="904"/>
      <c r="E341" s="892"/>
      <c r="F341" s="883"/>
      <c r="G341" s="870">
        <v>4005</v>
      </c>
    </row>
    <row r="342" spans="1:8" ht="12.75" customHeight="1" x14ac:dyDescent="0.2">
      <c r="A342" s="564"/>
      <c r="B342" s="933" t="s">
        <v>333</v>
      </c>
      <c r="D342" s="883">
        <v>0</v>
      </c>
      <c r="E342" s="940">
        <f>D342</f>
        <v>0</v>
      </c>
      <c r="F342" s="883"/>
      <c r="H342" s="885"/>
    </row>
    <row r="343" spans="1:8" ht="12.75" customHeight="1" thickBot="1" x14ac:dyDescent="0.25">
      <c r="A343" s="893"/>
      <c r="B343" s="894"/>
      <c r="C343" s="895"/>
      <c r="D343" s="900"/>
      <c r="E343" s="897"/>
      <c r="F343" s="935">
        <f>SUM(E296:E343)</f>
        <v>1790767</v>
      </c>
      <c r="H343" s="898">
        <f>'Sched-B1'!B10+'Sched-B2'!E122+'Sched-D1'!F343-9720493.21-553310.47+302902.03</f>
        <v>-4.6566128730773926E-10</v>
      </c>
    </row>
    <row r="344" spans="1:8" ht="12.75" customHeight="1" x14ac:dyDescent="0.2">
      <c r="A344" s="875" t="s">
        <v>797</v>
      </c>
      <c r="B344" s="876" t="s">
        <v>50</v>
      </c>
      <c r="C344" s="877"/>
      <c r="D344" s="878"/>
      <c r="E344" s="879">
        <v>499.26</v>
      </c>
      <c r="F344" s="880"/>
      <c r="G344" s="870">
        <v>2000</v>
      </c>
    </row>
    <row r="345" spans="1:8" ht="12.75" customHeight="1" x14ac:dyDescent="0.2">
      <c r="A345" s="564"/>
      <c r="B345" s="925" t="s">
        <v>728</v>
      </c>
      <c r="C345" s="881"/>
      <c r="D345" s="882"/>
      <c r="E345" s="929">
        <f>SUM(D346:D385)</f>
        <v>252303.03000000009</v>
      </c>
      <c r="F345" s="883"/>
    </row>
    <row r="346" spans="1:8" ht="12.75" customHeight="1" x14ac:dyDescent="0.2">
      <c r="A346" s="564"/>
      <c r="B346" s="927" t="s">
        <v>729</v>
      </c>
      <c r="C346" s="881"/>
      <c r="D346" s="882">
        <v>35</v>
      </c>
      <c r="E346" s="882"/>
      <c r="F346" s="883"/>
      <c r="G346" s="928" t="s">
        <v>756</v>
      </c>
    </row>
    <row r="347" spans="1:8" ht="12.75" customHeight="1" x14ac:dyDescent="0.2">
      <c r="A347" s="564"/>
      <c r="B347" s="927" t="s">
        <v>730</v>
      </c>
      <c r="C347" s="881"/>
      <c r="D347" s="882">
        <v>528.63</v>
      </c>
      <c r="E347" s="882"/>
      <c r="F347" s="883"/>
      <c r="G347" s="928" t="s">
        <v>757</v>
      </c>
    </row>
    <row r="348" spans="1:8" ht="12.75" customHeight="1" x14ac:dyDescent="0.2">
      <c r="A348" s="564"/>
      <c r="B348" s="927" t="s">
        <v>788</v>
      </c>
      <c r="C348" s="881"/>
      <c r="D348" s="882">
        <v>0</v>
      </c>
      <c r="E348" s="882"/>
      <c r="F348" s="883"/>
      <c r="G348" s="928">
        <v>3003</v>
      </c>
    </row>
    <row r="349" spans="1:8" ht="12.75" customHeight="1" x14ac:dyDescent="0.2">
      <c r="A349" s="564"/>
      <c r="B349" s="927" t="s">
        <v>731</v>
      </c>
      <c r="C349" s="881"/>
      <c r="D349" s="882">
        <v>440.06</v>
      </c>
      <c r="E349" s="882"/>
      <c r="F349" s="883"/>
      <c r="G349" s="928" t="s">
        <v>758</v>
      </c>
    </row>
    <row r="350" spans="1:8" ht="12.75" customHeight="1" x14ac:dyDescent="0.2">
      <c r="A350" s="564"/>
      <c r="B350" s="927" t="s">
        <v>800</v>
      </c>
      <c r="C350" s="881"/>
      <c r="D350" s="882">
        <v>4.47</v>
      </c>
      <c r="E350" s="882"/>
      <c r="F350" s="883"/>
      <c r="G350" s="928">
        <v>3014</v>
      </c>
    </row>
    <row r="351" spans="1:8" ht="12.75" customHeight="1" x14ac:dyDescent="0.2">
      <c r="A351" s="564"/>
      <c r="B351" s="927" t="s">
        <v>732</v>
      </c>
      <c r="C351" s="881"/>
      <c r="D351" s="882">
        <v>0</v>
      </c>
      <c r="E351" s="882"/>
      <c r="F351" s="883"/>
      <c r="G351" s="928" t="s">
        <v>759</v>
      </c>
    </row>
    <row r="352" spans="1:8" ht="12.75" customHeight="1" x14ac:dyDescent="0.2">
      <c r="A352" s="564"/>
      <c r="B352" s="927" t="s">
        <v>733</v>
      </c>
      <c r="C352" s="881"/>
      <c r="D352" s="882">
        <v>0</v>
      </c>
      <c r="E352" s="882"/>
      <c r="F352" s="883"/>
      <c r="G352" s="928" t="s">
        <v>760</v>
      </c>
    </row>
    <row r="353" spans="1:7" ht="12.75" customHeight="1" x14ac:dyDescent="0.2">
      <c r="A353" s="564"/>
      <c r="B353" s="937" t="s">
        <v>51</v>
      </c>
      <c r="C353" s="881"/>
      <c r="D353" s="882">
        <v>148497.04999999999</v>
      </c>
      <c r="E353" s="882"/>
      <c r="F353" s="883"/>
      <c r="G353" s="928"/>
    </row>
    <row r="354" spans="1:7" ht="12.75" customHeight="1" x14ac:dyDescent="0.2">
      <c r="A354" s="564"/>
      <c r="B354" s="927" t="s">
        <v>793</v>
      </c>
      <c r="C354" s="881"/>
      <c r="D354" s="882">
        <v>0</v>
      </c>
      <c r="E354" s="882"/>
      <c r="F354" s="883"/>
      <c r="G354" s="928">
        <v>3029</v>
      </c>
    </row>
    <row r="355" spans="1:7" ht="12.75" customHeight="1" x14ac:dyDescent="0.2">
      <c r="A355" s="564"/>
      <c r="B355" s="927" t="s">
        <v>734</v>
      </c>
      <c r="C355" s="881"/>
      <c r="D355" s="882">
        <v>0</v>
      </c>
      <c r="E355" s="882"/>
      <c r="F355" s="883"/>
      <c r="G355" s="928" t="s">
        <v>761</v>
      </c>
    </row>
    <row r="356" spans="1:7" ht="12.75" customHeight="1" x14ac:dyDescent="0.2">
      <c r="A356" s="564"/>
      <c r="B356" s="927" t="s">
        <v>735</v>
      </c>
      <c r="C356" s="881"/>
      <c r="D356" s="882">
        <v>11685.5</v>
      </c>
      <c r="E356" s="882"/>
      <c r="F356" s="883"/>
      <c r="G356" s="928" t="s">
        <v>762</v>
      </c>
    </row>
    <row r="357" spans="1:7" ht="12.75" customHeight="1" x14ac:dyDescent="0.2">
      <c r="A357" s="564"/>
      <c r="B357" s="927" t="s">
        <v>785</v>
      </c>
      <c r="C357" s="881"/>
      <c r="D357" s="882">
        <v>2494.6</v>
      </c>
      <c r="E357" s="882"/>
      <c r="F357" s="883"/>
      <c r="G357" s="928">
        <v>3034</v>
      </c>
    </row>
    <row r="358" spans="1:7" ht="12.75" customHeight="1" x14ac:dyDescent="0.2">
      <c r="A358" s="564"/>
      <c r="B358" s="927" t="s">
        <v>736</v>
      </c>
      <c r="C358" s="881"/>
      <c r="D358" s="882">
        <v>1353.76</v>
      </c>
      <c r="E358" s="882"/>
      <c r="F358" s="883"/>
      <c r="G358" s="928" t="s">
        <v>763</v>
      </c>
    </row>
    <row r="359" spans="1:7" ht="12.75" customHeight="1" x14ac:dyDescent="0.2">
      <c r="A359" s="564"/>
      <c r="B359" s="927" t="s">
        <v>737</v>
      </c>
      <c r="C359" s="881"/>
      <c r="D359" s="882">
        <v>7953.13</v>
      </c>
      <c r="E359" s="882"/>
      <c r="F359" s="883"/>
      <c r="G359" s="928" t="s">
        <v>764</v>
      </c>
    </row>
    <row r="360" spans="1:7" ht="12.75" customHeight="1" x14ac:dyDescent="0.2">
      <c r="A360" s="564"/>
      <c r="B360" s="927" t="s">
        <v>738</v>
      </c>
      <c r="C360" s="881"/>
      <c r="D360" s="882">
        <v>0</v>
      </c>
      <c r="E360" s="882"/>
      <c r="F360" s="883"/>
      <c r="G360" s="928" t="s">
        <v>765</v>
      </c>
    </row>
    <row r="361" spans="1:7" ht="12.75" customHeight="1" x14ac:dyDescent="0.2">
      <c r="A361" s="564"/>
      <c r="B361" s="927" t="s">
        <v>739</v>
      </c>
      <c r="C361" s="881"/>
      <c r="D361" s="882">
        <v>695.65</v>
      </c>
      <c r="E361" s="882"/>
      <c r="F361" s="883"/>
      <c r="G361" s="928" t="s">
        <v>766</v>
      </c>
    </row>
    <row r="362" spans="1:7" ht="12.75" customHeight="1" x14ac:dyDescent="0.2">
      <c r="A362" s="564"/>
      <c r="B362" s="927" t="s">
        <v>740</v>
      </c>
      <c r="C362" s="881"/>
      <c r="D362" s="882">
        <v>0</v>
      </c>
      <c r="E362" s="882"/>
      <c r="F362" s="883"/>
      <c r="G362" s="928" t="s">
        <v>767</v>
      </c>
    </row>
    <row r="363" spans="1:7" ht="12.75" customHeight="1" x14ac:dyDescent="0.2">
      <c r="A363" s="564"/>
      <c r="B363" s="927" t="s">
        <v>741</v>
      </c>
      <c r="C363" s="881"/>
      <c r="D363" s="882">
        <v>217.49</v>
      </c>
      <c r="E363" s="882"/>
      <c r="F363" s="883"/>
      <c r="G363" s="928" t="s">
        <v>768</v>
      </c>
    </row>
    <row r="364" spans="1:7" ht="12.75" customHeight="1" x14ac:dyDescent="0.2">
      <c r="A364" s="564"/>
      <c r="B364" s="927" t="s">
        <v>795</v>
      </c>
      <c r="C364" s="881"/>
      <c r="D364" s="882">
        <v>0</v>
      </c>
      <c r="E364" s="882"/>
      <c r="F364" s="883"/>
      <c r="G364" s="928">
        <v>3042</v>
      </c>
    </row>
    <row r="365" spans="1:7" ht="12.75" customHeight="1" x14ac:dyDescent="0.2">
      <c r="A365" s="564"/>
      <c r="B365" s="927" t="s">
        <v>742</v>
      </c>
      <c r="C365" s="881"/>
      <c r="D365" s="882">
        <v>201.75</v>
      </c>
      <c r="E365" s="882"/>
      <c r="F365" s="883"/>
      <c r="G365" s="928" t="s">
        <v>769</v>
      </c>
    </row>
    <row r="366" spans="1:7" ht="12.75" customHeight="1" x14ac:dyDescent="0.2">
      <c r="A366" s="564"/>
      <c r="B366" s="927" t="s">
        <v>743</v>
      </c>
      <c r="C366" s="881"/>
      <c r="D366" s="882">
        <v>171.39</v>
      </c>
      <c r="E366" s="882"/>
      <c r="F366" s="883"/>
      <c r="G366" s="928" t="s">
        <v>770</v>
      </c>
    </row>
    <row r="367" spans="1:7" ht="12.75" customHeight="1" x14ac:dyDescent="0.2">
      <c r="A367" s="564"/>
      <c r="B367" s="927" t="s">
        <v>744</v>
      </c>
      <c r="C367" s="881"/>
      <c r="D367" s="882">
        <v>3165.79</v>
      </c>
      <c r="E367" s="882"/>
      <c r="F367" s="883"/>
      <c r="G367" s="928" t="s">
        <v>771</v>
      </c>
    </row>
    <row r="368" spans="1:7" ht="12.75" customHeight="1" x14ac:dyDescent="0.2">
      <c r="A368" s="564"/>
      <c r="B368" s="927" t="s">
        <v>786</v>
      </c>
      <c r="C368" s="881"/>
      <c r="D368" s="882">
        <v>5872.98</v>
      </c>
      <c r="E368" s="882"/>
      <c r="F368" s="883"/>
      <c r="G368" s="928">
        <v>3048</v>
      </c>
    </row>
    <row r="369" spans="1:8" ht="12.75" customHeight="1" x14ac:dyDescent="0.2">
      <c r="A369" s="564"/>
      <c r="B369" s="927" t="s">
        <v>745</v>
      </c>
      <c r="C369" s="881"/>
      <c r="D369" s="882">
        <v>10669.91</v>
      </c>
      <c r="E369" s="882"/>
      <c r="F369" s="883"/>
      <c r="G369" s="928" t="s">
        <v>772</v>
      </c>
    </row>
    <row r="370" spans="1:8" ht="12.75" customHeight="1" x14ac:dyDescent="0.2">
      <c r="A370" s="564"/>
      <c r="B370" s="927" t="s">
        <v>746</v>
      </c>
      <c r="C370" s="881"/>
      <c r="D370" s="882">
        <v>2455.1999999999998</v>
      </c>
      <c r="E370" s="882"/>
      <c r="F370" s="883"/>
      <c r="G370" s="928" t="s">
        <v>773</v>
      </c>
    </row>
    <row r="371" spans="1:8" ht="12.75" customHeight="1" x14ac:dyDescent="0.2">
      <c r="A371" s="564"/>
      <c r="B371" s="927" t="s">
        <v>789</v>
      </c>
      <c r="C371" s="881"/>
      <c r="D371" s="882">
        <v>2318.7800000000002</v>
      </c>
      <c r="E371" s="882"/>
      <c r="F371" s="883"/>
      <c r="G371" s="928">
        <v>3051</v>
      </c>
    </row>
    <row r="372" spans="1:8" ht="12.75" customHeight="1" x14ac:dyDescent="0.2">
      <c r="A372" s="564"/>
      <c r="B372" s="927" t="s">
        <v>747</v>
      </c>
      <c r="C372" s="881"/>
      <c r="D372" s="882">
        <v>721.92</v>
      </c>
      <c r="E372" s="882"/>
      <c r="F372" s="883"/>
      <c r="G372" s="928" t="s">
        <v>774</v>
      </c>
    </row>
    <row r="373" spans="1:8" ht="12.75" customHeight="1" x14ac:dyDescent="0.2">
      <c r="A373" s="564"/>
      <c r="B373" s="927" t="s">
        <v>790</v>
      </c>
      <c r="C373" s="881"/>
      <c r="D373" s="882">
        <v>3797.39</v>
      </c>
      <c r="E373" s="882"/>
      <c r="F373" s="883"/>
      <c r="G373" s="928">
        <v>3056</v>
      </c>
    </row>
    <row r="374" spans="1:8" ht="12.75" customHeight="1" x14ac:dyDescent="0.2">
      <c r="A374" s="564"/>
      <c r="B374" s="927" t="s">
        <v>748</v>
      </c>
      <c r="C374" s="881"/>
      <c r="D374" s="882">
        <v>0</v>
      </c>
      <c r="E374" s="882"/>
      <c r="F374" s="883"/>
      <c r="G374" s="928">
        <v>3057</v>
      </c>
    </row>
    <row r="375" spans="1:8" ht="12.75" customHeight="1" x14ac:dyDescent="0.2">
      <c r="A375" s="564"/>
      <c r="B375" s="927" t="s">
        <v>749</v>
      </c>
      <c r="C375" s="881"/>
      <c r="D375" s="882">
        <v>19746.330000000002</v>
      </c>
      <c r="E375" s="882"/>
      <c r="F375" s="883"/>
      <c r="G375" s="928" t="s">
        <v>776</v>
      </c>
    </row>
    <row r="376" spans="1:8" ht="12.75" customHeight="1" x14ac:dyDescent="0.2">
      <c r="A376" s="564"/>
      <c r="B376" s="927" t="s">
        <v>750</v>
      </c>
      <c r="C376" s="881"/>
      <c r="D376" s="882">
        <v>4837.05</v>
      </c>
      <c r="E376" s="882"/>
      <c r="F376" s="883"/>
      <c r="G376" s="928" t="s">
        <v>777</v>
      </c>
    </row>
    <row r="377" spans="1:8" ht="12.75" customHeight="1" x14ac:dyDescent="0.2">
      <c r="A377" s="564"/>
      <c r="B377" s="927" t="s">
        <v>787</v>
      </c>
      <c r="C377" s="881"/>
      <c r="D377" s="882">
        <v>0</v>
      </c>
      <c r="E377" s="882"/>
      <c r="F377" s="883"/>
      <c r="G377" s="928">
        <v>3061</v>
      </c>
    </row>
    <row r="378" spans="1:8" ht="12.75" customHeight="1" x14ac:dyDescent="0.2">
      <c r="A378" s="564"/>
      <c r="B378" s="927" t="s">
        <v>796</v>
      </c>
      <c r="C378" s="881"/>
      <c r="D378" s="882">
        <v>0</v>
      </c>
      <c r="E378" s="882"/>
      <c r="F378" s="883"/>
      <c r="G378" s="928">
        <v>3063</v>
      </c>
    </row>
    <row r="379" spans="1:8" ht="12.75" customHeight="1" x14ac:dyDescent="0.2">
      <c r="A379" s="564"/>
      <c r="B379" s="927" t="s">
        <v>751</v>
      </c>
      <c r="C379" s="881"/>
      <c r="D379" s="882">
        <v>0</v>
      </c>
      <c r="E379" s="882"/>
      <c r="F379" s="883"/>
      <c r="G379" s="928" t="s">
        <v>778</v>
      </c>
    </row>
    <row r="380" spans="1:8" ht="12.75" customHeight="1" x14ac:dyDescent="0.2">
      <c r="A380" s="564"/>
      <c r="B380" s="927" t="s">
        <v>801</v>
      </c>
      <c r="C380" s="881"/>
      <c r="D380" s="882">
        <v>1720.5</v>
      </c>
      <c r="E380" s="882"/>
      <c r="F380" s="883"/>
      <c r="G380" s="928">
        <v>3065</v>
      </c>
    </row>
    <row r="381" spans="1:8" ht="12.75" customHeight="1" x14ac:dyDescent="0.2">
      <c r="A381" s="564"/>
      <c r="B381" s="927" t="s">
        <v>752</v>
      </c>
      <c r="C381" s="881"/>
      <c r="D381" s="882">
        <v>1363</v>
      </c>
      <c r="E381" s="882"/>
      <c r="F381" s="883"/>
      <c r="G381" s="928" t="s">
        <v>779</v>
      </c>
    </row>
    <row r="382" spans="1:8" ht="12.75" customHeight="1" x14ac:dyDescent="0.2">
      <c r="A382" s="564"/>
      <c r="B382" s="927" t="s">
        <v>753</v>
      </c>
      <c r="C382" s="881"/>
      <c r="D382" s="882">
        <v>21355.7</v>
      </c>
      <c r="E382" s="882"/>
      <c r="F382" s="883"/>
      <c r="G382" s="928" t="s">
        <v>780</v>
      </c>
      <c r="H382" s="885"/>
    </row>
    <row r="383" spans="1:8" ht="12.75" customHeight="1" x14ac:dyDescent="0.2">
      <c r="A383" s="564"/>
      <c r="B383" s="927" t="s">
        <v>754</v>
      </c>
      <c r="C383" s="881"/>
      <c r="D383" s="882">
        <v>0</v>
      </c>
      <c r="E383" s="882"/>
      <c r="F383" s="883"/>
      <c r="G383" s="928">
        <v>3068</v>
      </c>
      <c r="H383" s="885"/>
    </row>
    <row r="384" spans="1:8" ht="12.75" customHeight="1" x14ac:dyDescent="0.2">
      <c r="A384" s="564"/>
      <c r="B384" s="927" t="s">
        <v>755</v>
      </c>
      <c r="C384" s="881"/>
      <c r="D384" s="882">
        <v>0</v>
      </c>
      <c r="E384" s="882"/>
      <c r="F384" s="883"/>
      <c r="G384" s="928">
        <v>3069</v>
      </c>
      <c r="H384" s="885"/>
    </row>
    <row r="385" spans="1:10" ht="12.75" customHeight="1" x14ac:dyDescent="0.2">
      <c r="A385" s="564"/>
      <c r="B385" s="927" t="s">
        <v>791</v>
      </c>
      <c r="C385" s="881"/>
      <c r="D385" s="882">
        <v>0</v>
      </c>
      <c r="E385" s="882"/>
      <c r="F385" s="883"/>
      <c r="G385" s="928">
        <v>3073</v>
      </c>
    </row>
    <row r="386" spans="1:10" ht="12.75" customHeight="1" x14ac:dyDescent="0.2">
      <c r="A386" s="564"/>
      <c r="B386" s="930" t="s">
        <v>326</v>
      </c>
      <c r="D386" s="882">
        <v>128103.29</v>
      </c>
      <c r="E386" s="929">
        <f>SUM(D386)</f>
        <v>128103.29</v>
      </c>
      <c r="F386" s="883"/>
      <c r="G386" s="870">
        <v>3001</v>
      </c>
      <c r="H386" s="885"/>
    </row>
    <row r="387" spans="1:10" ht="12.75" customHeight="1" x14ac:dyDescent="0.2">
      <c r="A387" s="564"/>
      <c r="B387" s="931" t="s">
        <v>481</v>
      </c>
      <c r="C387" s="887"/>
      <c r="D387" s="882"/>
      <c r="E387" s="929">
        <f>SUM(D388:D393)</f>
        <v>424293.93999999994</v>
      </c>
      <c r="F387" s="883"/>
    </row>
    <row r="388" spans="1:10" ht="12.75" customHeight="1" x14ac:dyDescent="0.2">
      <c r="A388" s="564"/>
      <c r="B388" s="884"/>
      <c r="C388" s="886" t="s">
        <v>327</v>
      </c>
      <c r="D388" s="882">
        <v>45986.3</v>
      </c>
      <c r="E388" s="882"/>
      <c r="F388" s="883"/>
      <c r="G388" s="870">
        <v>4000</v>
      </c>
    </row>
    <row r="389" spans="1:10" ht="12.75" customHeight="1" x14ac:dyDescent="0.2">
      <c r="A389" s="564"/>
      <c r="B389" s="884"/>
      <c r="C389" s="886" t="s">
        <v>328</v>
      </c>
      <c r="D389" s="882">
        <v>704.56</v>
      </c>
      <c r="E389" s="882"/>
      <c r="F389" s="883"/>
      <c r="G389" s="870">
        <v>4001</v>
      </c>
    </row>
    <row r="390" spans="1:10" ht="12.75" customHeight="1" x14ac:dyDescent="0.2">
      <c r="A390" s="564"/>
      <c r="B390" s="884"/>
      <c r="C390" s="886" t="s">
        <v>329</v>
      </c>
      <c r="D390" s="882">
        <v>328020.06</v>
      </c>
      <c r="E390" s="882"/>
      <c r="F390" s="883"/>
    </row>
    <row r="391" spans="1:10" ht="12.75" customHeight="1" x14ac:dyDescent="0.2">
      <c r="A391" s="564"/>
      <c r="B391" s="884"/>
      <c r="C391" s="886" t="s">
        <v>330</v>
      </c>
      <c r="D391" s="882">
        <v>1587.93</v>
      </c>
      <c r="E391" s="882"/>
      <c r="F391" s="883"/>
    </row>
    <row r="392" spans="1:10" ht="12.75" customHeight="1" x14ac:dyDescent="0.2">
      <c r="A392" s="564"/>
      <c r="B392" s="884"/>
      <c r="C392" s="887" t="s">
        <v>331</v>
      </c>
      <c r="D392" s="882">
        <v>17882.55</v>
      </c>
      <c r="E392" s="882"/>
      <c r="F392" s="883"/>
    </row>
    <row r="393" spans="1:10" ht="12.75" customHeight="1" x14ac:dyDescent="0.2">
      <c r="A393" s="564"/>
      <c r="B393" s="884"/>
      <c r="C393" s="887" t="s">
        <v>133</v>
      </c>
      <c r="D393" s="882">
        <v>30112.54</v>
      </c>
      <c r="E393" s="882"/>
      <c r="F393" s="883"/>
    </row>
    <row r="394" spans="1:10" ht="12.75" customHeight="1" x14ac:dyDescent="0.2">
      <c r="A394" s="888"/>
      <c r="B394" s="889" t="s">
        <v>332</v>
      </c>
      <c r="C394" s="934"/>
      <c r="D394" s="882"/>
      <c r="E394" s="891"/>
      <c r="F394" s="892"/>
    </row>
    <row r="395" spans="1:10" ht="12.75" customHeight="1" x14ac:dyDescent="0.2">
      <c r="A395" s="888"/>
      <c r="B395" s="933" t="s">
        <v>333</v>
      </c>
      <c r="D395" s="882">
        <v>12467.32</v>
      </c>
      <c r="E395" s="932">
        <f>D395</f>
        <v>12467.32</v>
      </c>
      <c r="F395" s="892"/>
      <c r="G395" s="870">
        <v>5000</v>
      </c>
    </row>
    <row r="396" spans="1:10" ht="12.75" customHeight="1" thickBot="1" x14ac:dyDescent="0.25">
      <c r="A396" s="893"/>
      <c r="B396" s="894"/>
      <c r="C396" s="895"/>
      <c r="D396" s="896"/>
      <c r="E396" s="897"/>
      <c r="F396" s="935">
        <f>SUM(E344:E395)</f>
        <v>817666.84</v>
      </c>
      <c r="H396" s="898">
        <f>'Sched-B1'!B11+'Sched-B2'!E139+'Sched-D1'!F396-4947172.33-148497.05</f>
        <v>0</v>
      </c>
    </row>
    <row r="397" spans="1:10" ht="12.75" customHeight="1" x14ac:dyDescent="0.2">
      <c r="A397" s="875" t="s">
        <v>815</v>
      </c>
      <c r="B397" s="876" t="s">
        <v>50</v>
      </c>
      <c r="C397" s="877"/>
      <c r="D397" s="878"/>
      <c r="E397" s="879">
        <v>407.59</v>
      </c>
      <c r="F397" s="880"/>
    </row>
    <row r="398" spans="1:10" ht="12.75" customHeight="1" x14ac:dyDescent="0.2">
      <c r="A398" s="564"/>
      <c r="B398" s="925" t="s">
        <v>728</v>
      </c>
      <c r="C398" s="881"/>
      <c r="D398" s="882"/>
      <c r="E398" s="929">
        <f>SUM(D399:D434)</f>
        <v>1148000.1000000001</v>
      </c>
      <c r="F398" s="883"/>
      <c r="H398" s="885"/>
    </row>
    <row r="399" spans="1:10" ht="12.75" customHeight="1" x14ac:dyDescent="0.2">
      <c r="A399" s="564"/>
      <c r="B399" s="927" t="s">
        <v>729</v>
      </c>
      <c r="C399" s="881"/>
      <c r="D399" s="882">
        <v>245</v>
      </c>
      <c r="E399" s="882"/>
      <c r="F399" s="883"/>
      <c r="G399" s="928" t="s">
        <v>756</v>
      </c>
      <c r="H399" s="941">
        <v>33023.1</v>
      </c>
      <c r="I399" s="676" t="s">
        <v>816</v>
      </c>
      <c r="J399" s="676"/>
    </row>
    <row r="400" spans="1:10" ht="12.75" customHeight="1" x14ac:dyDescent="0.2">
      <c r="A400" s="564"/>
      <c r="B400" s="927" t="s">
        <v>730</v>
      </c>
      <c r="C400" s="881"/>
      <c r="D400" s="882">
        <v>1695.75</v>
      </c>
      <c r="E400" s="882"/>
      <c r="F400" s="883"/>
      <c r="G400" s="928" t="s">
        <v>757</v>
      </c>
      <c r="H400" s="676"/>
      <c r="I400" s="676"/>
      <c r="J400" s="676"/>
    </row>
    <row r="401" spans="1:7" ht="12.75" customHeight="1" x14ac:dyDescent="0.2">
      <c r="A401" s="564"/>
      <c r="B401" s="927" t="s">
        <v>731</v>
      </c>
      <c r="C401" s="881"/>
      <c r="D401" s="882">
        <v>2113.85</v>
      </c>
      <c r="E401" s="882"/>
      <c r="F401" s="883"/>
      <c r="G401" s="928" t="s">
        <v>758</v>
      </c>
    </row>
    <row r="402" spans="1:7" ht="12.75" customHeight="1" x14ac:dyDescent="0.2">
      <c r="A402" s="564"/>
      <c r="B402" s="927" t="s">
        <v>800</v>
      </c>
      <c r="C402" s="881"/>
      <c r="D402" s="882">
        <v>0</v>
      </c>
      <c r="E402" s="882"/>
      <c r="F402" s="883"/>
      <c r="G402" s="928">
        <v>3014</v>
      </c>
    </row>
    <row r="403" spans="1:7" ht="12.75" customHeight="1" x14ac:dyDescent="0.2">
      <c r="A403" s="564"/>
      <c r="B403" s="927" t="s">
        <v>732</v>
      </c>
      <c r="C403" s="881"/>
      <c r="D403" s="882">
        <v>450.44</v>
      </c>
      <c r="E403" s="882"/>
      <c r="F403" s="883"/>
      <c r="G403" s="928" t="s">
        <v>759</v>
      </c>
    </row>
    <row r="404" spans="1:7" ht="12.75" customHeight="1" x14ac:dyDescent="0.2">
      <c r="A404" s="564"/>
      <c r="B404" s="927" t="s">
        <v>733</v>
      </c>
      <c r="C404" s="881"/>
      <c r="D404" s="882">
        <v>0</v>
      </c>
      <c r="E404" s="882"/>
      <c r="F404" s="883"/>
      <c r="G404" s="928" t="s">
        <v>760</v>
      </c>
    </row>
    <row r="405" spans="1:7" ht="12.75" customHeight="1" x14ac:dyDescent="0.2">
      <c r="A405" s="564"/>
      <c r="B405" s="927" t="s">
        <v>813</v>
      </c>
      <c r="C405" s="881"/>
      <c r="D405" s="882">
        <v>0</v>
      </c>
      <c r="E405" s="882"/>
      <c r="F405" s="883"/>
      <c r="G405" s="928">
        <v>3028</v>
      </c>
    </row>
    <row r="406" spans="1:7" ht="12.75" customHeight="1" x14ac:dyDescent="0.2">
      <c r="A406" s="564"/>
      <c r="B406" s="937" t="s">
        <v>51</v>
      </c>
      <c r="C406" s="881"/>
      <c r="D406" s="882">
        <f>665550.66+1678.53</f>
        <v>667229.19000000006</v>
      </c>
      <c r="E406" s="882"/>
      <c r="F406" s="883"/>
      <c r="G406" s="928"/>
    </row>
    <row r="407" spans="1:7" ht="12.75" customHeight="1" x14ac:dyDescent="0.2">
      <c r="A407" s="564"/>
      <c r="B407" s="927" t="s">
        <v>734</v>
      </c>
      <c r="C407" s="881"/>
      <c r="D407" s="882">
        <v>0</v>
      </c>
      <c r="E407" s="882"/>
      <c r="F407" s="883"/>
      <c r="G407" s="928" t="s">
        <v>761</v>
      </c>
    </row>
    <row r="408" spans="1:7" ht="12.75" customHeight="1" x14ac:dyDescent="0.2">
      <c r="A408" s="564"/>
      <c r="B408" s="927" t="s">
        <v>735</v>
      </c>
      <c r="C408" s="881"/>
      <c r="D408" s="882">
        <v>31717.8</v>
      </c>
      <c r="E408" s="882"/>
      <c r="F408" s="883"/>
      <c r="G408" s="928" t="s">
        <v>762</v>
      </c>
    </row>
    <row r="409" spans="1:7" ht="12.75" customHeight="1" x14ac:dyDescent="0.2">
      <c r="A409" s="564"/>
      <c r="B409" s="927" t="s">
        <v>785</v>
      </c>
      <c r="C409" s="881"/>
      <c r="D409" s="882">
        <v>0</v>
      </c>
      <c r="E409" s="882"/>
      <c r="F409" s="883"/>
      <c r="G409" s="928">
        <v>3034</v>
      </c>
    </row>
    <row r="410" spans="1:7" ht="12.75" customHeight="1" x14ac:dyDescent="0.2">
      <c r="A410" s="564"/>
      <c r="B410" s="927" t="s">
        <v>736</v>
      </c>
      <c r="C410" s="881"/>
      <c r="D410" s="882">
        <v>7570.83</v>
      </c>
      <c r="E410" s="882"/>
      <c r="F410" s="883"/>
      <c r="G410" s="928" t="s">
        <v>763</v>
      </c>
    </row>
    <row r="411" spans="1:7" ht="12.75" customHeight="1" x14ac:dyDescent="0.2">
      <c r="A411" s="564"/>
      <c r="B411" s="927" t="s">
        <v>737</v>
      </c>
      <c r="C411" s="881"/>
      <c r="D411" s="882">
        <v>4590.67</v>
      </c>
      <c r="E411" s="882"/>
      <c r="F411" s="883"/>
      <c r="G411" s="928" t="s">
        <v>764</v>
      </c>
    </row>
    <row r="412" spans="1:7" ht="12.75" customHeight="1" x14ac:dyDescent="0.2">
      <c r="A412" s="564"/>
      <c r="B412" s="927" t="s">
        <v>738</v>
      </c>
      <c r="C412" s="881"/>
      <c r="D412" s="882">
        <v>0</v>
      </c>
      <c r="E412" s="882"/>
      <c r="F412" s="883"/>
      <c r="G412" s="928" t="s">
        <v>765</v>
      </c>
    </row>
    <row r="413" spans="1:7" ht="12.75" customHeight="1" x14ac:dyDescent="0.2">
      <c r="A413" s="564"/>
      <c r="B413" s="927" t="s">
        <v>739</v>
      </c>
      <c r="C413" s="881"/>
      <c r="D413" s="882">
        <v>833.79</v>
      </c>
      <c r="E413" s="882"/>
      <c r="F413" s="883"/>
      <c r="G413" s="928" t="s">
        <v>766</v>
      </c>
    </row>
    <row r="414" spans="1:7" ht="12.75" customHeight="1" x14ac:dyDescent="0.2">
      <c r="A414" s="564"/>
      <c r="B414" s="927" t="s">
        <v>740</v>
      </c>
      <c r="C414" s="881"/>
      <c r="D414" s="882">
        <v>0</v>
      </c>
      <c r="E414" s="882"/>
      <c r="F414" s="883"/>
      <c r="G414" s="928" t="s">
        <v>767</v>
      </c>
    </row>
    <row r="415" spans="1:7" ht="12.75" customHeight="1" x14ac:dyDescent="0.2">
      <c r="A415" s="564"/>
      <c r="B415" s="927" t="s">
        <v>741</v>
      </c>
      <c r="C415" s="881"/>
      <c r="D415" s="882">
        <v>444</v>
      </c>
      <c r="E415" s="882"/>
      <c r="F415" s="883"/>
      <c r="G415" s="928" t="s">
        <v>768</v>
      </c>
    </row>
    <row r="416" spans="1:7" ht="12.75" customHeight="1" x14ac:dyDescent="0.2">
      <c r="A416" s="564"/>
      <c r="B416" s="927" t="s">
        <v>742</v>
      </c>
      <c r="C416" s="881"/>
      <c r="D416" s="882">
        <v>3157.5</v>
      </c>
      <c r="E416" s="882"/>
      <c r="F416" s="883"/>
      <c r="G416" s="928" t="s">
        <v>769</v>
      </c>
    </row>
    <row r="417" spans="1:8" ht="12.75" customHeight="1" x14ac:dyDescent="0.2">
      <c r="A417" s="564"/>
      <c r="B417" s="927" t="s">
        <v>743</v>
      </c>
      <c r="C417" s="881"/>
      <c r="D417" s="882">
        <v>96.16</v>
      </c>
      <c r="E417" s="882"/>
      <c r="F417" s="883"/>
      <c r="G417" s="928" t="s">
        <v>770</v>
      </c>
    </row>
    <row r="418" spans="1:8" ht="12.75" customHeight="1" x14ac:dyDescent="0.2">
      <c r="A418" s="564"/>
      <c r="B418" s="927" t="s">
        <v>744</v>
      </c>
      <c r="C418" s="881"/>
      <c r="D418" s="882">
        <v>23450</v>
      </c>
      <c r="E418" s="882"/>
      <c r="F418" s="883"/>
      <c r="G418" s="928" t="s">
        <v>771</v>
      </c>
    </row>
    <row r="419" spans="1:8" ht="12.75" customHeight="1" x14ac:dyDescent="0.2">
      <c r="A419" s="564"/>
      <c r="B419" s="927" t="s">
        <v>786</v>
      </c>
      <c r="C419" s="881"/>
      <c r="D419" s="882">
        <v>40031.089999999997</v>
      </c>
      <c r="E419" s="882"/>
      <c r="F419" s="883"/>
      <c r="G419" s="928">
        <v>3048</v>
      </c>
    </row>
    <row r="420" spans="1:8" ht="12.75" customHeight="1" x14ac:dyDescent="0.2">
      <c r="A420" s="564"/>
      <c r="B420" s="927" t="s">
        <v>789</v>
      </c>
      <c r="C420" s="881"/>
      <c r="D420" s="882">
        <v>892.87</v>
      </c>
      <c r="E420" s="882"/>
      <c r="F420" s="883"/>
      <c r="G420" s="928">
        <v>3051</v>
      </c>
    </row>
    <row r="421" spans="1:8" ht="12.75" customHeight="1" x14ac:dyDescent="0.2">
      <c r="A421" s="564"/>
      <c r="B421" s="927" t="s">
        <v>745</v>
      </c>
      <c r="C421" s="881"/>
      <c r="D421" s="882">
        <v>0</v>
      </c>
      <c r="E421" s="882"/>
      <c r="F421" s="883"/>
      <c r="G421" s="928" t="s">
        <v>772</v>
      </c>
    </row>
    <row r="422" spans="1:8" ht="12.75" customHeight="1" x14ac:dyDescent="0.2">
      <c r="A422" s="564"/>
      <c r="B422" s="927" t="s">
        <v>746</v>
      </c>
      <c r="C422" s="881"/>
      <c r="D422" s="882">
        <v>0</v>
      </c>
      <c r="E422" s="882"/>
      <c r="F422" s="883"/>
      <c r="G422" s="928" t="s">
        <v>773</v>
      </c>
    </row>
    <row r="423" spans="1:8" ht="12.75" customHeight="1" x14ac:dyDescent="0.2">
      <c r="A423" s="564"/>
      <c r="B423" s="927" t="s">
        <v>807</v>
      </c>
      <c r="C423" s="881"/>
      <c r="D423" s="882">
        <v>3717.75</v>
      </c>
      <c r="E423" s="882"/>
      <c r="F423" s="883"/>
      <c r="G423" s="928">
        <v>3052</v>
      </c>
    </row>
    <row r="424" spans="1:8" ht="12.75" customHeight="1" x14ac:dyDescent="0.2">
      <c r="A424" s="564"/>
      <c r="B424" s="927" t="s">
        <v>747</v>
      </c>
      <c r="C424" s="881"/>
      <c r="D424" s="882">
        <v>8409.3700000000008</v>
      </c>
      <c r="E424" s="882"/>
      <c r="F424" s="883"/>
      <c r="G424" s="928" t="s">
        <v>774</v>
      </c>
    </row>
    <row r="425" spans="1:8" ht="12.75" customHeight="1" x14ac:dyDescent="0.2">
      <c r="A425" s="564"/>
      <c r="B425" s="927" t="s">
        <v>748</v>
      </c>
      <c r="C425" s="881"/>
      <c r="D425" s="882">
        <v>1519</v>
      </c>
      <c r="E425" s="882"/>
      <c r="F425" s="883"/>
      <c r="G425" s="928" t="s">
        <v>775</v>
      </c>
    </row>
    <row r="426" spans="1:8" ht="12.75" customHeight="1" x14ac:dyDescent="0.2">
      <c r="A426" s="564"/>
      <c r="B426" s="927" t="s">
        <v>749</v>
      </c>
      <c r="C426" s="881"/>
      <c r="D426" s="882">
        <v>4516.42</v>
      </c>
      <c r="E426" s="882"/>
      <c r="F426" s="883"/>
      <c r="G426" s="928" t="s">
        <v>776</v>
      </c>
    </row>
    <row r="427" spans="1:8" ht="12.75" customHeight="1" x14ac:dyDescent="0.2">
      <c r="A427" s="564"/>
      <c r="B427" s="927" t="s">
        <v>750</v>
      </c>
      <c r="C427" s="881"/>
      <c r="D427" s="882">
        <v>9202.32</v>
      </c>
      <c r="E427" s="882"/>
      <c r="F427" s="883"/>
      <c r="G427" s="928" t="s">
        <v>777</v>
      </c>
    </row>
    <row r="428" spans="1:8" ht="12.75" customHeight="1" x14ac:dyDescent="0.2">
      <c r="A428" s="564"/>
      <c r="B428" s="927" t="s">
        <v>787</v>
      </c>
      <c r="C428" s="881"/>
      <c r="D428" s="882">
        <v>0</v>
      </c>
      <c r="E428" s="882"/>
      <c r="F428" s="883"/>
      <c r="G428" s="928">
        <v>3061</v>
      </c>
    </row>
    <row r="429" spans="1:8" ht="12.75" customHeight="1" x14ac:dyDescent="0.2">
      <c r="A429" s="564"/>
      <c r="B429" s="927" t="s">
        <v>751</v>
      </c>
      <c r="C429" s="881"/>
      <c r="D429" s="882">
        <v>140</v>
      </c>
      <c r="E429" s="882"/>
      <c r="F429" s="883"/>
      <c r="G429" s="928" t="s">
        <v>778</v>
      </c>
    </row>
    <row r="430" spans="1:8" ht="12.75" customHeight="1" x14ac:dyDescent="0.2">
      <c r="A430" s="564"/>
      <c r="B430" s="927" t="s">
        <v>801</v>
      </c>
      <c r="C430" s="881"/>
      <c r="D430" s="882">
        <v>9511</v>
      </c>
      <c r="E430" s="882"/>
      <c r="F430" s="883"/>
      <c r="G430" s="928">
        <v>3065</v>
      </c>
    </row>
    <row r="431" spans="1:8" ht="12.75" customHeight="1" x14ac:dyDescent="0.2">
      <c r="A431" s="564"/>
      <c r="B431" s="927" t="s">
        <v>752</v>
      </c>
      <c r="C431" s="881"/>
      <c r="D431" s="882">
        <v>2645</v>
      </c>
      <c r="E431" s="882"/>
      <c r="F431" s="883"/>
      <c r="G431" s="928" t="s">
        <v>779</v>
      </c>
    </row>
    <row r="432" spans="1:8" ht="12.75" customHeight="1" x14ac:dyDescent="0.2">
      <c r="A432" s="564"/>
      <c r="B432" s="927" t="s">
        <v>753</v>
      </c>
      <c r="C432" s="881"/>
      <c r="D432" s="882">
        <v>323802.62</v>
      </c>
      <c r="E432" s="882"/>
      <c r="F432" s="883"/>
      <c r="G432" s="928" t="s">
        <v>780</v>
      </c>
      <c r="H432" s="885"/>
    </row>
    <row r="433" spans="1:8" ht="12.75" customHeight="1" x14ac:dyDescent="0.2">
      <c r="A433" s="564"/>
      <c r="B433" s="927" t="s">
        <v>754</v>
      </c>
      <c r="C433" s="881"/>
      <c r="D433" s="882">
        <v>0</v>
      </c>
      <c r="E433" s="882"/>
      <c r="F433" s="883"/>
      <c r="G433" s="928" t="s">
        <v>781</v>
      </c>
    </row>
    <row r="434" spans="1:8" ht="12.75" customHeight="1" x14ac:dyDescent="0.2">
      <c r="A434" s="564"/>
      <c r="B434" s="927" t="s">
        <v>755</v>
      </c>
      <c r="C434" s="881"/>
      <c r="D434" s="882">
        <v>17.68</v>
      </c>
      <c r="E434" s="882"/>
      <c r="F434" s="883"/>
      <c r="G434" s="928" t="s">
        <v>782</v>
      </c>
      <c r="H434" s="885"/>
    </row>
    <row r="435" spans="1:8" ht="12.75" customHeight="1" x14ac:dyDescent="0.2">
      <c r="A435" s="564"/>
      <c r="B435" s="930" t="s">
        <v>326</v>
      </c>
      <c r="C435" s="886"/>
      <c r="D435" s="883">
        <f>280712.01+840</f>
        <v>281552.01</v>
      </c>
      <c r="E435" s="939">
        <f>SUM(D435)</f>
        <v>281552.01</v>
      </c>
      <c r="F435" s="883"/>
      <c r="G435" s="928">
        <v>3001</v>
      </c>
      <c r="H435" s="885" t="s">
        <v>817</v>
      </c>
    </row>
    <row r="436" spans="1:8" ht="12.75" customHeight="1" x14ac:dyDescent="0.2">
      <c r="A436" s="564"/>
      <c r="B436" s="931" t="s">
        <v>481</v>
      </c>
      <c r="C436" s="887"/>
      <c r="D436" s="883"/>
      <c r="E436" s="939">
        <f>SUM(D437:D442)</f>
        <v>1492388.6099999999</v>
      </c>
      <c r="F436" s="883"/>
      <c r="H436" s="885"/>
    </row>
    <row r="437" spans="1:8" ht="12.75" customHeight="1" x14ac:dyDescent="0.2">
      <c r="A437" s="564"/>
      <c r="B437" s="884"/>
      <c r="C437" s="886" t="s">
        <v>327</v>
      </c>
      <c r="D437" s="883">
        <v>64348.84</v>
      </c>
      <c r="E437" s="883"/>
      <c r="F437" s="883"/>
      <c r="G437" s="870">
        <v>4000</v>
      </c>
      <c r="H437" s="885"/>
    </row>
    <row r="438" spans="1:8" ht="12.75" customHeight="1" x14ac:dyDescent="0.2">
      <c r="A438" s="564"/>
      <c r="B438" s="884"/>
      <c r="C438" s="886" t="s">
        <v>328</v>
      </c>
      <c r="D438" s="882">
        <v>416.79</v>
      </c>
      <c r="E438" s="882"/>
      <c r="F438" s="883"/>
      <c r="G438" s="870">
        <v>4001</v>
      </c>
    </row>
    <row r="439" spans="1:8" ht="12.75" customHeight="1" x14ac:dyDescent="0.2">
      <c r="A439" s="564"/>
      <c r="B439" s="884"/>
      <c r="C439" s="886" t="s">
        <v>329</v>
      </c>
      <c r="D439" s="883">
        <v>1224169.4099999999</v>
      </c>
      <c r="E439" s="883"/>
      <c r="F439" s="883"/>
      <c r="G439" s="870">
        <v>4002</v>
      </c>
    </row>
    <row r="440" spans="1:8" ht="12.75" customHeight="1" x14ac:dyDescent="0.2">
      <c r="A440" s="564"/>
      <c r="B440" s="884"/>
      <c r="C440" s="886" t="s">
        <v>330</v>
      </c>
      <c r="D440" s="883">
        <v>3819.08</v>
      </c>
      <c r="E440" s="883"/>
      <c r="F440" s="883"/>
      <c r="G440" s="870">
        <v>4003</v>
      </c>
    </row>
    <row r="441" spans="1:8" ht="12.75" customHeight="1" x14ac:dyDescent="0.2">
      <c r="A441" s="899"/>
      <c r="B441" s="884"/>
      <c r="C441" s="887" t="s">
        <v>331</v>
      </c>
      <c r="D441" s="883">
        <v>17206.099999999999</v>
      </c>
      <c r="E441" s="883"/>
      <c r="F441" s="883"/>
      <c r="G441" s="870">
        <v>4004</v>
      </c>
    </row>
    <row r="442" spans="1:8" ht="12.75" customHeight="1" x14ac:dyDescent="0.2">
      <c r="A442" s="564"/>
      <c r="B442" s="884"/>
      <c r="C442" s="887" t="s">
        <v>133</v>
      </c>
      <c r="D442" s="883">
        <v>182428.39</v>
      </c>
      <c r="E442" s="883"/>
      <c r="F442" s="883"/>
      <c r="G442" s="870">
        <v>4005</v>
      </c>
    </row>
    <row r="443" spans="1:8" ht="12.75" customHeight="1" x14ac:dyDescent="0.2">
      <c r="A443" s="564"/>
      <c r="B443" s="889" t="s">
        <v>332</v>
      </c>
      <c r="C443" s="887"/>
      <c r="D443" s="904"/>
      <c r="E443" s="892"/>
      <c r="F443" s="883"/>
    </row>
    <row r="444" spans="1:8" ht="12.75" customHeight="1" x14ac:dyDescent="0.2">
      <c r="A444" s="564"/>
      <c r="B444" s="933" t="s">
        <v>333</v>
      </c>
      <c r="D444" s="883">
        <v>103351.25</v>
      </c>
      <c r="E444" s="940">
        <f>D444</f>
        <v>103351.25</v>
      </c>
      <c r="F444" s="883"/>
      <c r="G444" s="870">
        <v>5004</v>
      </c>
      <c r="H444" s="885"/>
    </row>
    <row r="445" spans="1:8" ht="12.75" customHeight="1" thickBot="1" x14ac:dyDescent="0.25">
      <c r="A445" s="893"/>
      <c r="B445" s="894"/>
      <c r="C445" s="895"/>
      <c r="D445" s="900"/>
      <c r="E445" s="897"/>
      <c r="F445" s="935">
        <f>SUM(E397:E445)</f>
        <v>3025699.56</v>
      </c>
      <c r="H445" s="898">
        <f>'Sched-B1'!B12+'Sched-B2'!E156+'Sched-D1'!F445-665550.66-1678.53-12408405.67</f>
        <v>0</v>
      </c>
    </row>
    <row r="446" spans="1:8" ht="12.75" customHeight="1" x14ac:dyDescent="0.2">
      <c r="A446" s="875" t="s">
        <v>798</v>
      </c>
      <c r="B446" s="876" t="s">
        <v>50</v>
      </c>
      <c r="C446" s="877"/>
      <c r="D446" s="878"/>
      <c r="E446" s="879">
        <f>31000.43+3012.16+7232.32</f>
        <v>41244.909999999996</v>
      </c>
      <c r="F446" s="880"/>
      <c r="G446" s="870">
        <v>2000</v>
      </c>
    </row>
    <row r="447" spans="1:8" ht="12.75" customHeight="1" x14ac:dyDescent="0.2">
      <c r="A447" s="564"/>
      <c r="B447" s="925" t="s">
        <v>728</v>
      </c>
      <c r="C447" s="881"/>
      <c r="D447" s="882"/>
      <c r="E447" s="929">
        <f>SUM(D448:D488)</f>
        <v>1997684.6500000001</v>
      </c>
      <c r="F447" s="883"/>
    </row>
    <row r="448" spans="1:8" ht="12.75" customHeight="1" x14ac:dyDescent="0.2">
      <c r="A448" s="564"/>
      <c r="B448" s="927" t="s">
        <v>729</v>
      </c>
      <c r="C448" s="881"/>
      <c r="D448" s="882">
        <v>4201.8500000000004</v>
      </c>
      <c r="E448" s="882"/>
      <c r="F448" s="883"/>
      <c r="G448" s="928" t="s">
        <v>756</v>
      </c>
    </row>
    <row r="449" spans="1:7" ht="12.75" customHeight="1" x14ac:dyDescent="0.2">
      <c r="A449" s="564"/>
      <c r="B449" s="927" t="s">
        <v>730</v>
      </c>
      <c r="C449" s="881"/>
      <c r="D449" s="882">
        <v>1799</v>
      </c>
      <c r="E449" s="882"/>
      <c r="F449" s="883"/>
      <c r="G449" s="928" t="s">
        <v>757</v>
      </c>
    </row>
    <row r="450" spans="1:7" ht="12.75" customHeight="1" x14ac:dyDescent="0.2">
      <c r="A450" s="564"/>
      <c r="B450" s="927" t="s">
        <v>788</v>
      </c>
      <c r="C450" s="881"/>
      <c r="D450" s="882">
        <v>0</v>
      </c>
      <c r="E450" s="882"/>
      <c r="F450" s="883"/>
      <c r="G450" s="928">
        <v>3003</v>
      </c>
    </row>
    <row r="451" spans="1:7" ht="12.75" customHeight="1" x14ac:dyDescent="0.2">
      <c r="A451" s="564"/>
      <c r="B451" s="927" t="s">
        <v>802</v>
      </c>
      <c r="C451" s="881"/>
      <c r="D451" s="882">
        <v>299345</v>
      </c>
      <c r="E451" s="882"/>
      <c r="F451" s="883"/>
      <c r="G451" s="928">
        <v>3010</v>
      </c>
    </row>
    <row r="452" spans="1:7" ht="12.75" customHeight="1" x14ac:dyDescent="0.2">
      <c r="A452" s="564"/>
      <c r="B452" s="927" t="s">
        <v>731</v>
      </c>
      <c r="C452" s="881"/>
      <c r="D452" s="882">
        <v>712.69</v>
      </c>
      <c r="E452" s="882"/>
      <c r="F452" s="883"/>
      <c r="G452" s="928" t="s">
        <v>758</v>
      </c>
    </row>
    <row r="453" spans="1:7" ht="12.75" customHeight="1" x14ac:dyDescent="0.2">
      <c r="A453" s="564"/>
      <c r="B453" s="927" t="s">
        <v>800</v>
      </c>
      <c r="C453" s="881"/>
      <c r="D453" s="882">
        <v>425.14</v>
      </c>
      <c r="E453" s="882"/>
      <c r="F453" s="883"/>
      <c r="G453" s="928">
        <v>3014</v>
      </c>
    </row>
    <row r="454" spans="1:7" ht="12.75" customHeight="1" x14ac:dyDescent="0.2">
      <c r="A454" s="564"/>
      <c r="B454" s="927" t="s">
        <v>732</v>
      </c>
      <c r="C454" s="881"/>
      <c r="D454" s="882">
        <v>12918.1</v>
      </c>
      <c r="E454" s="882"/>
      <c r="F454" s="883"/>
      <c r="G454" s="928" t="s">
        <v>759</v>
      </c>
    </row>
    <row r="455" spans="1:7" ht="12.75" customHeight="1" x14ac:dyDescent="0.2">
      <c r="A455" s="564"/>
      <c r="B455" s="927" t="s">
        <v>733</v>
      </c>
      <c r="C455" s="881"/>
      <c r="D455" s="882">
        <v>0</v>
      </c>
      <c r="E455" s="882"/>
      <c r="F455" s="883"/>
      <c r="G455" s="928" t="s">
        <v>760</v>
      </c>
    </row>
    <row r="456" spans="1:7" ht="12.75" customHeight="1" x14ac:dyDescent="0.2">
      <c r="A456" s="564"/>
      <c r="B456" s="937" t="s">
        <v>51</v>
      </c>
      <c r="C456" s="881"/>
      <c r="D456" s="882">
        <f>174215.5+1142185.21+1131.74</f>
        <v>1317532.45</v>
      </c>
      <c r="E456" s="882"/>
      <c r="F456" s="883"/>
      <c r="G456" s="928"/>
    </row>
    <row r="457" spans="1:7" ht="12.75" customHeight="1" x14ac:dyDescent="0.2">
      <c r="A457" s="564"/>
      <c r="B457" s="927" t="s">
        <v>793</v>
      </c>
      <c r="C457" s="881"/>
      <c r="D457" s="882">
        <v>0</v>
      </c>
      <c r="E457" s="882"/>
      <c r="F457" s="883"/>
      <c r="G457" s="928">
        <v>3029</v>
      </c>
    </row>
    <row r="458" spans="1:7" ht="12.75" customHeight="1" x14ac:dyDescent="0.2">
      <c r="A458" s="564"/>
      <c r="B458" s="927" t="s">
        <v>734</v>
      </c>
      <c r="C458" s="881"/>
      <c r="D458" s="882">
        <v>0</v>
      </c>
      <c r="E458" s="882"/>
      <c r="F458" s="883"/>
      <c r="G458" s="928" t="s">
        <v>761</v>
      </c>
    </row>
    <row r="459" spans="1:7" ht="12.75" customHeight="1" x14ac:dyDescent="0.2">
      <c r="A459" s="564"/>
      <c r="B459" s="927" t="s">
        <v>735</v>
      </c>
      <c r="C459" s="881"/>
      <c r="D459" s="882">
        <v>51750.1</v>
      </c>
      <c r="E459" s="882"/>
      <c r="F459" s="883"/>
      <c r="G459" s="928" t="s">
        <v>762</v>
      </c>
    </row>
    <row r="460" spans="1:7" ht="12.75" customHeight="1" x14ac:dyDescent="0.2">
      <c r="A460" s="564"/>
      <c r="B460" s="927" t="s">
        <v>785</v>
      </c>
      <c r="C460" s="881"/>
      <c r="D460" s="882">
        <v>0</v>
      </c>
      <c r="E460" s="882"/>
      <c r="F460" s="883"/>
      <c r="G460" s="928">
        <v>3034</v>
      </c>
    </row>
    <row r="461" spans="1:7" ht="12.75" customHeight="1" x14ac:dyDescent="0.2">
      <c r="A461" s="564"/>
      <c r="B461" s="927" t="s">
        <v>736</v>
      </c>
      <c r="C461" s="881"/>
      <c r="D461" s="882">
        <v>10715.29</v>
      </c>
      <c r="E461" s="882"/>
      <c r="F461" s="883"/>
      <c r="G461" s="928" t="s">
        <v>763</v>
      </c>
    </row>
    <row r="462" spans="1:7" ht="12.75" customHeight="1" x14ac:dyDescent="0.2">
      <c r="A462" s="564"/>
      <c r="B462" s="927" t="s">
        <v>737</v>
      </c>
      <c r="C462" s="881"/>
      <c r="D462" s="882">
        <v>11332.03</v>
      </c>
      <c r="E462" s="882"/>
      <c r="F462" s="883"/>
      <c r="G462" s="928" t="s">
        <v>764</v>
      </c>
    </row>
    <row r="463" spans="1:7" ht="12.75" customHeight="1" x14ac:dyDescent="0.2">
      <c r="A463" s="564"/>
      <c r="B463" s="927" t="s">
        <v>738</v>
      </c>
      <c r="C463" s="881"/>
      <c r="D463" s="882">
        <v>87.92</v>
      </c>
      <c r="E463" s="882"/>
      <c r="F463" s="883"/>
      <c r="G463" s="928" t="s">
        <v>765</v>
      </c>
    </row>
    <row r="464" spans="1:7" ht="12.75" customHeight="1" x14ac:dyDescent="0.2">
      <c r="A464" s="564"/>
      <c r="B464" s="927" t="s">
        <v>739</v>
      </c>
      <c r="C464" s="881"/>
      <c r="D464" s="882">
        <v>596.65</v>
      </c>
      <c r="E464" s="882"/>
      <c r="F464" s="883"/>
      <c r="G464" s="928" t="s">
        <v>766</v>
      </c>
    </row>
    <row r="465" spans="1:7" ht="12.75" customHeight="1" x14ac:dyDescent="0.2">
      <c r="A465" s="564"/>
      <c r="B465" s="927" t="s">
        <v>803</v>
      </c>
      <c r="C465" s="881"/>
      <c r="D465" s="882">
        <v>1341.02</v>
      </c>
      <c r="E465" s="882"/>
      <c r="F465" s="883"/>
      <c r="G465" s="928">
        <v>3039</v>
      </c>
    </row>
    <row r="466" spans="1:7" ht="12.75" customHeight="1" x14ac:dyDescent="0.2">
      <c r="A466" s="564"/>
      <c r="B466" s="927" t="s">
        <v>740</v>
      </c>
      <c r="C466" s="881"/>
      <c r="D466" s="882">
        <v>0</v>
      </c>
      <c r="E466" s="882"/>
      <c r="F466" s="883"/>
      <c r="G466" s="928" t="s">
        <v>767</v>
      </c>
    </row>
    <row r="467" spans="1:7" ht="12.75" customHeight="1" x14ac:dyDescent="0.2">
      <c r="A467" s="564"/>
      <c r="B467" s="927" t="s">
        <v>741</v>
      </c>
      <c r="C467" s="881"/>
      <c r="D467" s="882">
        <v>0</v>
      </c>
      <c r="E467" s="882"/>
      <c r="F467" s="883"/>
      <c r="G467" s="928" t="s">
        <v>768</v>
      </c>
    </row>
    <row r="468" spans="1:7" ht="12.75" customHeight="1" x14ac:dyDescent="0.2">
      <c r="A468" s="564"/>
      <c r="B468" s="927" t="s">
        <v>795</v>
      </c>
      <c r="C468" s="881"/>
      <c r="D468" s="882">
        <v>0</v>
      </c>
      <c r="E468" s="882"/>
      <c r="F468" s="883"/>
      <c r="G468" s="928">
        <v>3042</v>
      </c>
    </row>
    <row r="469" spans="1:7" ht="12.75" customHeight="1" x14ac:dyDescent="0.2">
      <c r="A469" s="564"/>
      <c r="B469" s="927" t="s">
        <v>742</v>
      </c>
      <c r="C469" s="881"/>
      <c r="D469" s="882">
        <v>1567.49</v>
      </c>
      <c r="E469" s="882"/>
      <c r="F469" s="883"/>
      <c r="G469" s="928" t="s">
        <v>769</v>
      </c>
    </row>
    <row r="470" spans="1:7" ht="12.75" customHeight="1" x14ac:dyDescent="0.2">
      <c r="A470" s="564"/>
      <c r="B470" s="927" t="s">
        <v>743</v>
      </c>
      <c r="C470" s="881"/>
      <c r="D470" s="882">
        <v>435.86</v>
      </c>
      <c r="E470" s="882"/>
      <c r="F470" s="883"/>
      <c r="G470" s="928" t="s">
        <v>770</v>
      </c>
    </row>
    <row r="471" spans="1:7" ht="12.75" customHeight="1" x14ac:dyDescent="0.2">
      <c r="A471" s="564"/>
      <c r="B471" s="927" t="s">
        <v>744</v>
      </c>
      <c r="C471" s="881"/>
      <c r="D471" s="882">
        <v>13500</v>
      </c>
      <c r="E471" s="882"/>
      <c r="F471" s="883"/>
      <c r="G471" s="928" t="s">
        <v>771</v>
      </c>
    </row>
    <row r="472" spans="1:7" ht="12.75" customHeight="1" x14ac:dyDescent="0.2">
      <c r="A472" s="564"/>
      <c r="B472" s="927" t="s">
        <v>786</v>
      </c>
      <c r="C472" s="881"/>
      <c r="D472" s="882">
        <v>0</v>
      </c>
      <c r="E472" s="882"/>
      <c r="F472" s="883"/>
      <c r="G472" s="928">
        <v>3048</v>
      </c>
    </row>
    <row r="473" spans="1:7" ht="12.75" customHeight="1" x14ac:dyDescent="0.2">
      <c r="A473" s="564"/>
      <c r="B473" s="927" t="s">
        <v>745</v>
      </c>
      <c r="C473" s="881"/>
      <c r="D473" s="882">
        <v>0</v>
      </c>
      <c r="E473" s="882"/>
      <c r="F473" s="883"/>
      <c r="G473" s="928" t="s">
        <v>772</v>
      </c>
    </row>
    <row r="474" spans="1:7" ht="12.75" customHeight="1" x14ac:dyDescent="0.2">
      <c r="A474" s="564"/>
      <c r="B474" s="927" t="s">
        <v>746</v>
      </c>
      <c r="C474" s="881"/>
      <c r="D474" s="882">
        <v>450</v>
      </c>
      <c r="E474" s="882"/>
      <c r="F474" s="883"/>
      <c r="G474" s="928" t="s">
        <v>773</v>
      </c>
    </row>
    <row r="475" spans="1:7" ht="12.75" customHeight="1" x14ac:dyDescent="0.2">
      <c r="A475" s="564"/>
      <c r="B475" s="927" t="s">
        <v>789</v>
      </c>
      <c r="C475" s="881"/>
      <c r="D475" s="882">
        <v>0</v>
      </c>
      <c r="E475" s="882"/>
      <c r="F475" s="883"/>
      <c r="G475" s="928">
        <v>3051</v>
      </c>
    </row>
    <row r="476" spans="1:7" ht="12.75" customHeight="1" x14ac:dyDescent="0.2">
      <c r="A476" s="564"/>
      <c r="B476" s="927" t="s">
        <v>747</v>
      </c>
      <c r="C476" s="881"/>
      <c r="D476" s="882">
        <v>13673.09</v>
      </c>
      <c r="E476" s="882"/>
      <c r="F476" s="883"/>
      <c r="G476" s="928" t="s">
        <v>774</v>
      </c>
    </row>
    <row r="477" spans="1:7" ht="12.75" customHeight="1" x14ac:dyDescent="0.2">
      <c r="A477" s="564"/>
      <c r="B477" s="927" t="s">
        <v>790</v>
      </c>
      <c r="C477" s="881"/>
      <c r="D477" s="882">
        <v>7501.25</v>
      </c>
      <c r="E477" s="882"/>
      <c r="F477" s="883"/>
      <c r="G477" s="928">
        <v>3056</v>
      </c>
    </row>
    <row r="478" spans="1:7" ht="12.75" customHeight="1" x14ac:dyDescent="0.2">
      <c r="A478" s="564"/>
      <c r="B478" s="927" t="s">
        <v>748</v>
      </c>
      <c r="C478" s="881"/>
      <c r="D478" s="882">
        <v>0</v>
      </c>
      <c r="E478" s="882"/>
      <c r="F478" s="883"/>
      <c r="G478" s="928">
        <v>3057</v>
      </c>
    </row>
    <row r="479" spans="1:7" ht="12.75" customHeight="1" x14ac:dyDescent="0.2">
      <c r="A479" s="564"/>
      <c r="B479" s="927" t="s">
        <v>749</v>
      </c>
      <c r="C479" s="881"/>
      <c r="D479" s="882">
        <v>21212.799999999999</v>
      </c>
      <c r="E479" s="882"/>
      <c r="F479" s="883"/>
      <c r="G479" s="928" t="s">
        <v>776</v>
      </c>
    </row>
    <row r="480" spans="1:7" ht="12.75" customHeight="1" x14ac:dyDescent="0.2">
      <c r="A480" s="564"/>
      <c r="B480" s="927" t="s">
        <v>750</v>
      </c>
      <c r="C480" s="881"/>
      <c r="D480" s="882">
        <v>19475.45</v>
      </c>
      <c r="E480" s="882"/>
      <c r="F480" s="883"/>
      <c r="G480" s="928" t="s">
        <v>777</v>
      </c>
    </row>
    <row r="481" spans="1:8" ht="12.75" customHeight="1" x14ac:dyDescent="0.2">
      <c r="A481" s="564"/>
      <c r="B481" s="927" t="s">
        <v>787</v>
      </c>
      <c r="C481" s="881"/>
      <c r="D481" s="882">
        <v>0</v>
      </c>
      <c r="E481" s="882"/>
      <c r="F481" s="883"/>
      <c r="G481" s="928">
        <v>3061</v>
      </c>
    </row>
    <row r="482" spans="1:8" ht="12.75" customHeight="1" x14ac:dyDescent="0.2">
      <c r="A482" s="564"/>
      <c r="B482" s="927" t="s">
        <v>796</v>
      </c>
      <c r="C482" s="881"/>
      <c r="D482" s="882">
        <v>0</v>
      </c>
      <c r="E482" s="882"/>
      <c r="F482" s="883"/>
      <c r="G482" s="928">
        <v>3063</v>
      </c>
    </row>
    <row r="483" spans="1:8" ht="12.75" customHeight="1" x14ac:dyDescent="0.2">
      <c r="A483" s="564"/>
      <c r="B483" s="927" t="s">
        <v>751</v>
      </c>
      <c r="C483" s="881"/>
      <c r="D483" s="882">
        <v>0</v>
      </c>
      <c r="E483" s="882"/>
      <c r="F483" s="883"/>
      <c r="G483" s="928" t="s">
        <v>778</v>
      </c>
    </row>
    <row r="484" spans="1:8" ht="12.75" customHeight="1" x14ac:dyDescent="0.2">
      <c r="A484" s="564"/>
      <c r="B484" s="927" t="s">
        <v>752</v>
      </c>
      <c r="C484" s="881"/>
      <c r="D484" s="882">
        <v>0</v>
      </c>
      <c r="E484" s="882"/>
      <c r="F484" s="883"/>
      <c r="G484" s="928" t="s">
        <v>779</v>
      </c>
    </row>
    <row r="485" spans="1:8" ht="12.75" customHeight="1" x14ac:dyDescent="0.2">
      <c r="A485" s="564"/>
      <c r="B485" s="927" t="s">
        <v>753</v>
      </c>
      <c r="C485" s="881"/>
      <c r="D485" s="882">
        <v>206980.75</v>
      </c>
      <c r="E485" s="882"/>
      <c r="F485" s="883"/>
      <c r="G485" s="928" t="s">
        <v>780</v>
      </c>
      <c r="H485" s="885"/>
    </row>
    <row r="486" spans="1:8" ht="12.75" customHeight="1" x14ac:dyDescent="0.2">
      <c r="A486" s="564"/>
      <c r="B486" s="927" t="s">
        <v>754</v>
      </c>
      <c r="C486" s="881"/>
      <c r="D486" s="882">
        <v>0</v>
      </c>
      <c r="E486" s="882"/>
      <c r="F486" s="883"/>
      <c r="G486" s="928">
        <v>3068</v>
      </c>
      <c r="H486" s="885"/>
    </row>
    <row r="487" spans="1:8" ht="12.75" customHeight="1" x14ac:dyDescent="0.2">
      <c r="A487" s="564"/>
      <c r="B487" s="927" t="s">
        <v>755</v>
      </c>
      <c r="C487" s="881"/>
      <c r="D487" s="882">
        <v>130.72</v>
      </c>
      <c r="E487" s="882"/>
      <c r="F487" s="883"/>
      <c r="G487" s="928">
        <v>3069</v>
      </c>
      <c r="H487" s="885"/>
    </row>
    <row r="488" spans="1:8" ht="12.75" customHeight="1" x14ac:dyDescent="0.2">
      <c r="A488" s="564"/>
      <c r="B488" s="927" t="s">
        <v>791</v>
      </c>
      <c r="C488" s="881"/>
      <c r="D488" s="882">
        <v>0</v>
      </c>
      <c r="E488" s="882"/>
      <c r="F488" s="883"/>
      <c r="G488" s="928">
        <v>3073</v>
      </c>
    </row>
    <row r="489" spans="1:8" ht="12.75" customHeight="1" x14ac:dyDescent="0.2">
      <c r="A489" s="564"/>
      <c r="B489" s="930" t="s">
        <v>326</v>
      </c>
      <c r="D489" s="882">
        <v>345141.23</v>
      </c>
      <c r="E489" s="929">
        <f>SUM(D489)</f>
        <v>345141.23</v>
      </c>
      <c r="F489" s="883"/>
      <c r="G489" s="870">
        <v>3001</v>
      </c>
      <c r="H489" s="885"/>
    </row>
    <row r="490" spans="1:8" ht="12.75" customHeight="1" x14ac:dyDescent="0.2">
      <c r="A490" s="564"/>
      <c r="B490" s="931" t="s">
        <v>481</v>
      </c>
      <c r="C490" s="887"/>
      <c r="D490" s="882"/>
      <c r="E490" s="929">
        <f>SUM(D491:D496)</f>
        <v>1758352.1700000002</v>
      </c>
      <c r="F490" s="883"/>
    </row>
    <row r="491" spans="1:8" ht="12.75" customHeight="1" x14ac:dyDescent="0.2">
      <c r="A491" s="564"/>
      <c r="B491" s="884"/>
      <c r="C491" s="886" t="s">
        <v>327</v>
      </c>
      <c r="D491" s="882">
        <v>68827.75</v>
      </c>
      <c r="E491" s="882"/>
      <c r="F491" s="883"/>
      <c r="G491" s="870">
        <v>4000</v>
      </c>
    </row>
    <row r="492" spans="1:8" ht="12.75" customHeight="1" x14ac:dyDescent="0.2">
      <c r="A492" s="564"/>
      <c r="B492" s="884"/>
      <c r="C492" s="886" t="s">
        <v>328</v>
      </c>
      <c r="D492" s="882">
        <v>0</v>
      </c>
      <c r="E492" s="882"/>
      <c r="F492" s="883"/>
      <c r="G492" s="870">
        <v>4001</v>
      </c>
    </row>
    <row r="493" spans="1:8" ht="12.75" customHeight="1" x14ac:dyDescent="0.2">
      <c r="A493" s="564"/>
      <c r="B493" s="884"/>
      <c r="C493" s="886" t="s">
        <v>329</v>
      </c>
      <c r="D493" s="882">
        <v>1420905.98</v>
      </c>
      <c r="E493" s="882"/>
      <c r="F493" s="883"/>
    </row>
    <row r="494" spans="1:8" ht="12.75" customHeight="1" x14ac:dyDescent="0.2">
      <c r="A494" s="564"/>
      <c r="B494" s="884"/>
      <c r="C494" s="886" t="s">
        <v>330</v>
      </c>
      <c r="D494" s="882">
        <v>13653.08</v>
      </c>
      <c r="E494" s="882"/>
      <c r="F494" s="883"/>
    </row>
    <row r="495" spans="1:8" ht="12.75" customHeight="1" x14ac:dyDescent="0.2">
      <c r="A495" s="564"/>
      <c r="B495" s="884"/>
      <c r="C495" s="887" t="s">
        <v>331</v>
      </c>
      <c r="D495" s="882">
        <v>71455.360000000001</v>
      </c>
      <c r="E495" s="882"/>
      <c r="F495" s="883"/>
    </row>
    <row r="496" spans="1:8" ht="12.75" customHeight="1" x14ac:dyDescent="0.2">
      <c r="A496" s="564"/>
      <c r="B496" s="884"/>
      <c r="C496" s="887" t="s">
        <v>133</v>
      </c>
      <c r="D496" s="882">
        <v>183510</v>
      </c>
      <c r="E496" s="882"/>
      <c r="F496" s="883"/>
    </row>
    <row r="497" spans="1:8" ht="12.75" customHeight="1" x14ac:dyDescent="0.2">
      <c r="A497" s="888"/>
      <c r="B497" s="889" t="s">
        <v>332</v>
      </c>
      <c r="C497" s="934"/>
      <c r="D497" s="882"/>
      <c r="E497" s="891"/>
      <c r="F497" s="892"/>
    </row>
    <row r="498" spans="1:8" ht="12.75" customHeight="1" x14ac:dyDescent="0.2">
      <c r="A498" s="888"/>
      <c r="B498" s="933" t="s">
        <v>333</v>
      </c>
      <c r="D498" s="882">
        <v>0</v>
      </c>
      <c r="E498" s="932">
        <f>D498</f>
        <v>0</v>
      </c>
      <c r="F498" s="892"/>
      <c r="G498" s="870">
        <v>5000</v>
      </c>
    </row>
    <row r="499" spans="1:8" ht="12.75" customHeight="1" thickBot="1" x14ac:dyDescent="0.25">
      <c r="A499" s="893"/>
      <c r="B499" s="894"/>
      <c r="C499" s="895"/>
      <c r="D499" s="896"/>
      <c r="E499" s="897"/>
      <c r="F499" s="935">
        <f>SUM(E446:E498)</f>
        <v>4142422.96</v>
      </c>
      <c r="H499" s="898">
        <f>'Sched-B1'!B13+'Sched-B2'!E173+'Sched-D1'!F499-21072656.54-174215.5-1142185.21-1131.74</f>
        <v>3.0174760468071327E-9</v>
      </c>
    </row>
    <row r="500" spans="1:8" ht="12.75" customHeight="1" x14ac:dyDescent="0.2">
      <c r="A500" s="875" t="s">
        <v>799</v>
      </c>
      <c r="B500" s="876" t="s">
        <v>50</v>
      </c>
      <c r="C500" s="877"/>
      <c r="D500" s="878"/>
      <c r="E500" s="879">
        <v>26602.53</v>
      </c>
      <c r="F500" s="880"/>
      <c r="G500" s="870">
        <v>2000</v>
      </c>
    </row>
    <row r="501" spans="1:8" ht="12.75" customHeight="1" x14ac:dyDescent="0.2">
      <c r="A501" s="564"/>
      <c r="B501" s="925" t="s">
        <v>728</v>
      </c>
      <c r="C501" s="881"/>
      <c r="D501" s="882"/>
      <c r="E501" s="929">
        <f>SUM(D502:D542)</f>
        <v>1330707.95</v>
      </c>
      <c r="F501" s="883"/>
    </row>
    <row r="502" spans="1:8" ht="12.75" customHeight="1" x14ac:dyDescent="0.2">
      <c r="A502" s="564"/>
      <c r="B502" s="927" t="s">
        <v>729</v>
      </c>
      <c r="C502" s="881"/>
      <c r="D502" s="882">
        <v>3450</v>
      </c>
      <c r="E502" s="882"/>
      <c r="F502" s="883"/>
      <c r="G502" s="928" t="s">
        <v>756</v>
      </c>
    </row>
    <row r="503" spans="1:8" ht="12.75" customHeight="1" x14ac:dyDescent="0.2">
      <c r="A503" s="564"/>
      <c r="B503" s="927" t="s">
        <v>730</v>
      </c>
      <c r="C503" s="881"/>
      <c r="D503" s="882">
        <v>1472.5</v>
      </c>
      <c r="E503" s="882"/>
      <c r="F503" s="883"/>
      <c r="G503" s="928" t="s">
        <v>757</v>
      </c>
    </row>
    <row r="504" spans="1:8" ht="12.75" customHeight="1" x14ac:dyDescent="0.2">
      <c r="A504" s="564"/>
      <c r="B504" s="927" t="s">
        <v>788</v>
      </c>
      <c r="C504" s="881"/>
      <c r="D504" s="882">
        <v>110</v>
      </c>
      <c r="E504" s="882"/>
      <c r="F504" s="883"/>
      <c r="G504" s="928">
        <v>3003</v>
      </c>
    </row>
    <row r="505" spans="1:8" ht="12.75" customHeight="1" x14ac:dyDescent="0.2">
      <c r="A505" s="564"/>
      <c r="B505" s="927" t="s">
        <v>731</v>
      </c>
      <c r="C505" s="881"/>
      <c r="D505" s="882">
        <v>1267.98</v>
      </c>
      <c r="E505" s="882"/>
      <c r="F505" s="883"/>
      <c r="G505" s="928" t="s">
        <v>758</v>
      </c>
    </row>
    <row r="506" spans="1:8" ht="12.75" customHeight="1" x14ac:dyDescent="0.2">
      <c r="A506" s="564"/>
      <c r="B506" s="927" t="s">
        <v>800</v>
      </c>
      <c r="C506" s="881"/>
      <c r="D506" s="882">
        <v>0.36</v>
      </c>
      <c r="E506" s="882"/>
      <c r="F506" s="883"/>
      <c r="G506" s="928">
        <v>3014</v>
      </c>
    </row>
    <row r="507" spans="1:8" ht="12.75" customHeight="1" x14ac:dyDescent="0.2">
      <c r="A507" s="564"/>
      <c r="B507" s="927" t="s">
        <v>732</v>
      </c>
      <c r="C507" s="881"/>
      <c r="D507" s="882">
        <v>12372.81</v>
      </c>
      <c r="E507" s="882"/>
      <c r="F507" s="883"/>
      <c r="G507" s="928" t="s">
        <v>759</v>
      </c>
    </row>
    <row r="508" spans="1:8" ht="12.75" customHeight="1" x14ac:dyDescent="0.2">
      <c r="A508" s="564"/>
      <c r="B508" s="927" t="s">
        <v>733</v>
      </c>
      <c r="C508" s="881"/>
      <c r="D508" s="882">
        <v>0</v>
      </c>
      <c r="E508" s="882"/>
      <c r="F508" s="883"/>
      <c r="G508" s="928" t="s">
        <v>760</v>
      </c>
    </row>
    <row r="509" spans="1:8" ht="12.75" customHeight="1" x14ac:dyDescent="0.2">
      <c r="A509" s="564"/>
      <c r="B509" s="937" t="s">
        <v>51</v>
      </c>
      <c r="C509" s="881"/>
      <c r="D509" s="882">
        <v>919095.92</v>
      </c>
      <c r="E509" s="882"/>
      <c r="F509" s="883"/>
      <c r="G509" s="928"/>
    </row>
    <row r="510" spans="1:8" ht="12.75" customHeight="1" x14ac:dyDescent="0.2">
      <c r="A510" s="564"/>
      <c r="B510" s="927" t="s">
        <v>804</v>
      </c>
      <c r="C510" s="881"/>
      <c r="D510" s="882">
        <v>9.49</v>
      </c>
      <c r="E510" s="882"/>
      <c r="F510" s="883"/>
      <c r="G510" s="928">
        <v>3027</v>
      </c>
    </row>
    <row r="511" spans="1:8" ht="12.75" customHeight="1" x14ac:dyDescent="0.2">
      <c r="A511" s="564"/>
      <c r="B511" s="927" t="s">
        <v>793</v>
      </c>
      <c r="C511" s="881"/>
      <c r="D511" s="882">
        <v>0</v>
      </c>
      <c r="E511" s="882"/>
      <c r="F511" s="883"/>
      <c r="G511" s="928">
        <v>3029</v>
      </c>
    </row>
    <row r="512" spans="1:8" ht="12.75" customHeight="1" x14ac:dyDescent="0.2">
      <c r="A512" s="564"/>
      <c r="B512" s="927" t="s">
        <v>734</v>
      </c>
      <c r="C512" s="881"/>
      <c r="D512" s="882">
        <v>0</v>
      </c>
      <c r="E512" s="882"/>
      <c r="F512" s="883"/>
      <c r="G512" s="928" t="s">
        <v>761</v>
      </c>
    </row>
    <row r="513" spans="1:7" ht="12.75" customHeight="1" x14ac:dyDescent="0.2">
      <c r="A513" s="564"/>
      <c r="B513" s="927" t="s">
        <v>735</v>
      </c>
      <c r="C513" s="881"/>
      <c r="D513" s="882">
        <v>38823.32</v>
      </c>
      <c r="E513" s="882"/>
      <c r="F513" s="883"/>
      <c r="G513" s="928" t="s">
        <v>762</v>
      </c>
    </row>
    <row r="514" spans="1:7" ht="12.75" customHeight="1" x14ac:dyDescent="0.2">
      <c r="A514" s="564"/>
      <c r="B514" s="927" t="s">
        <v>785</v>
      </c>
      <c r="C514" s="881"/>
      <c r="D514" s="882">
        <v>1026</v>
      </c>
      <c r="E514" s="882"/>
      <c r="F514" s="883"/>
      <c r="G514" s="928">
        <v>3034</v>
      </c>
    </row>
    <row r="515" spans="1:7" ht="12.75" customHeight="1" x14ac:dyDescent="0.2">
      <c r="A515" s="564"/>
      <c r="B515" s="927" t="s">
        <v>736</v>
      </c>
      <c r="C515" s="881"/>
      <c r="D515" s="882">
        <v>405.31</v>
      </c>
      <c r="E515" s="882"/>
      <c r="F515" s="883"/>
      <c r="G515" s="928" t="s">
        <v>763</v>
      </c>
    </row>
    <row r="516" spans="1:7" ht="12.75" customHeight="1" x14ac:dyDescent="0.2">
      <c r="A516" s="564"/>
      <c r="B516" s="927" t="s">
        <v>737</v>
      </c>
      <c r="C516" s="881"/>
      <c r="D516" s="882">
        <v>17782.71</v>
      </c>
      <c r="E516" s="882"/>
      <c r="F516" s="883"/>
      <c r="G516" s="928" t="s">
        <v>764</v>
      </c>
    </row>
    <row r="517" spans="1:7" ht="12.75" customHeight="1" x14ac:dyDescent="0.2">
      <c r="A517" s="564"/>
      <c r="B517" s="927" t="s">
        <v>738</v>
      </c>
      <c r="C517" s="881"/>
      <c r="D517" s="882">
        <v>1999.49</v>
      </c>
      <c r="E517" s="882"/>
      <c r="F517" s="883"/>
      <c r="G517" s="928" t="s">
        <v>765</v>
      </c>
    </row>
    <row r="518" spans="1:7" ht="12.75" customHeight="1" x14ac:dyDescent="0.2">
      <c r="A518" s="564"/>
      <c r="B518" s="927" t="s">
        <v>739</v>
      </c>
      <c r="C518" s="881"/>
      <c r="D518" s="882">
        <v>2517.48</v>
      </c>
      <c r="E518" s="882"/>
      <c r="F518" s="883"/>
      <c r="G518" s="928" t="s">
        <v>766</v>
      </c>
    </row>
    <row r="519" spans="1:7" ht="12.75" customHeight="1" x14ac:dyDescent="0.2">
      <c r="A519" s="564"/>
      <c r="B519" s="927" t="s">
        <v>740</v>
      </c>
      <c r="C519" s="881"/>
      <c r="D519" s="882">
        <v>0</v>
      </c>
      <c r="E519" s="882"/>
      <c r="F519" s="883"/>
      <c r="G519" s="928" t="s">
        <v>767</v>
      </c>
    </row>
    <row r="520" spans="1:7" ht="12.75" customHeight="1" x14ac:dyDescent="0.2">
      <c r="A520" s="564"/>
      <c r="B520" s="927" t="s">
        <v>741</v>
      </c>
      <c r="C520" s="881"/>
      <c r="D520" s="882">
        <v>856.11</v>
      </c>
      <c r="E520" s="882"/>
      <c r="F520" s="883"/>
      <c r="G520" s="928" t="s">
        <v>768</v>
      </c>
    </row>
    <row r="521" spans="1:7" ht="12.75" customHeight="1" x14ac:dyDescent="0.2">
      <c r="A521" s="564"/>
      <c r="B521" s="927" t="s">
        <v>795</v>
      </c>
      <c r="C521" s="881"/>
      <c r="D521" s="882">
        <v>0</v>
      </c>
      <c r="E521" s="882"/>
      <c r="F521" s="883"/>
      <c r="G521" s="928">
        <v>3042</v>
      </c>
    </row>
    <row r="522" spans="1:7" ht="12.75" customHeight="1" x14ac:dyDescent="0.2">
      <c r="A522" s="564"/>
      <c r="B522" s="927" t="s">
        <v>742</v>
      </c>
      <c r="C522" s="881"/>
      <c r="D522" s="882">
        <v>25731.75</v>
      </c>
      <c r="E522" s="882"/>
      <c r="F522" s="883"/>
      <c r="G522" s="928" t="s">
        <v>769</v>
      </c>
    </row>
    <row r="523" spans="1:7" ht="12.75" customHeight="1" x14ac:dyDescent="0.2">
      <c r="A523" s="564"/>
      <c r="B523" s="927" t="s">
        <v>743</v>
      </c>
      <c r="C523" s="881"/>
      <c r="D523" s="882">
        <v>322.41000000000003</v>
      </c>
      <c r="E523" s="882"/>
      <c r="F523" s="883"/>
      <c r="G523" s="928" t="s">
        <v>770</v>
      </c>
    </row>
    <row r="524" spans="1:7" ht="12.75" customHeight="1" x14ac:dyDescent="0.2">
      <c r="A524" s="564"/>
      <c r="B524" s="927" t="s">
        <v>744</v>
      </c>
      <c r="C524" s="881"/>
      <c r="D524" s="882">
        <v>1016.86</v>
      </c>
      <c r="E524" s="882"/>
      <c r="F524" s="883"/>
      <c r="G524" s="928" t="s">
        <v>771</v>
      </c>
    </row>
    <row r="525" spans="1:7" ht="12.75" customHeight="1" x14ac:dyDescent="0.2">
      <c r="A525" s="564"/>
      <c r="B525" s="927" t="s">
        <v>786</v>
      </c>
      <c r="C525" s="881"/>
      <c r="D525" s="882">
        <v>68702.179999999993</v>
      </c>
      <c r="E525" s="882"/>
      <c r="F525" s="883"/>
      <c r="G525" s="928">
        <v>3048</v>
      </c>
    </row>
    <row r="526" spans="1:7" ht="12.75" customHeight="1" x14ac:dyDescent="0.2">
      <c r="A526" s="564"/>
      <c r="B526" s="927" t="s">
        <v>745</v>
      </c>
      <c r="C526" s="881"/>
      <c r="D526" s="882">
        <v>0</v>
      </c>
      <c r="E526" s="882"/>
      <c r="F526" s="883"/>
      <c r="G526" s="928" t="s">
        <v>772</v>
      </c>
    </row>
    <row r="527" spans="1:7" ht="12.75" customHeight="1" x14ac:dyDescent="0.2">
      <c r="A527" s="564"/>
      <c r="B527" s="927" t="s">
        <v>746</v>
      </c>
      <c r="C527" s="881"/>
      <c r="D527" s="882">
        <v>6677.49</v>
      </c>
      <c r="E527" s="882"/>
      <c r="F527" s="883"/>
      <c r="G527" s="928" t="s">
        <v>773</v>
      </c>
    </row>
    <row r="528" spans="1:7" ht="12.75" customHeight="1" x14ac:dyDescent="0.2">
      <c r="A528" s="564"/>
      <c r="B528" s="927" t="s">
        <v>789</v>
      </c>
      <c r="C528" s="881"/>
      <c r="D528" s="882">
        <v>-8156.74</v>
      </c>
      <c r="E528" s="882"/>
      <c r="F528" s="883"/>
      <c r="G528" s="928">
        <v>3051</v>
      </c>
    </row>
    <row r="529" spans="1:8" ht="12.75" customHeight="1" x14ac:dyDescent="0.2">
      <c r="A529" s="564"/>
      <c r="B529" s="927" t="s">
        <v>747</v>
      </c>
      <c r="C529" s="881"/>
      <c r="D529" s="882">
        <v>0</v>
      </c>
      <c r="E529" s="882"/>
      <c r="F529" s="883"/>
      <c r="G529" s="928" t="s">
        <v>774</v>
      </c>
    </row>
    <row r="530" spans="1:8" ht="12.75" customHeight="1" x14ac:dyDescent="0.2">
      <c r="A530" s="564"/>
      <c r="B530" s="927" t="s">
        <v>790</v>
      </c>
      <c r="C530" s="881"/>
      <c r="D530" s="882">
        <v>2753</v>
      </c>
      <c r="E530" s="882"/>
      <c r="F530" s="883"/>
      <c r="G530" s="928">
        <v>3056</v>
      </c>
    </row>
    <row r="531" spans="1:8" ht="12.75" customHeight="1" x14ac:dyDescent="0.2">
      <c r="A531" s="564"/>
      <c r="B531" s="927" t="s">
        <v>748</v>
      </c>
      <c r="C531" s="881"/>
      <c r="D531" s="882">
        <v>0</v>
      </c>
      <c r="E531" s="882"/>
      <c r="F531" s="883"/>
      <c r="G531" s="928">
        <v>3057</v>
      </c>
    </row>
    <row r="532" spans="1:8" ht="12.75" customHeight="1" x14ac:dyDescent="0.2">
      <c r="A532" s="564"/>
      <c r="B532" s="927" t="s">
        <v>749</v>
      </c>
      <c r="C532" s="881"/>
      <c r="D532" s="882">
        <v>17704.080000000002</v>
      </c>
      <c r="E532" s="882"/>
      <c r="F532" s="883"/>
      <c r="G532" s="928" t="s">
        <v>776</v>
      </c>
    </row>
    <row r="533" spans="1:8" ht="12.75" customHeight="1" x14ac:dyDescent="0.2">
      <c r="A533" s="564"/>
      <c r="B533" s="927" t="s">
        <v>750</v>
      </c>
      <c r="C533" s="881"/>
      <c r="D533" s="882">
        <v>14818.9</v>
      </c>
      <c r="E533" s="882"/>
      <c r="F533" s="883"/>
      <c r="G533" s="928" t="s">
        <v>777</v>
      </c>
    </row>
    <row r="534" spans="1:8" ht="12.75" customHeight="1" x14ac:dyDescent="0.2">
      <c r="A534" s="564"/>
      <c r="B534" s="927" t="s">
        <v>787</v>
      </c>
      <c r="C534" s="881"/>
      <c r="D534" s="882">
        <v>0</v>
      </c>
      <c r="E534" s="882"/>
      <c r="F534" s="883"/>
      <c r="G534" s="928">
        <v>3061</v>
      </c>
    </row>
    <row r="535" spans="1:8" ht="12.75" customHeight="1" x14ac:dyDescent="0.2">
      <c r="A535" s="564"/>
      <c r="B535" s="927" t="s">
        <v>796</v>
      </c>
      <c r="C535" s="881"/>
      <c r="D535" s="882">
        <v>0</v>
      </c>
      <c r="E535" s="882"/>
      <c r="F535" s="883"/>
      <c r="G535" s="928">
        <v>3063</v>
      </c>
    </row>
    <row r="536" spans="1:8" ht="12.75" customHeight="1" x14ac:dyDescent="0.2">
      <c r="A536" s="564"/>
      <c r="B536" s="927" t="s">
        <v>751</v>
      </c>
      <c r="C536" s="881"/>
      <c r="D536" s="882">
        <v>0</v>
      </c>
      <c r="E536" s="882"/>
      <c r="F536" s="883"/>
      <c r="G536" s="928" t="s">
        <v>778</v>
      </c>
    </row>
    <row r="537" spans="1:8" ht="12.75" customHeight="1" x14ac:dyDescent="0.2">
      <c r="A537" s="564"/>
      <c r="B537" s="927" t="s">
        <v>801</v>
      </c>
      <c r="C537" s="881"/>
      <c r="D537" s="882">
        <v>2412.9</v>
      </c>
      <c r="E537" s="882"/>
      <c r="F537" s="883"/>
      <c r="G537" s="928">
        <v>3065</v>
      </c>
    </row>
    <row r="538" spans="1:8" ht="12.75" customHeight="1" x14ac:dyDescent="0.2">
      <c r="A538" s="564"/>
      <c r="B538" s="927" t="s">
        <v>752</v>
      </c>
      <c r="C538" s="881"/>
      <c r="D538" s="882">
        <v>0</v>
      </c>
      <c r="E538" s="882"/>
      <c r="F538" s="883"/>
      <c r="G538" s="928">
        <v>3066</v>
      </c>
    </row>
    <row r="539" spans="1:8" ht="12.75" customHeight="1" x14ac:dyDescent="0.2">
      <c r="A539" s="564"/>
      <c r="B539" s="927" t="s">
        <v>753</v>
      </c>
      <c r="C539" s="881"/>
      <c r="D539" s="882">
        <v>196787.07</v>
      </c>
      <c r="E539" s="882"/>
      <c r="F539" s="883"/>
      <c r="G539" s="928" t="s">
        <v>780</v>
      </c>
      <c r="H539" s="885"/>
    </row>
    <row r="540" spans="1:8" ht="12.75" customHeight="1" x14ac:dyDescent="0.2">
      <c r="A540" s="564"/>
      <c r="B540" s="927" t="s">
        <v>754</v>
      </c>
      <c r="C540" s="881"/>
      <c r="D540" s="882">
        <v>105</v>
      </c>
      <c r="E540" s="882"/>
      <c r="F540" s="883"/>
      <c r="G540" s="928">
        <v>3068</v>
      </c>
      <c r="H540" s="885"/>
    </row>
    <row r="541" spans="1:8" ht="12.75" customHeight="1" x14ac:dyDescent="0.2">
      <c r="A541" s="564"/>
      <c r="B541" s="927" t="s">
        <v>755</v>
      </c>
      <c r="C541" s="881"/>
      <c r="D541" s="882">
        <v>643.57000000000005</v>
      </c>
      <c r="E541" s="882"/>
      <c r="F541" s="883"/>
      <c r="G541" s="928">
        <v>3069</v>
      </c>
      <c r="H541" s="885"/>
    </row>
    <row r="542" spans="1:8" ht="12.75" customHeight="1" x14ac:dyDescent="0.2">
      <c r="A542" s="564"/>
      <c r="B542" s="927" t="s">
        <v>791</v>
      </c>
      <c r="C542" s="881"/>
      <c r="D542" s="882">
        <v>0</v>
      </c>
      <c r="E542" s="882"/>
      <c r="F542" s="883"/>
      <c r="G542" s="928">
        <v>3073</v>
      </c>
    </row>
    <row r="543" spans="1:8" ht="12.75" customHeight="1" x14ac:dyDescent="0.2">
      <c r="A543" s="564"/>
      <c r="B543" s="930" t="s">
        <v>326</v>
      </c>
      <c r="D543" s="882">
        <v>246013.02</v>
      </c>
      <c r="E543" s="929">
        <f>SUM(D543)</f>
        <v>246013.02</v>
      </c>
      <c r="F543" s="883"/>
      <c r="G543" s="870">
        <v>3001</v>
      </c>
      <c r="H543" s="885"/>
    </row>
    <row r="544" spans="1:8" ht="12.75" customHeight="1" x14ac:dyDescent="0.2">
      <c r="A544" s="564"/>
      <c r="B544" s="931" t="s">
        <v>481</v>
      </c>
      <c r="C544" s="887"/>
      <c r="D544" s="882"/>
      <c r="E544" s="929">
        <f>SUM(D545:D550)</f>
        <v>1481385.25</v>
      </c>
      <c r="F544" s="883"/>
    </row>
    <row r="545" spans="1:8" ht="12.75" customHeight="1" x14ac:dyDescent="0.2">
      <c r="A545" s="564"/>
      <c r="B545" s="884"/>
      <c r="C545" s="886" t="s">
        <v>327</v>
      </c>
      <c r="D545" s="882">
        <v>71215.19</v>
      </c>
      <c r="E545" s="882"/>
      <c r="F545" s="883"/>
      <c r="G545" s="870">
        <v>4000</v>
      </c>
    </row>
    <row r="546" spans="1:8" ht="12.75" customHeight="1" x14ac:dyDescent="0.2">
      <c r="A546" s="564"/>
      <c r="B546" s="884"/>
      <c r="C546" s="886" t="s">
        <v>328</v>
      </c>
      <c r="D546" s="882">
        <v>339.59</v>
      </c>
      <c r="E546" s="882"/>
      <c r="F546" s="883"/>
      <c r="G546" s="870">
        <v>4001</v>
      </c>
    </row>
    <row r="547" spans="1:8" ht="12.75" customHeight="1" x14ac:dyDescent="0.2">
      <c r="A547" s="564"/>
      <c r="B547" s="884"/>
      <c r="C547" s="886" t="s">
        <v>329</v>
      </c>
      <c r="D547" s="882">
        <v>1150143.43</v>
      </c>
      <c r="E547" s="882"/>
      <c r="F547" s="883"/>
    </row>
    <row r="548" spans="1:8" ht="12.75" customHeight="1" x14ac:dyDescent="0.2">
      <c r="A548" s="564"/>
      <c r="B548" s="884"/>
      <c r="C548" s="886" t="s">
        <v>330</v>
      </c>
      <c r="D548" s="882">
        <v>17166.59</v>
      </c>
      <c r="E548" s="882"/>
      <c r="F548" s="883"/>
    </row>
    <row r="549" spans="1:8" ht="12.75" customHeight="1" x14ac:dyDescent="0.2">
      <c r="A549" s="564"/>
      <c r="B549" s="884"/>
      <c r="C549" s="887" t="s">
        <v>331</v>
      </c>
      <c r="D549" s="882">
        <v>57519.99</v>
      </c>
      <c r="E549" s="882"/>
      <c r="F549" s="883"/>
    </row>
    <row r="550" spans="1:8" ht="12.75" customHeight="1" x14ac:dyDescent="0.2">
      <c r="A550" s="564"/>
      <c r="B550" s="884"/>
      <c r="C550" s="887" t="s">
        <v>133</v>
      </c>
      <c r="D550" s="882">
        <v>185000.46</v>
      </c>
      <c r="E550" s="882"/>
      <c r="F550" s="883"/>
    </row>
    <row r="551" spans="1:8" ht="12.75" customHeight="1" x14ac:dyDescent="0.2">
      <c r="A551" s="888"/>
      <c r="B551" s="889" t="s">
        <v>332</v>
      </c>
      <c r="C551" s="934"/>
      <c r="D551" s="882"/>
      <c r="E551" s="891"/>
      <c r="F551" s="892"/>
    </row>
    <row r="552" spans="1:8" ht="12.75" customHeight="1" x14ac:dyDescent="0.2">
      <c r="A552" s="888"/>
      <c r="B552" s="933" t="s">
        <v>333</v>
      </c>
      <c r="D552" s="882">
        <v>0</v>
      </c>
      <c r="E552" s="932">
        <f>D552</f>
        <v>0</v>
      </c>
      <c r="F552" s="892"/>
      <c r="G552" s="870">
        <v>5000</v>
      </c>
    </row>
    <row r="553" spans="1:8" ht="12.75" customHeight="1" thickBot="1" x14ac:dyDescent="0.25">
      <c r="A553" s="893"/>
      <c r="B553" s="894"/>
      <c r="C553" s="895"/>
      <c r="D553" s="896"/>
      <c r="E553" s="897"/>
      <c r="F553" s="935">
        <f>SUM(E500:E552)</f>
        <v>3084708.75</v>
      </c>
      <c r="H553" s="898">
        <f>'Sched-B1'!B14+'Sched-B2'!E190+'Sched-D1'!F553-14085391.08-919095.92</f>
        <v>0</v>
      </c>
    </row>
    <row r="554" spans="1:8" ht="12.75" customHeight="1" x14ac:dyDescent="0.2">
      <c r="A554" s="875" t="s">
        <v>81</v>
      </c>
      <c r="B554" s="876" t="s">
        <v>50</v>
      </c>
      <c r="C554" s="877"/>
      <c r="D554" s="878"/>
      <c r="E554" s="879">
        <v>42781.96</v>
      </c>
      <c r="F554" s="880"/>
    </row>
    <row r="555" spans="1:8" ht="12.75" customHeight="1" x14ac:dyDescent="0.2">
      <c r="A555" s="564"/>
      <c r="B555" s="925" t="s">
        <v>728</v>
      </c>
      <c r="C555" s="881"/>
      <c r="D555" s="882"/>
      <c r="E555" s="929">
        <f>SUM(D556:D592)</f>
        <v>802662.61</v>
      </c>
      <c r="F555" s="883"/>
      <c r="H555" s="885"/>
    </row>
    <row r="556" spans="1:8" ht="12.75" customHeight="1" x14ac:dyDescent="0.2">
      <c r="A556" s="564"/>
      <c r="B556" s="942" t="s">
        <v>253</v>
      </c>
      <c r="C556" s="676"/>
      <c r="D556" s="938">
        <v>-45274.68</v>
      </c>
      <c r="E556" s="882"/>
      <c r="F556" s="883"/>
      <c r="H556" s="870" t="s">
        <v>818</v>
      </c>
    </row>
    <row r="557" spans="1:8" ht="12.75" customHeight="1" x14ac:dyDescent="0.2">
      <c r="A557" s="564"/>
      <c r="B557" s="927" t="s">
        <v>729</v>
      </c>
      <c r="C557" s="881"/>
      <c r="D557" s="882">
        <v>1935.98</v>
      </c>
      <c r="E557" s="882"/>
      <c r="F557" s="883"/>
      <c r="G557" s="928" t="s">
        <v>756</v>
      </c>
      <c r="H557" s="885"/>
    </row>
    <row r="558" spans="1:8" ht="12.75" customHeight="1" x14ac:dyDescent="0.2">
      <c r="A558" s="564"/>
      <c r="B558" s="927" t="s">
        <v>730</v>
      </c>
      <c r="C558" s="881"/>
      <c r="D558" s="882">
        <v>1526.63</v>
      </c>
      <c r="E558" s="882"/>
      <c r="F558" s="883"/>
      <c r="G558" s="928" t="s">
        <v>757</v>
      </c>
    </row>
    <row r="559" spans="1:8" ht="12.75" customHeight="1" x14ac:dyDescent="0.2">
      <c r="A559" s="564"/>
      <c r="B559" s="927" t="s">
        <v>731</v>
      </c>
      <c r="C559" s="881"/>
      <c r="D559" s="882">
        <v>238.18</v>
      </c>
      <c r="E559" s="882"/>
      <c r="F559" s="883"/>
      <c r="G559" s="928" t="s">
        <v>758</v>
      </c>
    </row>
    <row r="560" spans="1:8" ht="12.75" customHeight="1" x14ac:dyDescent="0.2">
      <c r="A560" s="564"/>
      <c r="B560" s="927" t="s">
        <v>800</v>
      </c>
      <c r="C560" s="881"/>
      <c r="D560" s="882">
        <v>36.619999999999997</v>
      </c>
      <c r="E560" s="882"/>
      <c r="F560" s="883"/>
      <c r="G560" s="928">
        <v>3014</v>
      </c>
    </row>
    <row r="561" spans="1:7" ht="12.75" customHeight="1" x14ac:dyDescent="0.2">
      <c r="A561" s="564"/>
      <c r="B561" s="927" t="s">
        <v>732</v>
      </c>
      <c r="C561" s="881"/>
      <c r="D561" s="882">
        <v>0</v>
      </c>
      <c r="E561" s="882"/>
      <c r="F561" s="883"/>
      <c r="G561" s="928" t="s">
        <v>759</v>
      </c>
    </row>
    <row r="562" spans="1:7" ht="12.75" customHeight="1" x14ac:dyDescent="0.2">
      <c r="A562" s="564"/>
      <c r="B562" s="927" t="s">
        <v>733</v>
      </c>
      <c r="C562" s="881"/>
      <c r="D562" s="882">
        <v>0</v>
      </c>
      <c r="E562" s="882"/>
      <c r="F562" s="883"/>
      <c r="G562" s="928" t="s">
        <v>760</v>
      </c>
    </row>
    <row r="563" spans="1:7" ht="12.75" customHeight="1" x14ac:dyDescent="0.2">
      <c r="A563" s="564"/>
      <c r="B563" s="927" t="s">
        <v>813</v>
      </c>
      <c r="C563" s="881"/>
      <c r="D563" s="882">
        <v>0</v>
      </c>
      <c r="E563" s="882"/>
      <c r="F563" s="883"/>
      <c r="G563" s="928">
        <v>3028</v>
      </c>
    </row>
    <row r="564" spans="1:7" ht="12.75" customHeight="1" x14ac:dyDescent="0.2">
      <c r="A564" s="564"/>
      <c r="B564" s="937" t="s">
        <v>51</v>
      </c>
      <c r="C564" s="881"/>
      <c r="D564" s="882">
        <v>604431.92000000004</v>
      </c>
      <c r="E564" s="882"/>
      <c r="F564" s="883"/>
      <c r="G564" s="928"/>
    </row>
    <row r="565" spans="1:7" ht="12.75" customHeight="1" x14ac:dyDescent="0.2">
      <c r="A565" s="564"/>
      <c r="B565" s="927" t="s">
        <v>793</v>
      </c>
      <c r="C565" s="881"/>
      <c r="D565" s="882">
        <v>3834.38</v>
      </c>
      <c r="E565" s="882"/>
      <c r="F565" s="883"/>
      <c r="G565" s="928">
        <v>3031</v>
      </c>
    </row>
    <row r="566" spans="1:7" ht="12.75" customHeight="1" x14ac:dyDescent="0.2">
      <c r="A566" s="564"/>
      <c r="B566" s="927" t="s">
        <v>734</v>
      </c>
      <c r="C566" s="881"/>
      <c r="D566" s="882">
        <v>0</v>
      </c>
      <c r="E566" s="882"/>
      <c r="F566" s="883"/>
      <c r="G566" s="928" t="s">
        <v>761</v>
      </c>
    </row>
    <row r="567" spans="1:7" ht="12.75" customHeight="1" x14ac:dyDescent="0.2">
      <c r="A567" s="564"/>
      <c r="B567" s="927" t="s">
        <v>735</v>
      </c>
      <c r="C567" s="881"/>
      <c r="D567" s="882">
        <v>18720.86</v>
      </c>
      <c r="E567" s="882"/>
      <c r="F567" s="883"/>
      <c r="G567" s="928" t="s">
        <v>762</v>
      </c>
    </row>
    <row r="568" spans="1:7" ht="12.75" customHeight="1" x14ac:dyDescent="0.2">
      <c r="A568" s="564"/>
      <c r="B568" s="927" t="s">
        <v>785</v>
      </c>
      <c r="C568" s="881"/>
      <c r="D568" s="882">
        <v>1762.61</v>
      </c>
      <c r="E568" s="882"/>
      <c r="F568" s="883"/>
      <c r="G568" s="928">
        <v>3034</v>
      </c>
    </row>
    <row r="569" spans="1:7" ht="12.75" customHeight="1" x14ac:dyDescent="0.2">
      <c r="A569" s="564"/>
      <c r="B569" s="927" t="s">
        <v>736</v>
      </c>
      <c r="C569" s="881"/>
      <c r="D569" s="882">
        <v>3126.09</v>
      </c>
      <c r="E569" s="882"/>
      <c r="F569" s="883"/>
      <c r="G569" s="928" t="s">
        <v>763</v>
      </c>
    </row>
    <row r="570" spans="1:7" ht="12.75" customHeight="1" x14ac:dyDescent="0.2">
      <c r="A570" s="564"/>
      <c r="B570" s="927" t="s">
        <v>737</v>
      </c>
      <c r="C570" s="881"/>
      <c r="D570" s="882">
        <v>6499.2</v>
      </c>
      <c r="E570" s="882"/>
      <c r="F570" s="883"/>
      <c r="G570" s="928" t="s">
        <v>764</v>
      </c>
    </row>
    <row r="571" spans="1:7" ht="12.75" customHeight="1" x14ac:dyDescent="0.2">
      <c r="A571" s="564"/>
      <c r="B571" s="927" t="s">
        <v>738</v>
      </c>
      <c r="C571" s="881"/>
      <c r="D571" s="882">
        <v>0</v>
      </c>
      <c r="E571" s="882"/>
      <c r="F571" s="883"/>
      <c r="G571" s="928" t="s">
        <v>765</v>
      </c>
    </row>
    <row r="572" spans="1:7" ht="12.75" customHeight="1" x14ac:dyDescent="0.2">
      <c r="A572" s="564"/>
      <c r="B572" s="927" t="s">
        <v>739</v>
      </c>
      <c r="C572" s="881"/>
      <c r="D572" s="882">
        <v>1815.48</v>
      </c>
      <c r="E572" s="882"/>
      <c r="F572" s="883"/>
      <c r="G572" s="928" t="s">
        <v>766</v>
      </c>
    </row>
    <row r="573" spans="1:7" ht="12.75" customHeight="1" x14ac:dyDescent="0.2">
      <c r="A573" s="564"/>
      <c r="B573" s="927" t="s">
        <v>740</v>
      </c>
      <c r="C573" s="881"/>
      <c r="D573" s="882">
        <v>0</v>
      </c>
      <c r="E573" s="882"/>
      <c r="F573" s="883"/>
      <c r="G573" s="928" t="s">
        <v>767</v>
      </c>
    </row>
    <row r="574" spans="1:7" ht="12.75" customHeight="1" x14ac:dyDescent="0.2">
      <c r="A574" s="564"/>
      <c r="B574" s="927" t="s">
        <v>741</v>
      </c>
      <c r="C574" s="881"/>
      <c r="D574" s="882">
        <v>0</v>
      </c>
      <c r="E574" s="882"/>
      <c r="F574" s="883"/>
      <c r="G574" s="928" t="s">
        <v>768</v>
      </c>
    </row>
    <row r="575" spans="1:7" ht="12.75" customHeight="1" x14ac:dyDescent="0.2">
      <c r="A575" s="564"/>
      <c r="B575" s="927" t="s">
        <v>742</v>
      </c>
      <c r="C575" s="881"/>
      <c r="D575" s="882">
        <v>23168.45</v>
      </c>
      <c r="E575" s="882"/>
      <c r="F575" s="883"/>
      <c r="G575" s="928" t="s">
        <v>769</v>
      </c>
    </row>
    <row r="576" spans="1:7" ht="12.75" customHeight="1" x14ac:dyDescent="0.2">
      <c r="A576" s="564"/>
      <c r="B576" s="927" t="s">
        <v>743</v>
      </c>
      <c r="C576" s="881"/>
      <c r="D576" s="882">
        <v>1140.3</v>
      </c>
      <c r="E576" s="882"/>
      <c r="F576" s="883"/>
      <c r="G576" s="928" t="s">
        <v>770</v>
      </c>
    </row>
    <row r="577" spans="1:8" ht="12.75" customHeight="1" x14ac:dyDescent="0.2">
      <c r="A577" s="564"/>
      <c r="B577" s="927" t="s">
        <v>744</v>
      </c>
      <c r="C577" s="881"/>
      <c r="D577" s="882">
        <v>3416.41</v>
      </c>
      <c r="E577" s="882"/>
      <c r="F577" s="883"/>
      <c r="G577" s="928" t="s">
        <v>771</v>
      </c>
    </row>
    <row r="578" spans="1:8" ht="12.75" customHeight="1" x14ac:dyDescent="0.2">
      <c r="A578" s="564"/>
      <c r="B578" s="927" t="s">
        <v>786</v>
      </c>
      <c r="C578" s="881"/>
      <c r="D578" s="882">
        <v>16124.17</v>
      </c>
      <c r="E578" s="882"/>
      <c r="F578" s="883"/>
      <c r="G578" s="928">
        <v>3048</v>
      </c>
    </row>
    <row r="579" spans="1:8" ht="12.75" customHeight="1" x14ac:dyDescent="0.2">
      <c r="A579" s="564"/>
      <c r="B579" s="927" t="s">
        <v>745</v>
      </c>
      <c r="C579" s="881"/>
      <c r="D579" s="882">
        <v>50166.64</v>
      </c>
      <c r="E579" s="882"/>
      <c r="F579" s="883"/>
      <c r="G579" s="928" t="s">
        <v>772</v>
      </c>
    </row>
    <row r="580" spans="1:8" ht="12.75" customHeight="1" x14ac:dyDescent="0.2">
      <c r="A580" s="564"/>
      <c r="B580" s="927" t="s">
        <v>746</v>
      </c>
      <c r="C580" s="881"/>
      <c r="D580" s="882">
        <v>11373</v>
      </c>
      <c r="E580" s="882"/>
      <c r="F580" s="883"/>
      <c r="G580" s="928" t="s">
        <v>773</v>
      </c>
    </row>
    <row r="581" spans="1:8" ht="12.75" customHeight="1" x14ac:dyDescent="0.2">
      <c r="A581" s="564"/>
      <c r="B581" s="927" t="s">
        <v>807</v>
      </c>
      <c r="C581" s="881"/>
      <c r="D581" s="882">
        <v>0</v>
      </c>
      <c r="E581" s="882"/>
      <c r="F581" s="883"/>
      <c r="G581" s="928">
        <v>3052</v>
      </c>
    </row>
    <row r="582" spans="1:8" ht="12.75" customHeight="1" x14ac:dyDescent="0.2">
      <c r="A582" s="564"/>
      <c r="B582" s="927" t="s">
        <v>747</v>
      </c>
      <c r="C582" s="881"/>
      <c r="D582" s="882">
        <v>3050</v>
      </c>
      <c r="E582" s="882"/>
      <c r="F582" s="883"/>
      <c r="G582" s="928" t="s">
        <v>774</v>
      </c>
    </row>
    <row r="583" spans="1:8" ht="12.75" customHeight="1" x14ac:dyDescent="0.2">
      <c r="A583" s="564"/>
      <c r="B583" s="927" t="s">
        <v>790</v>
      </c>
      <c r="C583" s="881"/>
      <c r="D583" s="882">
        <v>3711</v>
      </c>
      <c r="E583" s="882"/>
      <c r="F583" s="883"/>
      <c r="G583" s="928">
        <v>3056</v>
      </c>
    </row>
    <row r="584" spans="1:8" ht="12.75" customHeight="1" x14ac:dyDescent="0.2">
      <c r="A584" s="564"/>
      <c r="B584" s="927" t="s">
        <v>748</v>
      </c>
      <c r="C584" s="881"/>
      <c r="D584" s="882">
        <v>1132</v>
      </c>
      <c r="E584" s="882"/>
      <c r="F584" s="883"/>
      <c r="G584" s="928" t="s">
        <v>775</v>
      </c>
    </row>
    <row r="585" spans="1:8" ht="12.75" customHeight="1" x14ac:dyDescent="0.2">
      <c r="A585" s="564"/>
      <c r="B585" s="927" t="s">
        <v>749</v>
      </c>
      <c r="C585" s="881"/>
      <c r="D585" s="882">
        <v>1322.84</v>
      </c>
      <c r="E585" s="882"/>
      <c r="F585" s="883"/>
      <c r="G585" s="928" t="s">
        <v>776</v>
      </c>
    </row>
    <row r="586" spans="1:8" ht="12.75" customHeight="1" x14ac:dyDescent="0.2">
      <c r="A586" s="564"/>
      <c r="B586" s="927" t="s">
        <v>750</v>
      </c>
      <c r="C586" s="881"/>
      <c r="D586" s="882">
        <v>1223.52</v>
      </c>
      <c r="E586" s="882"/>
      <c r="F586" s="883"/>
      <c r="G586" s="928" t="s">
        <v>777</v>
      </c>
    </row>
    <row r="587" spans="1:8" ht="12.75" customHeight="1" x14ac:dyDescent="0.2">
      <c r="A587" s="564"/>
      <c r="B587" s="927" t="s">
        <v>787</v>
      </c>
      <c r="C587" s="881"/>
      <c r="D587" s="882">
        <v>0</v>
      </c>
      <c r="E587" s="882"/>
      <c r="F587" s="883"/>
      <c r="G587" s="928">
        <v>3061</v>
      </c>
    </row>
    <row r="588" spans="1:8" ht="12.75" customHeight="1" x14ac:dyDescent="0.2">
      <c r="A588" s="564"/>
      <c r="B588" s="927" t="s">
        <v>751</v>
      </c>
      <c r="C588" s="881"/>
      <c r="D588" s="882">
        <v>0</v>
      </c>
      <c r="E588" s="882"/>
      <c r="F588" s="883"/>
      <c r="G588" s="928" t="s">
        <v>778</v>
      </c>
    </row>
    <row r="589" spans="1:8" ht="12.75" customHeight="1" x14ac:dyDescent="0.2">
      <c r="A589" s="564"/>
      <c r="B589" s="927" t="s">
        <v>752</v>
      </c>
      <c r="C589" s="881"/>
      <c r="D589" s="882">
        <v>305.75</v>
      </c>
      <c r="E589" s="882"/>
      <c r="F589" s="883"/>
      <c r="G589" s="928" t="s">
        <v>779</v>
      </c>
    </row>
    <row r="590" spans="1:8" ht="12.75" customHeight="1" x14ac:dyDescent="0.2">
      <c r="A590" s="564"/>
      <c r="B590" s="927" t="s">
        <v>753</v>
      </c>
      <c r="C590" s="881"/>
      <c r="D590" s="882">
        <v>87646.8</v>
      </c>
      <c r="E590" s="882"/>
      <c r="F590" s="883"/>
      <c r="G590" s="928" t="s">
        <v>780</v>
      </c>
      <c r="H590" s="885"/>
    </row>
    <row r="591" spans="1:8" ht="12.75" customHeight="1" x14ac:dyDescent="0.2">
      <c r="A591" s="564"/>
      <c r="B591" s="927" t="s">
        <v>754</v>
      </c>
      <c r="C591" s="881"/>
      <c r="D591" s="882">
        <v>0</v>
      </c>
      <c r="E591" s="882"/>
      <c r="F591" s="883"/>
      <c r="G591" s="928" t="s">
        <v>781</v>
      </c>
    </row>
    <row r="592" spans="1:8" ht="12.75" customHeight="1" x14ac:dyDescent="0.2">
      <c r="A592" s="564"/>
      <c r="B592" s="927" t="s">
        <v>755</v>
      </c>
      <c r="C592" s="881"/>
      <c r="D592" s="882">
        <v>228.46</v>
      </c>
      <c r="E592" s="882"/>
      <c r="F592" s="883"/>
      <c r="G592" s="928" t="s">
        <v>782</v>
      </c>
      <c r="H592" s="885"/>
    </row>
    <row r="593" spans="1:8" ht="12.75" customHeight="1" x14ac:dyDescent="0.2">
      <c r="A593" s="564"/>
      <c r="B593" s="930" t="s">
        <v>326</v>
      </c>
      <c r="C593" s="886"/>
      <c r="D593" s="883">
        <v>71212.070000000007</v>
      </c>
      <c r="E593" s="939">
        <f>SUM(D593)</f>
        <v>71212.070000000007</v>
      </c>
      <c r="F593" s="883"/>
      <c r="G593" s="928">
        <v>3001</v>
      </c>
      <c r="H593" s="885"/>
    </row>
    <row r="594" spans="1:8" ht="12.75" customHeight="1" x14ac:dyDescent="0.2">
      <c r="A594" s="564"/>
      <c r="B594" s="931" t="s">
        <v>481</v>
      </c>
      <c r="C594" s="887"/>
      <c r="D594" s="883"/>
      <c r="E594" s="939">
        <f>SUM(D595:D600)</f>
        <v>946130.98</v>
      </c>
      <c r="F594" s="883"/>
      <c r="H594" s="885"/>
    </row>
    <row r="595" spans="1:8" ht="12.75" customHeight="1" x14ac:dyDescent="0.2">
      <c r="A595" s="564"/>
      <c r="B595" s="884"/>
      <c r="C595" s="886" t="s">
        <v>327</v>
      </c>
      <c r="D595" s="883">
        <v>202958.64</v>
      </c>
      <c r="E595" s="883"/>
      <c r="F595" s="883"/>
      <c r="H595" s="885"/>
    </row>
    <row r="596" spans="1:8" ht="12.75" customHeight="1" x14ac:dyDescent="0.2">
      <c r="A596" s="564"/>
      <c r="B596" s="884"/>
      <c r="C596" s="886" t="s">
        <v>328</v>
      </c>
      <c r="D596" s="882">
        <v>245.71</v>
      </c>
      <c r="E596" s="882"/>
      <c r="F596" s="883"/>
    </row>
    <row r="597" spans="1:8" ht="12.75" customHeight="1" x14ac:dyDescent="0.2">
      <c r="A597" s="564"/>
      <c r="B597" s="884"/>
      <c r="C597" s="886" t="s">
        <v>329</v>
      </c>
      <c r="D597" s="883">
        <v>654853.47</v>
      </c>
      <c r="E597" s="883"/>
      <c r="F597" s="883"/>
    </row>
    <row r="598" spans="1:8" ht="12.75" customHeight="1" x14ac:dyDescent="0.2">
      <c r="A598" s="564"/>
      <c r="B598" s="884"/>
      <c r="C598" s="886" t="s">
        <v>330</v>
      </c>
      <c r="D598" s="883">
        <v>3747.42</v>
      </c>
      <c r="E598" s="883"/>
      <c r="F598" s="883"/>
    </row>
    <row r="599" spans="1:8" ht="12.75" customHeight="1" x14ac:dyDescent="0.2">
      <c r="A599" s="899"/>
      <c r="B599" s="884"/>
      <c r="C599" s="887" t="s">
        <v>331</v>
      </c>
      <c r="D599" s="883">
        <v>32037.439999999999</v>
      </c>
      <c r="E599" s="883"/>
      <c r="F599" s="883"/>
    </row>
    <row r="600" spans="1:8" ht="12.75" customHeight="1" x14ac:dyDescent="0.2">
      <c r="A600" s="564"/>
      <c r="B600" s="884"/>
      <c r="C600" s="887" t="s">
        <v>133</v>
      </c>
      <c r="D600" s="883">
        <v>52288.3</v>
      </c>
      <c r="E600" s="883"/>
      <c r="F600" s="883"/>
      <c r="G600" s="870">
        <v>4005</v>
      </c>
    </row>
    <row r="601" spans="1:8" ht="12.75" customHeight="1" x14ac:dyDescent="0.2">
      <c r="A601" s="564"/>
      <c r="B601" s="889" t="s">
        <v>332</v>
      </c>
      <c r="C601" s="887"/>
      <c r="D601" s="904"/>
      <c r="E601" s="892"/>
      <c r="F601" s="883"/>
    </row>
    <row r="602" spans="1:8" ht="12.75" customHeight="1" x14ac:dyDescent="0.2">
      <c r="A602" s="564"/>
      <c r="B602" s="933" t="s">
        <v>333</v>
      </c>
      <c r="D602" s="883">
        <v>5726.25</v>
      </c>
      <c r="E602" s="940">
        <f>D602</f>
        <v>5726.25</v>
      </c>
      <c r="F602" s="883"/>
      <c r="H602" s="885"/>
    </row>
    <row r="603" spans="1:8" ht="12.75" customHeight="1" thickBot="1" x14ac:dyDescent="0.25">
      <c r="A603" s="893"/>
      <c r="B603" s="894"/>
      <c r="C603" s="895"/>
      <c r="D603" s="900"/>
      <c r="E603" s="897"/>
      <c r="F603" s="935">
        <f>SUM(E554:E603)</f>
        <v>1868513.8699999999</v>
      </c>
      <c r="H603" s="898">
        <f>'Sched-B1'!B15+'Sched-B2'!E207+'Sched-D1'!F603-604431.92-7855951.47</f>
        <v>-45274.680000000633</v>
      </c>
    </row>
    <row r="604" spans="1:8" ht="12.75" customHeight="1" x14ac:dyDescent="0.2">
      <c r="A604" s="875" t="s">
        <v>806</v>
      </c>
      <c r="B604" s="876" t="s">
        <v>50</v>
      </c>
      <c r="C604" s="877"/>
      <c r="D604" s="878"/>
      <c r="E604" s="879"/>
      <c r="F604" s="880"/>
      <c r="G604" s="870">
        <v>2000</v>
      </c>
    </row>
    <row r="605" spans="1:8" ht="12.75" customHeight="1" x14ac:dyDescent="0.2">
      <c r="A605" s="564"/>
      <c r="B605" s="925" t="s">
        <v>728</v>
      </c>
      <c r="C605" s="881"/>
      <c r="D605" s="882"/>
      <c r="E605" s="929">
        <f>SUM(D606:D646)</f>
        <v>206733.59</v>
      </c>
      <c r="F605" s="883"/>
    </row>
    <row r="606" spans="1:8" ht="12.75" customHeight="1" x14ac:dyDescent="0.2">
      <c r="A606" s="564"/>
      <c r="B606" s="927" t="s">
        <v>729</v>
      </c>
      <c r="C606" s="881"/>
      <c r="D606" s="882"/>
      <c r="E606" s="882"/>
      <c r="F606" s="883"/>
      <c r="G606" s="928" t="s">
        <v>756</v>
      </c>
    </row>
    <row r="607" spans="1:8" ht="12.75" customHeight="1" x14ac:dyDescent="0.2">
      <c r="A607" s="564"/>
      <c r="B607" s="927" t="s">
        <v>730</v>
      </c>
      <c r="C607" s="881"/>
      <c r="D607" s="882"/>
      <c r="E607" s="882"/>
      <c r="F607" s="883"/>
      <c r="G607" s="928" t="s">
        <v>757</v>
      </c>
    </row>
    <row r="608" spans="1:8" ht="12.75" customHeight="1" x14ac:dyDescent="0.2">
      <c r="A608" s="564"/>
      <c r="B608" s="927" t="s">
        <v>788</v>
      </c>
      <c r="C608" s="881"/>
      <c r="D608" s="882"/>
      <c r="E608" s="882"/>
      <c r="F608" s="883"/>
      <c r="G608" s="928">
        <v>3003</v>
      </c>
    </row>
    <row r="609" spans="1:7" ht="12.75" customHeight="1" x14ac:dyDescent="0.2">
      <c r="A609" s="564"/>
      <c r="B609" s="927" t="s">
        <v>731</v>
      </c>
      <c r="C609" s="881"/>
      <c r="D609" s="882"/>
      <c r="E609" s="882"/>
      <c r="F609" s="883"/>
      <c r="G609" s="928" t="s">
        <v>758</v>
      </c>
    </row>
    <row r="610" spans="1:7" ht="12.75" customHeight="1" x14ac:dyDescent="0.2">
      <c r="A610" s="564"/>
      <c r="B610" s="927" t="s">
        <v>800</v>
      </c>
      <c r="C610" s="881"/>
      <c r="D610" s="882"/>
      <c r="E610" s="882"/>
      <c r="F610" s="883"/>
      <c r="G610" s="928">
        <v>3014</v>
      </c>
    </row>
    <row r="611" spans="1:7" ht="12.75" customHeight="1" x14ac:dyDescent="0.2">
      <c r="A611" s="564"/>
      <c r="B611" s="927" t="s">
        <v>732</v>
      </c>
      <c r="C611" s="881"/>
      <c r="D611" s="882"/>
      <c r="E611" s="882"/>
      <c r="F611" s="883"/>
      <c r="G611" s="928" t="s">
        <v>759</v>
      </c>
    </row>
    <row r="612" spans="1:7" ht="12.75" customHeight="1" x14ac:dyDescent="0.2">
      <c r="A612" s="564"/>
      <c r="B612" s="927" t="s">
        <v>733</v>
      </c>
      <c r="C612" s="881"/>
      <c r="D612" s="882"/>
      <c r="E612" s="882"/>
      <c r="F612" s="883"/>
      <c r="G612" s="928" t="s">
        <v>760</v>
      </c>
    </row>
    <row r="613" spans="1:7" ht="12.75" customHeight="1" x14ac:dyDescent="0.2">
      <c r="A613" s="564"/>
      <c r="B613" s="937" t="s">
        <v>51</v>
      </c>
      <c r="C613" s="881"/>
      <c r="D613" s="882">
        <v>206733.59</v>
      </c>
      <c r="E613" s="882"/>
      <c r="F613" s="883"/>
      <c r="G613" s="928"/>
    </row>
    <row r="614" spans="1:7" ht="12.75" customHeight="1" x14ac:dyDescent="0.2">
      <c r="A614" s="564"/>
      <c r="B614" s="927" t="s">
        <v>804</v>
      </c>
      <c r="C614" s="881"/>
      <c r="D614" s="882"/>
      <c r="E614" s="882"/>
      <c r="F614" s="883"/>
      <c r="G614" s="928">
        <v>3027</v>
      </c>
    </row>
    <row r="615" spans="1:7" ht="12.75" customHeight="1" x14ac:dyDescent="0.2">
      <c r="A615" s="564"/>
      <c r="B615" s="927" t="s">
        <v>793</v>
      </c>
      <c r="C615" s="881"/>
      <c r="D615" s="882"/>
      <c r="E615" s="882"/>
      <c r="F615" s="883"/>
      <c r="G615" s="928">
        <v>3029</v>
      </c>
    </row>
    <row r="616" spans="1:7" ht="12.75" customHeight="1" x14ac:dyDescent="0.2">
      <c r="A616" s="564"/>
      <c r="B616" s="927" t="s">
        <v>734</v>
      </c>
      <c r="C616" s="881"/>
      <c r="D616" s="882"/>
      <c r="E616" s="882"/>
      <c r="F616" s="883"/>
      <c r="G616" s="928" t="s">
        <v>761</v>
      </c>
    </row>
    <row r="617" spans="1:7" ht="12.75" customHeight="1" x14ac:dyDescent="0.2">
      <c r="A617" s="564"/>
      <c r="B617" s="927" t="s">
        <v>735</v>
      </c>
      <c r="C617" s="881"/>
      <c r="D617" s="882"/>
      <c r="E617" s="882"/>
      <c r="F617" s="883"/>
      <c r="G617" s="928" t="s">
        <v>762</v>
      </c>
    </row>
    <row r="618" spans="1:7" ht="12.75" customHeight="1" x14ac:dyDescent="0.2">
      <c r="A618" s="564"/>
      <c r="B618" s="927" t="s">
        <v>785</v>
      </c>
      <c r="C618" s="881"/>
      <c r="D618" s="882"/>
      <c r="E618" s="882"/>
      <c r="F618" s="883"/>
      <c r="G618" s="928">
        <v>3034</v>
      </c>
    </row>
    <row r="619" spans="1:7" ht="12.75" customHeight="1" x14ac:dyDescent="0.2">
      <c r="A619" s="564"/>
      <c r="B619" s="927" t="s">
        <v>736</v>
      </c>
      <c r="C619" s="881"/>
      <c r="D619" s="882"/>
      <c r="E619" s="882"/>
      <c r="F619" s="883"/>
      <c r="G619" s="928" t="s">
        <v>763</v>
      </c>
    </row>
    <row r="620" spans="1:7" ht="12.75" customHeight="1" x14ac:dyDescent="0.2">
      <c r="A620" s="564"/>
      <c r="B620" s="927" t="s">
        <v>737</v>
      </c>
      <c r="C620" s="881"/>
      <c r="D620" s="882"/>
      <c r="E620" s="882"/>
      <c r="F620" s="883"/>
      <c r="G620" s="928" t="s">
        <v>764</v>
      </c>
    </row>
    <row r="621" spans="1:7" ht="12.75" customHeight="1" x14ac:dyDescent="0.2">
      <c r="A621" s="564"/>
      <c r="B621" s="927" t="s">
        <v>738</v>
      </c>
      <c r="C621" s="881"/>
      <c r="D621" s="882"/>
      <c r="E621" s="882"/>
      <c r="F621" s="883"/>
      <c r="G621" s="928" t="s">
        <v>765</v>
      </c>
    </row>
    <row r="622" spans="1:7" ht="12.75" customHeight="1" x14ac:dyDescent="0.2">
      <c r="A622" s="564"/>
      <c r="B622" s="927" t="s">
        <v>739</v>
      </c>
      <c r="C622" s="881"/>
      <c r="D622" s="882"/>
      <c r="E622" s="882"/>
      <c r="F622" s="883"/>
      <c r="G622" s="928" t="s">
        <v>766</v>
      </c>
    </row>
    <row r="623" spans="1:7" ht="12.75" customHeight="1" x14ac:dyDescent="0.2">
      <c r="A623" s="564"/>
      <c r="B623" s="927" t="s">
        <v>740</v>
      </c>
      <c r="C623" s="881"/>
      <c r="D623" s="882"/>
      <c r="E623" s="882"/>
      <c r="F623" s="883"/>
      <c r="G623" s="928" t="s">
        <v>767</v>
      </c>
    </row>
    <row r="624" spans="1:7" ht="12.75" customHeight="1" x14ac:dyDescent="0.2">
      <c r="A624" s="564"/>
      <c r="B624" s="927" t="s">
        <v>741</v>
      </c>
      <c r="C624" s="881"/>
      <c r="D624" s="882"/>
      <c r="E624" s="882"/>
      <c r="F624" s="883"/>
      <c r="G624" s="928" t="s">
        <v>768</v>
      </c>
    </row>
    <row r="625" spans="1:7" ht="12.75" customHeight="1" x14ac:dyDescent="0.2">
      <c r="A625" s="564"/>
      <c r="B625" s="927" t="s">
        <v>795</v>
      </c>
      <c r="C625" s="881"/>
      <c r="D625" s="882"/>
      <c r="E625" s="882"/>
      <c r="F625" s="883"/>
      <c r="G625" s="928">
        <v>3042</v>
      </c>
    </row>
    <row r="626" spans="1:7" ht="12.75" customHeight="1" x14ac:dyDescent="0.2">
      <c r="A626" s="564"/>
      <c r="B626" s="927" t="s">
        <v>742</v>
      </c>
      <c r="C626" s="881"/>
      <c r="D626" s="882"/>
      <c r="E626" s="882"/>
      <c r="F626" s="883"/>
      <c r="G626" s="928" t="s">
        <v>769</v>
      </c>
    </row>
    <row r="627" spans="1:7" ht="12.75" customHeight="1" x14ac:dyDescent="0.2">
      <c r="A627" s="564"/>
      <c r="B627" s="927" t="s">
        <v>743</v>
      </c>
      <c r="C627" s="881"/>
      <c r="D627" s="882"/>
      <c r="E627" s="882"/>
      <c r="F627" s="883"/>
      <c r="G627" s="928" t="s">
        <v>770</v>
      </c>
    </row>
    <row r="628" spans="1:7" ht="12.75" customHeight="1" x14ac:dyDescent="0.2">
      <c r="A628" s="564"/>
      <c r="B628" s="927" t="s">
        <v>744</v>
      </c>
      <c r="C628" s="881"/>
      <c r="D628" s="882"/>
      <c r="E628" s="882"/>
      <c r="F628" s="883"/>
      <c r="G628" s="928" t="s">
        <v>771</v>
      </c>
    </row>
    <row r="629" spans="1:7" ht="12.75" customHeight="1" x14ac:dyDescent="0.2">
      <c r="A629" s="564"/>
      <c r="B629" s="927" t="s">
        <v>786</v>
      </c>
      <c r="C629" s="881"/>
      <c r="D629" s="882"/>
      <c r="E629" s="882"/>
      <c r="F629" s="883"/>
      <c r="G629" s="928">
        <v>3048</v>
      </c>
    </row>
    <row r="630" spans="1:7" ht="12.75" customHeight="1" x14ac:dyDescent="0.2">
      <c r="A630" s="564"/>
      <c r="B630" s="927" t="s">
        <v>745</v>
      </c>
      <c r="C630" s="881"/>
      <c r="D630" s="882"/>
      <c r="E630" s="882"/>
      <c r="F630" s="883"/>
      <c r="G630" s="928" t="s">
        <v>772</v>
      </c>
    </row>
    <row r="631" spans="1:7" ht="12.75" customHeight="1" x14ac:dyDescent="0.2">
      <c r="A631" s="564"/>
      <c r="B631" s="927" t="s">
        <v>746</v>
      </c>
      <c r="C631" s="881"/>
      <c r="D631" s="882"/>
      <c r="E631" s="882"/>
      <c r="F631" s="883"/>
      <c r="G631" s="928" t="s">
        <v>773</v>
      </c>
    </row>
    <row r="632" spans="1:7" ht="12.75" customHeight="1" x14ac:dyDescent="0.2">
      <c r="A632" s="564"/>
      <c r="B632" s="927" t="s">
        <v>789</v>
      </c>
      <c r="C632" s="881"/>
      <c r="D632" s="882"/>
      <c r="E632" s="882"/>
      <c r="F632" s="883"/>
      <c r="G632" s="928">
        <v>3051</v>
      </c>
    </row>
    <row r="633" spans="1:7" ht="12.75" customHeight="1" x14ac:dyDescent="0.2">
      <c r="A633" s="564"/>
      <c r="B633" s="927" t="s">
        <v>747</v>
      </c>
      <c r="C633" s="881"/>
      <c r="D633" s="882"/>
      <c r="E633" s="882"/>
      <c r="F633" s="883"/>
      <c r="G633" s="928" t="s">
        <v>774</v>
      </c>
    </row>
    <row r="634" spans="1:7" ht="12.75" customHeight="1" x14ac:dyDescent="0.2">
      <c r="A634" s="564"/>
      <c r="B634" s="927" t="s">
        <v>790</v>
      </c>
      <c r="C634" s="881"/>
      <c r="D634" s="882">
        <v>0</v>
      </c>
      <c r="E634" s="882"/>
      <c r="F634" s="883"/>
      <c r="G634" s="928">
        <v>3056</v>
      </c>
    </row>
    <row r="635" spans="1:7" ht="12.75" customHeight="1" x14ac:dyDescent="0.2">
      <c r="A635" s="564"/>
      <c r="B635" s="927" t="s">
        <v>748</v>
      </c>
      <c r="C635" s="881"/>
      <c r="D635" s="882">
        <v>0</v>
      </c>
      <c r="E635" s="882"/>
      <c r="F635" s="883"/>
      <c r="G635" s="928">
        <v>3057</v>
      </c>
    </row>
    <row r="636" spans="1:7" ht="12.75" customHeight="1" x14ac:dyDescent="0.2">
      <c r="A636" s="564"/>
      <c r="B636" s="927" t="s">
        <v>749</v>
      </c>
      <c r="C636" s="881"/>
      <c r="D636" s="882">
        <v>0</v>
      </c>
      <c r="E636" s="882"/>
      <c r="F636" s="883"/>
      <c r="G636" s="928" t="s">
        <v>776</v>
      </c>
    </row>
    <row r="637" spans="1:7" ht="12.75" customHeight="1" x14ac:dyDescent="0.2">
      <c r="A637" s="564"/>
      <c r="B637" s="927" t="s">
        <v>750</v>
      </c>
      <c r="C637" s="881"/>
      <c r="D637" s="882">
        <v>0</v>
      </c>
      <c r="E637" s="882"/>
      <c r="F637" s="883"/>
      <c r="G637" s="928" t="s">
        <v>777</v>
      </c>
    </row>
    <row r="638" spans="1:7" ht="12.75" customHeight="1" x14ac:dyDescent="0.2">
      <c r="A638" s="564"/>
      <c r="B638" s="927" t="s">
        <v>787</v>
      </c>
      <c r="C638" s="881"/>
      <c r="D638" s="882"/>
      <c r="E638" s="882"/>
      <c r="F638" s="883"/>
      <c r="G638" s="928">
        <v>3061</v>
      </c>
    </row>
    <row r="639" spans="1:7" ht="12.75" customHeight="1" x14ac:dyDescent="0.2">
      <c r="A639" s="564"/>
      <c r="B639" s="927" t="s">
        <v>796</v>
      </c>
      <c r="C639" s="881"/>
      <c r="D639" s="882"/>
      <c r="E639" s="882"/>
      <c r="F639" s="883"/>
      <c r="G639" s="928">
        <v>3063</v>
      </c>
    </row>
    <row r="640" spans="1:7" ht="12.75" customHeight="1" x14ac:dyDescent="0.2">
      <c r="A640" s="564"/>
      <c r="B640" s="927" t="s">
        <v>751</v>
      </c>
      <c r="C640" s="881"/>
      <c r="D640" s="882"/>
      <c r="E640" s="882"/>
      <c r="F640" s="883"/>
      <c r="G640" s="928" t="s">
        <v>778</v>
      </c>
    </row>
    <row r="641" spans="1:8" ht="12.75" customHeight="1" x14ac:dyDescent="0.2">
      <c r="A641" s="564"/>
      <c r="B641" s="927" t="s">
        <v>801</v>
      </c>
      <c r="C641" s="881"/>
      <c r="D641" s="882"/>
      <c r="E641" s="882"/>
      <c r="F641" s="883"/>
      <c r="G641" s="928">
        <v>3065</v>
      </c>
    </row>
    <row r="642" spans="1:8" ht="12.75" customHeight="1" x14ac:dyDescent="0.2">
      <c r="A642" s="564"/>
      <c r="B642" s="927" t="s">
        <v>752</v>
      </c>
      <c r="C642" s="881"/>
      <c r="D642" s="882"/>
      <c r="E642" s="882"/>
      <c r="F642" s="883"/>
      <c r="G642" s="928">
        <v>3066</v>
      </c>
    </row>
    <row r="643" spans="1:8" ht="12.75" customHeight="1" x14ac:dyDescent="0.2">
      <c r="A643" s="564"/>
      <c r="B643" s="927" t="s">
        <v>753</v>
      </c>
      <c r="C643" s="881"/>
      <c r="D643" s="882"/>
      <c r="E643" s="882"/>
      <c r="F643" s="883"/>
      <c r="G643" s="928" t="s">
        <v>780</v>
      </c>
      <c r="H643" s="885"/>
    </row>
    <row r="644" spans="1:8" ht="12.75" customHeight="1" x14ac:dyDescent="0.2">
      <c r="A644" s="564"/>
      <c r="B644" s="927" t="s">
        <v>754</v>
      </c>
      <c r="C644" s="881"/>
      <c r="D644" s="882"/>
      <c r="E644" s="882"/>
      <c r="F644" s="883"/>
      <c r="G644" s="928">
        <v>3068</v>
      </c>
      <c r="H644" s="885"/>
    </row>
    <row r="645" spans="1:8" ht="12.75" customHeight="1" x14ac:dyDescent="0.2">
      <c r="A645" s="564"/>
      <c r="B645" s="927" t="s">
        <v>755</v>
      </c>
      <c r="C645" s="881"/>
      <c r="D645" s="882"/>
      <c r="E645" s="882"/>
      <c r="F645" s="883"/>
      <c r="G645" s="928">
        <v>3069</v>
      </c>
      <c r="H645" s="885"/>
    </row>
    <row r="646" spans="1:8" ht="12.75" customHeight="1" x14ac:dyDescent="0.2">
      <c r="A646" s="564"/>
      <c r="B646" s="927" t="s">
        <v>791</v>
      </c>
      <c r="C646" s="881"/>
      <c r="D646" s="882"/>
      <c r="E646" s="882"/>
      <c r="F646" s="883"/>
      <c r="G646" s="928">
        <v>3073</v>
      </c>
    </row>
    <row r="647" spans="1:8" ht="12.75" customHeight="1" x14ac:dyDescent="0.2">
      <c r="A647" s="564"/>
      <c r="B647" s="930" t="s">
        <v>326</v>
      </c>
      <c r="D647" s="882"/>
      <c r="E647" s="929">
        <f>SUM(D647)</f>
        <v>0</v>
      </c>
      <c r="F647" s="883"/>
      <c r="G647" s="870">
        <v>3001</v>
      </c>
      <c r="H647" s="885"/>
    </row>
    <row r="648" spans="1:8" ht="12.75" customHeight="1" x14ac:dyDescent="0.2">
      <c r="A648" s="564"/>
      <c r="B648" s="931" t="s">
        <v>481</v>
      </c>
      <c r="C648" s="887"/>
      <c r="D648" s="882"/>
      <c r="E648" s="929">
        <f>SUM(D649:D654)</f>
        <v>0</v>
      </c>
      <c r="F648" s="883"/>
    </row>
    <row r="649" spans="1:8" ht="12.75" customHeight="1" x14ac:dyDescent="0.2">
      <c r="A649" s="564"/>
      <c r="B649" s="884"/>
      <c r="C649" s="886" t="s">
        <v>327</v>
      </c>
      <c r="D649" s="882"/>
      <c r="E649" s="882"/>
      <c r="F649" s="883"/>
      <c r="G649" s="870">
        <v>4000</v>
      </c>
    </row>
    <row r="650" spans="1:8" ht="12.75" customHeight="1" x14ac:dyDescent="0.2">
      <c r="A650" s="564"/>
      <c r="B650" s="884"/>
      <c r="C650" s="886" t="s">
        <v>328</v>
      </c>
      <c r="D650" s="882"/>
      <c r="E650" s="882"/>
      <c r="F650" s="883"/>
      <c r="G650" s="870">
        <v>4001</v>
      </c>
    </row>
    <row r="651" spans="1:8" ht="12.75" customHeight="1" x14ac:dyDescent="0.2">
      <c r="A651" s="564"/>
      <c r="B651" s="884"/>
      <c r="C651" s="886" t="s">
        <v>329</v>
      </c>
      <c r="D651" s="882"/>
      <c r="E651" s="882"/>
      <c r="F651" s="883"/>
    </row>
    <row r="652" spans="1:8" ht="12.75" customHeight="1" x14ac:dyDescent="0.2">
      <c r="A652" s="564"/>
      <c r="B652" s="884"/>
      <c r="C652" s="886" t="s">
        <v>330</v>
      </c>
      <c r="D652" s="882"/>
      <c r="E652" s="882"/>
      <c r="F652" s="883"/>
    </row>
    <row r="653" spans="1:8" ht="12.75" customHeight="1" x14ac:dyDescent="0.2">
      <c r="A653" s="564"/>
      <c r="B653" s="884"/>
      <c r="C653" s="887" t="s">
        <v>331</v>
      </c>
      <c r="D653" s="882"/>
      <c r="E653" s="882"/>
      <c r="F653" s="883"/>
    </row>
    <row r="654" spans="1:8" ht="12.75" customHeight="1" x14ac:dyDescent="0.2">
      <c r="A654" s="564"/>
      <c r="B654" s="884"/>
      <c r="C654" s="887" t="s">
        <v>133</v>
      </c>
      <c r="D654" s="882"/>
      <c r="E654" s="882"/>
      <c r="F654" s="883"/>
    </row>
    <row r="655" spans="1:8" ht="12.75" customHeight="1" x14ac:dyDescent="0.2">
      <c r="A655" s="888"/>
      <c r="B655" s="889" t="s">
        <v>332</v>
      </c>
      <c r="C655" s="934"/>
      <c r="D655" s="882"/>
      <c r="E655" s="891"/>
      <c r="F655" s="892"/>
    </row>
    <row r="656" spans="1:8" ht="12.75" customHeight="1" x14ac:dyDescent="0.2">
      <c r="A656" s="888"/>
      <c r="B656" s="933" t="s">
        <v>333</v>
      </c>
      <c r="D656" s="882">
        <v>0</v>
      </c>
      <c r="E656" s="932">
        <f>D656</f>
        <v>0</v>
      </c>
      <c r="F656" s="892"/>
      <c r="G656" s="870">
        <v>5000</v>
      </c>
    </row>
    <row r="657" spans="1:8" ht="12.75" customHeight="1" thickBot="1" x14ac:dyDescent="0.25">
      <c r="A657" s="893"/>
      <c r="B657" s="894"/>
      <c r="C657" s="895"/>
      <c r="D657" s="896"/>
      <c r="E657" s="897"/>
      <c r="F657" s="935">
        <f>SUM(E604:E656)</f>
        <v>206733.59</v>
      </c>
      <c r="H657" s="898">
        <f>'Sched-B1'!B16+'Sched-B2'!E224+'Sched-D1'!F657-206733.59</f>
        <v>0</v>
      </c>
    </row>
    <row r="658" spans="1:8" ht="18.75" customHeight="1" thickBot="1" x14ac:dyDescent="0.25">
      <c r="A658" s="911"/>
      <c r="B658" s="912" t="s">
        <v>6</v>
      </c>
      <c r="C658" s="913"/>
      <c r="D658" s="914"/>
      <c r="E658" s="915"/>
      <c r="F658" s="916">
        <f>F657+F603+F553+F499+F445+F396+F343+F295+F241+F190+F138+F89+F44</f>
        <v>40376410.869999997</v>
      </c>
      <c r="H658" s="917"/>
    </row>
    <row r="659" spans="1:8" ht="12.75" customHeight="1" thickTop="1" x14ac:dyDescent="0.2">
      <c r="C659" s="918"/>
      <c r="D659" s="919"/>
      <c r="E659" s="919"/>
      <c r="F659" s="920"/>
    </row>
    <row r="660" spans="1:8" ht="12.75" customHeight="1" x14ac:dyDescent="0.2">
      <c r="A660" s="870" t="s">
        <v>820</v>
      </c>
      <c r="C660" s="918"/>
      <c r="D660" s="919"/>
      <c r="E660" s="919"/>
      <c r="F660" s="920"/>
    </row>
    <row r="661" spans="1:8" x14ac:dyDescent="0.2">
      <c r="C661" s="918"/>
      <c r="D661" s="919"/>
      <c r="E661" s="919"/>
      <c r="F661" s="920"/>
    </row>
    <row r="662" spans="1:8" x14ac:dyDescent="0.2">
      <c r="A662" s="921" t="s">
        <v>805</v>
      </c>
      <c r="C662" s="918"/>
      <c r="D662" s="919"/>
      <c r="E662" s="919"/>
      <c r="F662" s="920">
        <f>F658+'Sched-B1'!E17</f>
        <v>184917172.89000002</v>
      </c>
    </row>
    <row r="663" spans="1:8" x14ac:dyDescent="0.2">
      <c r="C663" s="918"/>
      <c r="D663" s="919"/>
      <c r="E663" s="919"/>
      <c r="F663" s="920"/>
    </row>
    <row r="664" spans="1:8" x14ac:dyDescent="0.2">
      <c r="D664" s="919"/>
      <c r="E664" s="919"/>
      <c r="F664" s="920"/>
      <c r="G664" s="870" t="s">
        <v>671</v>
      </c>
    </row>
    <row r="665" spans="1:8" x14ac:dyDescent="0.2">
      <c r="C665" s="918"/>
      <c r="D665" s="919"/>
      <c r="E665" s="919"/>
      <c r="F665" s="920"/>
      <c r="G665" s="870" t="s">
        <v>672</v>
      </c>
    </row>
    <row r="666" spans="1:8" x14ac:dyDescent="0.2">
      <c r="B666" s="918"/>
      <c r="C666" s="918"/>
      <c r="D666" s="919"/>
      <c r="E666" s="919"/>
      <c r="F666" s="920"/>
      <c r="G666" s="870" t="s">
        <v>673</v>
      </c>
    </row>
    <row r="667" spans="1:8" x14ac:dyDescent="0.2">
      <c r="B667" s="918"/>
      <c r="C667" s="918"/>
      <c r="D667" s="919"/>
      <c r="E667" s="919"/>
      <c r="F667" s="920"/>
      <c r="G667" s="870" t="s">
        <v>674</v>
      </c>
    </row>
    <row r="668" spans="1:8" x14ac:dyDescent="0.2">
      <c r="B668" s="874"/>
      <c r="C668" s="874"/>
      <c r="D668" s="919"/>
      <c r="E668" s="919"/>
      <c r="F668" s="922"/>
      <c r="G668" s="870" t="s">
        <v>675</v>
      </c>
    </row>
    <row r="669" spans="1:8" x14ac:dyDescent="0.2">
      <c r="D669" s="919"/>
      <c r="E669" s="919"/>
      <c r="F669" s="920"/>
      <c r="G669" s="870" t="s">
        <v>676</v>
      </c>
    </row>
    <row r="670" spans="1:8" x14ac:dyDescent="0.2">
      <c r="D670" s="919"/>
      <c r="E670" s="919"/>
      <c r="F670" s="920"/>
      <c r="G670" s="870" t="s">
        <v>677</v>
      </c>
    </row>
    <row r="671" spans="1:8" x14ac:dyDescent="0.2">
      <c r="D671" s="919"/>
      <c r="E671" s="919"/>
      <c r="F671" s="920"/>
      <c r="G671" s="870" t="s">
        <v>678</v>
      </c>
    </row>
    <row r="672" spans="1:8" x14ac:dyDescent="0.2">
      <c r="D672" s="919"/>
      <c r="E672" s="919"/>
      <c r="F672" s="920"/>
      <c r="G672" s="870" t="s">
        <v>679</v>
      </c>
    </row>
    <row r="673" spans="4:7" x14ac:dyDescent="0.2">
      <c r="D673" s="919"/>
      <c r="E673" s="919"/>
      <c r="F673" s="920"/>
      <c r="G673" s="870" t="s">
        <v>680</v>
      </c>
    </row>
    <row r="674" spans="4:7" x14ac:dyDescent="0.2">
      <c r="D674" s="919"/>
      <c r="E674" s="919"/>
      <c r="F674" s="920"/>
      <c r="G674" s="870" t="s">
        <v>681</v>
      </c>
    </row>
    <row r="675" spans="4:7" x14ac:dyDescent="0.2">
      <c r="D675" s="919"/>
      <c r="E675" s="919"/>
      <c r="F675" s="920"/>
      <c r="G675" s="870" t="s">
        <v>682</v>
      </c>
    </row>
    <row r="676" spans="4:7" x14ac:dyDescent="0.2">
      <c r="D676" s="919"/>
      <c r="E676" s="919"/>
      <c r="F676" s="920">
        <f>D10+D53+D98+D147+D199+D251+D306+D353+D406+D456+D509+D564+D613</f>
        <v>11221730.659999998</v>
      </c>
      <c r="G676" s="870" t="s">
        <v>819</v>
      </c>
    </row>
    <row r="677" spans="4:7" x14ac:dyDescent="0.2">
      <c r="D677" s="919"/>
      <c r="E677" s="919"/>
      <c r="F677" s="920"/>
      <c r="G677" s="870" t="s">
        <v>683</v>
      </c>
    </row>
    <row r="678" spans="4:7" x14ac:dyDescent="0.2">
      <c r="D678" s="919"/>
      <c r="E678" s="919"/>
      <c r="F678" s="920"/>
      <c r="G678" s="870" t="s">
        <v>684</v>
      </c>
    </row>
    <row r="679" spans="4:7" x14ac:dyDescent="0.2">
      <c r="D679" s="919"/>
      <c r="E679" s="919"/>
      <c r="F679" s="920"/>
      <c r="G679" s="870" t="s">
        <v>685</v>
      </c>
    </row>
    <row r="680" spans="4:7" x14ac:dyDescent="0.2">
      <c r="D680" s="919"/>
      <c r="E680" s="919"/>
      <c r="F680" s="920">
        <f>F678+F679</f>
        <v>0</v>
      </c>
    </row>
    <row r="681" spans="4:7" x14ac:dyDescent="0.2">
      <c r="D681" s="919"/>
      <c r="E681" s="919"/>
      <c r="F681" s="920"/>
    </row>
    <row r="682" spans="4:7" x14ac:dyDescent="0.2">
      <c r="D682" s="919"/>
      <c r="E682" s="919"/>
      <c r="F682" s="920"/>
    </row>
    <row r="683" spans="4:7" x14ac:dyDescent="0.2">
      <c r="D683" s="919"/>
      <c r="E683" s="919"/>
      <c r="F683" s="920"/>
    </row>
    <row r="684" spans="4:7" x14ac:dyDescent="0.2">
      <c r="D684" s="919"/>
      <c r="E684" s="919"/>
      <c r="F684" s="920"/>
    </row>
    <row r="685" spans="4:7" x14ac:dyDescent="0.2">
      <c r="D685" s="919"/>
      <c r="E685" s="919"/>
      <c r="F685" s="920"/>
    </row>
    <row r="686" spans="4:7" x14ac:dyDescent="0.2">
      <c r="D686" s="919"/>
      <c r="E686" s="919"/>
      <c r="F686" s="920"/>
    </row>
    <row r="687" spans="4:7" x14ac:dyDescent="0.2">
      <c r="D687" s="919"/>
      <c r="E687" s="919"/>
      <c r="F687" s="920"/>
    </row>
    <row r="688" spans="4:7" x14ac:dyDescent="0.2">
      <c r="D688" s="919"/>
      <c r="E688" s="919"/>
      <c r="F688" s="920"/>
    </row>
    <row r="689" spans="4:6" x14ac:dyDescent="0.2">
      <c r="D689" s="919"/>
      <c r="E689" s="919"/>
      <c r="F689" s="920"/>
    </row>
    <row r="690" spans="4:6" x14ac:dyDescent="0.2">
      <c r="D690" s="919"/>
      <c r="E690" s="919"/>
      <c r="F690" s="920"/>
    </row>
    <row r="691" spans="4:6" x14ac:dyDescent="0.2">
      <c r="D691" s="919"/>
      <c r="E691" s="919"/>
      <c r="F691" s="920"/>
    </row>
    <row r="692" spans="4:6" x14ac:dyDescent="0.2">
      <c r="D692" s="919"/>
      <c r="E692" s="919"/>
      <c r="F692" s="920"/>
    </row>
    <row r="693" spans="4:6" x14ac:dyDescent="0.2">
      <c r="D693" s="919"/>
      <c r="E693" s="919"/>
      <c r="F693" s="920"/>
    </row>
    <row r="694" spans="4:6" x14ac:dyDescent="0.2">
      <c r="D694" s="919"/>
      <c r="E694" s="919"/>
      <c r="F694" s="920"/>
    </row>
    <row r="695" spans="4:6" x14ac:dyDescent="0.2">
      <c r="D695" s="919"/>
      <c r="E695" s="919"/>
      <c r="F695" s="920"/>
    </row>
    <row r="696" spans="4:6" x14ac:dyDescent="0.2">
      <c r="D696" s="919"/>
      <c r="E696" s="919"/>
      <c r="F696" s="920"/>
    </row>
    <row r="697" spans="4:6" x14ac:dyDescent="0.2">
      <c r="D697" s="919"/>
      <c r="E697" s="919"/>
      <c r="F697" s="920"/>
    </row>
    <row r="698" spans="4:6" x14ac:dyDescent="0.2">
      <c r="D698" s="919"/>
      <c r="E698" s="919"/>
      <c r="F698" s="920"/>
    </row>
    <row r="699" spans="4:6" x14ac:dyDescent="0.2">
      <c r="D699" s="919"/>
      <c r="E699" s="919"/>
      <c r="F699" s="920"/>
    </row>
    <row r="700" spans="4:6" x14ac:dyDescent="0.2">
      <c r="D700" s="919"/>
      <c r="E700" s="919"/>
      <c r="F700" s="920"/>
    </row>
    <row r="701" spans="4:6" x14ac:dyDescent="0.2">
      <c r="D701" s="919"/>
      <c r="E701" s="919"/>
      <c r="F701" s="920"/>
    </row>
    <row r="702" spans="4:6" x14ac:dyDescent="0.2">
      <c r="D702" s="919"/>
      <c r="E702" s="919"/>
      <c r="F702" s="920"/>
    </row>
    <row r="703" spans="4:6" x14ac:dyDescent="0.2">
      <c r="D703" s="919"/>
      <c r="E703" s="919"/>
      <c r="F703" s="920"/>
    </row>
    <row r="704" spans="4:6" x14ac:dyDescent="0.2">
      <c r="D704" s="919"/>
      <c r="E704" s="919"/>
      <c r="F704" s="920"/>
    </row>
    <row r="705" spans="4:6" x14ac:dyDescent="0.2">
      <c r="D705" s="919"/>
      <c r="E705" s="919"/>
      <c r="F705" s="920"/>
    </row>
    <row r="706" spans="4:6" x14ac:dyDescent="0.2">
      <c r="D706" s="919"/>
      <c r="E706" s="919"/>
      <c r="F706" s="920"/>
    </row>
    <row r="707" spans="4:6" x14ac:dyDescent="0.2">
      <c r="D707" s="919"/>
      <c r="E707" s="919"/>
      <c r="F707" s="920"/>
    </row>
    <row r="708" spans="4:6" x14ac:dyDescent="0.2">
      <c r="D708" s="919"/>
      <c r="E708" s="919"/>
      <c r="F708" s="920"/>
    </row>
    <row r="709" spans="4:6" x14ac:dyDescent="0.2">
      <c r="D709" s="919"/>
      <c r="E709" s="919"/>
      <c r="F709" s="920"/>
    </row>
    <row r="710" spans="4:6" x14ac:dyDescent="0.2">
      <c r="D710" s="919"/>
      <c r="E710" s="919"/>
      <c r="F710" s="920"/>
    </row>
    <row r="711" spans="4:6" x14ac:dyDescent="0.2">
      <c r="D711" s="919"/>
      <c r="E711" s="919"/>
      <c r="F711" s="920"/>
    </row>
    <row r="712" spans="4:6" x14ac:dyDescent="0.2">
      <c r="D712" s="919"/>
      <c r="E712" s="919"/>
      <c r="F712" s="920"/>
    </row>
    <row r="713" spans="4:6" x14ac:dyDescent="0.2">
      <c r="D713" s="919"/>
      <c r="E713" s="919"/>
      <c r="F713" s="920"/>
    </row>
    <row r="714" spans="4:6" x14ac:dyDescent="0.2">
      <c r="D714" s="919"/>
      <c r="E714" s="919"/>
      <c r="F714" s="920"/>
    </row>
    <row r="715" spans="4:6" x14ac:dyDescent="0.2">
      <c r="D715" s="919"/>
      <c r="E715" s="919"/>
      <c r="F715" s="920"/>
    </row>
    <row r="716" spans="4:6" x14ac:dyDescent="0.2">
      <c r="D716" s="919"/>
      <c r="E716" s="919"/>
      <c r="F716" s="920"/>
    </row>
    <row r="717" spans="4:6" x14ac:dyDescent="0.2">
      <c r="D717" s="919"/>
      <c r="E717" s="919"/>
      <c r="F717" s="920"/>
    </row>
    <row r="718" spans="4:6" x14ac:dyDescent="0.2">
      <c r="D718" s="919"/>
      <c r="E718" s="919"/>
      <c r="F718" s="920"/>
    </row>
    <row r="719" spans="4:6" x14ac:dyDescent="0.2">
      <c r="D719" s="919"/>
      <c r="E719" s="919"/>
      <c r="F719" s="920"/>
    </row>
    <row r="720" spans="4:6" x14ac:dyDescent="0.2">
      <c r="D720" s="919"/>
      <c r="E720" s="919"/>
      <c r="F720" s="920"/>
    </row>
    <row r="721" spans="4:6" x14ac:dyDescent="0.2">
      <c r="D721" s="919"/>
      <c r="E721" s="919"/>
      <c r="F721" s="920"/>
    </row>
    <row r="722" spans="4:6" x14ac:dyDescent="0.2">
      <c r="D722" s="919"/>
      <c r="E722" s="919"/>
      <c r="F722" s="920"/>
    </row>
    <row r="723" spans="4:6" x14ac:dyDescent="0.2">
      <c r="D723" s="919"/>
      <c r="E723" s="919"/>
      <c r="F723" s="920"/>
    </row>
    <row r="724" spans="4:6" x14ac:dyDescent="0.2">
      <c r="D724" s="919"/>
      <c r="E724" s="919"/>
      <c r="F724" s="920"/>
    </row>
    <row r="725" spans="4:6" x14ac:dyDescent="0.2">
      <c r="D725" s="919"/>
      <c r="E725" s="919"/>
      <c r="F725" s="920"/>
    </row>
    <row r="726" spans="4:6" x14ac:dyDescent="0.2">
      <c r="D726" s="919"/>
      <c r="E726" s="919"/>
      <c r="F726" s="920"/>
    </row>
    <row r="727" spans="4:6" x14ac:dyDescent="0.2">
      <c r="D727" s="919"/>
      <c r="E727" s="919"/>
      <c r="F727" s="920"/>
    </row>
    <row r="728" spans="4:6" x14ac:dyDescent="0.2">
      <c r="D728" s="919"/>
      <c r="E728" s="919"/>
      <c r="F728" s="920"/>
    </row>
    <row r="729" spans="4:6" x14ac:dyDescent="0.2">
      <c r="D729" s="919"/>
      <c r="E729" s="919"/>
      <c r="F729" s="920"/>
    </row>
    <row r="730" spans="4:6" x14ac:dyDescent="0.2">
      <c r="D730" s="919"/>
      <c r="E730" s="919"/>
      <c r="F730" s="920"/>
    </row>
    <row r="731" spans="4:6" x14ac:dyDescent="0.2">
      <c r="D731" s="919"/>
      <c r="E731" s="919"/>
      <c r="F731" s="920"/>
    </row>
    <row r="732" spans="4:6" x14ac:dyDescent="0.2">
      <c r="D732" s="919"/>
      <c r="E732" s="919"/>
      <c r="F732" s="920"/>
    </row>
    <row r="733" spans="4:6" x14ac:dyDescent="0.2">
      <c r="D733" s="919"/>
      <c r="E733" s="919"/>
      <c r="F733" s="920"/>
    </row>
    <row r="734" spans="4:6" x14ac:dyDescent="0.2">
      <c r="D734" s="919"/>
      <c r="E734" s="919"/>
      <c r="F734" s="920"/>
    </row>
    <row r="735" spans="4:6" x14ac:dyDescent="0.2">
      <c r="D735" s="919"/>
      <c r="E735" s="919"/>
      <c r="F735" s="920"/>
    </row>
    <row r="736" spans="4:6" x14ac:dyDescent="0.2">
      <c r="D736" s="919"/>
      <c r="E736" s="919"/>
      <c r="F736" s="920"/>
    </row>
    <row r="737" spans="4:6" x14ac:dyDescent="0.2">
      <c r="D737" s="919"/>
      <c r="E737" s="919"/>
      <c r="F737" s="920"/>
    </row>
    <row r="738" spans="4:6" x14ac:dyDescent="0.2">
      <c r="D738" s="919"/>
      <c r="E738" s="919"/>
      <c r="F738" s="920"/>
    </row>
    <row r="739" spans="4:6" x14ac:dyDescent="0.2">
      <c r="D739" s="919"/>
      <c r="E739" s="919"/>
      <c r="F739" s="920"/>
    </row>
    <row r="740" spans="4:6" x14ac:dyDescent="0.2">
      <c r="D740" s="919"/>
      <c r="E740" s="919"/>
      <c r="F740" s="920"/>
    </row>
    <row r="741" spans="4:6" x14ac:dyDescent="0.2">
      <c r="D741" s="919"/>
      <c r="E741" s="919"/>
      <c r="F741" s="920"/>
    </row>
    <row r="742" spans="4:6" x14ac:dyDescent="0.2">
      <c r="D742" s="919"/>
      <c r="E742" s="919"/>
      <c r="F742" s="920"/>
    </row>
    <row r="743" spans="4:6" x14ac:dyDescent="0.2">
      <c r="D743" s="919"/>
      <c r="E743" s="919"/>
      <c r="F743" s="920"/>
    </row>
    <row r="744" spans="4:6" x14ac:dyDescent="0.2">
      <c r="D744" s="919"/>
      <c r="E744" s="919"/>
      <c r="F744" s="920"/>
    </row>
    <row r="745" spans="4:6" x14ac:dyDescent="0.2">
      <c r="D745" s="919"/>
      <c r="E745" s="919"/>
      <c r="F745" s="920"/>
    </row>
    <row r="746" spans="4:6" x14ac:dyDescent="0.2">
      <c r="D746" s="919"/>
      <c r="E746" s="919"/>
      <c r="F746" s="920"/>
    </row>
    <row r="747" spans="4:6" x14ac:dyDescent="0.2">
      <c r="D747" s="919"/>
      <c r="E747" s="919"/>
      <c r="F747" s="920"/>
    </row>
    <row r="748" spans="4:6" x14ac:dyDescent="0.2">
      <c r="D748" s="919"/>
      <c r="E748" s="919"/>
      <c r="F748" s="920"/>
    </row>
    <row r="749" spans="4:6" x14ac:dyDescent="0.2">
      <c r="D749" s="919"/>
      <c r="E749" s="919"/>
      <c r="F749" s="920"/>
    </row>
    <row r="750" spans="4:6" x14ac:dyDescent="0.2">
      <c r="D750" s="919"/>
      <c r="E750" s="919"/>
      <c r="F750" s="920"/>
    </row>
    <row r="751" spans="4:6" x14ac:dyDescent="0.2">
      <c r="D751" s="919"/>
      <c r="E751" s="919"/>
      <c r="F751" s="920"/>
    </row>
    <row r="752" spans="4:6" x14ac:dyDescent="0.2">
      <c r="D752" s="919"/>
      <c r="E752" s="919"/>
      <c r="F752" s="920"/>
    </row>
    <row r="753" spans="4:6" x14ac:dyDescent="0.2">
      <c r="D753" s="919"/>
      <c r="E753" s="919"/>
      <c r="F753" s="920"/>
    </row>
    <row r="754" spans="4:6" x14ac:dyDescent="0.2">
      <c r="D754" s="919"/>
      <c r="E754" s="919"/>
      <c r="F754" s="920"/>
    </row>
    <row r="755" spans="4:6" x14ac:dyDescent="0.2">
      <c r="D755" s="919"/>
      <c r="E755" s="919"/>
      <c r="F755" s="920"/>
    </row>
    <row r="756" spans="4:6" x14ac:dyDescent="0.2">
      <c r="D756" s="919"/>
      <c r="E756" s="919"/>
      <c r="F756" s="920"/>
    </row>
    <row r="757" spans="4:6" x14ac:dyDescent="0.2">
      <c r="D757" s="919"/>
      <c r="E757" s="919"/>
      <c r="F757" s="920"/>
    </row>
    <row r="758" spans="4:6" x14ac:dyDescent="0.2">
      <c r="D758" s="919"/>
      <c r="E758" s="919"/>
      <c r="F758" s="920"/>
    </row>
    <row r="759" spans="4:6" x14ac:dyDescent="0.2">
      <c r="D759" s="919"/>
      <c r="E759" s="919"/>
      <c r="F759" s="920"/>
    </row>
    <row r="760" spans="4:6" x14ac:dyDescent="0.2">
      <c r="D760" s="919"/>
      <c r="E760" s="919"/>
      <c r="F760" s="920"/>
    </row>
    <row r="761" spans="4:6" x14ac:dyDescent="0.2">
      <c r="D761" s="919"/>
      <c r="E761" s="919"/>
      <c r="F761" s="920"/>
    </row>
    <row r="762" spans="4:6" x14ac:dyDescent="0.2">
      <c r="D762" s="919"/>
      <c r="E762" s="919"/>
      <c r="F762" s="920"/>
    </row>
    <row r="763" spans="4:6" x14ac:dyDescent="0.2">
      <c r="D763" s="919"/>
      <c r="E763" s="919"/>
      <c r="F763" s="920"/>
    </row>
    <row r="764" spans="4:6" x14ac:dyDescent="0.2">
      <c r="D764" s="919"/>
      <c r="E764" s="919"/>
      <c r="F764" s="920"/>
    </row>
    <row r="765" spans="4:6" x14ac:dyDescent="0.2">
      <c r="D765" s="919"/>
      <c r="E765" s="919"/>
      <c r="F765" s="920"/>
    </row>
    <row r="766" spans="4:6" x14ac:dyDescent="0.2">
      <c r="D766" s="919"/>
      <c r="E766" s="919"/>
      <c r="F766" s="920"/>
    </row>
    <row r="767" spans="4:6" x14ac:dyDescent="0.2">
      <c r="D767" s="919"/>
      <c r="E767" s="919"/>
      <c r="F767" s="920"/>
    </row>
    <row r="768" spans="4:6" x14ac:dyDescent="0.2">
      <c r="D768" s="919"/>
      <c r="E768" s="919"/>
      <c r="F768" s="920"/>
    </row>
    <row r="769" spans="4:6" x14ac:dyDescent="0.2">
      <c r="D769" s="919"/>
      <c r="E769" s="919"/>
      <c r="F769" s="920"/>
    </row>
    <row r="770" spans="4:6" x14ac:dyDescent="0.2">
      <c r="D770" s="919"/>
      <c r="E770" s="919"/>
      <c r="F770" s="920"/>
    </row>
    <row r="771" spans="4:6" x14ac:dyDescent="0.2">
      <c r="D771" s="919"/>
      <c r="E771" s="919"/>
      <c r="F771" s="920"/>
    </row>
    <row r="772" spans="4:6" x14ac:dyDescent="0.2">
      <c r="D772" s="919"/>
      <c r="E772" s="919"/>
      <c r="F772" s="920"/>
    </row>
    <row r="773" spans="4:6" x14ac:dyDescent="0.2">
      <c r="D773" s="919"/>
      <c r="E773" s="919"/>
      <c r="F773" s="920"/>
    </row>
    <row r="774" spans="4:6" x14ac:dyDescent="0.2">
      <c r="D774" s="919"/>
      <c r="E774" s="919"/>
      <c r="F774" s="920"/>
    </row>
    <row r="775" spans="4:6" x14ac:dyDescent="0.2">
      <c r="D775" s="919"/>
      <c r="E775" s="919"/>
      <c r="F775" s="920"/>
    </row>
    <row r="776" spans="4:6" x14ac:dyDescent="0.2">
      <c r="D776" s="919"/>
      <c r="E776" s="919"/>
      <c r="F776" s="920"/>
    </row>
    <row r="777" spans="4:6" x14ac:dyDescent="0.2">
      <c r="D777" s="919"/>
      <c r="E777" s="919"/>
      <c r="F777" s="920"/>
    </row>
    <row r="778" spans="4:6" x14ac:dyDescent="0.2">
      <c r="D778" s="919"/>
      <c r="E778" s="919"/>
      <c r="F778" s="920"/>
    </row>
    <row r="779" spans="4:6" x14ac:dyDescent="0.2">
      <c r="D779" s="919"/>
      <c r="E779" s="919"/>
      <c r="F779" s="920"/>
    </row>
    <row r="780" spans="4:6" x14ac:dyDescent="0.2">
      <c r="D780" s="919"/>
      <c r="E780" s="919"/>
      <c r="F780" s="920"/>
    </row>
    <row r="781" spans="4:6" x14ac:dyDescent="0.2">
      <c r="D781" s="919"/>
      <c r="E781" s="919"/>
      <c r="F781" s="920"/>
    </row>
    <row r="782" spans="4:6" x14ac:dyDescent="0.2">
      <c r="D782" s="919"/>
      <c r="E782" s="919"/>
      <c r="F782" s="920"/>
    </row>
    <row r="783" spans="4:6" x14ac:dyDescent="0.2">
      <c r="D783" s="919"/>
      <c r="E783" s="919"/>
      <c r="F783" s="920"/>
    </row>
    <row r="784" spans="4:6" x14ac:dyDescent="0.2">
      <c r="D784" s="919"/>
      <c r="E784" s="919"/>
      <c r="F784" s="920"/>
    </row>
    <row r="785" spans="4:6" x14ac:dyDescent="0.2">
      <c r="D785" s="919"/>
      <c r="E785" s="919"/>
      <c r="F785" s="920"/>
    </row>
    <row r="786" spans="4:6" x14ac:dyDescent="0.2">
      <c r="D786" s="919"/>
      <c r="E786" s="919"/>
      <c r="F786" s="920"/>
    </row>
    <row r="787" spans="4:6" x14ac:dyDescent="0.2">
      <c r="D787" s="919"/>
      <c r="E787" s="919"/>
      <c r="F787" s="920"/>
    </row>
    <row r="788" spans="4:6" x14ac:dyDescent="0.2">
      <c r="D788" s="919"/>
      <c r="E788" s="919"/>
      <c r="F788" s="920"/>
    </row>
    <row r="789" spans="4:6" x14ac:dyDescent="0.2">
      <c r="D789" s="919"/>
      <c r="E789" s="919"/>
      <c r="F789" s="920"/>
    </row>
    <row r="790" spans="4:6" x14ac:dyDescent="0.2">
      <c r="D790" s="919"/>
      <c r="E790" s="919"/>
      <c r="F790" s="920"/>
    </row>
    <row r="791" spans="4:6" x14ac:dyDescent="0.2">
      <c r="D791" s="919"/>
      <c r="E791" s="919"/>
      <c r="F791" s="920"/>
    </row>
    <row r="792" spans="4:6" x14ac:dyDescent="0.2">
      <c r="D792" s="919"/>
      <c r="E792" s="919"/>
      <c r="F792" s="920"/>
    </row>
    <row r="793" spans="4:6" x14ac:dyDescent="0.2">
      <c r="D793" s="919"/>
      <c r="E793" s="919"/>
      <c r="F793" s="920"/>
    </row>
    <row r="794" spans="4:6" x14ac:dyDescent="0.2">
      <c r="D794" s="919"/>
      <c r="E794" s="919"/>
      <c r="F794" s="920"/>
    </row>
    <row r="795" spans="4:6" x14ac:dyDescent="0.2">
      <c r="D795" s="919"/>
      <c r="E795" s="919"/>
      <c r="F795" s="920"/>
    </row>
    <row r="796" spans="4:6" x14ac:dyDescent="0.2">
      <c r="D796" s="919"/>
      <c r="E796" s="919"/>
      <c r="F796" s="920"/>
    </row>
    <row r="797" spans="4:6" x14ac:dyDescent="0.2">
      <c r="D797" s="919"/>
      <c r="E797" s="919"/>
      <c r="F797" s="920"/>
    </row>
    <row r="798" spans="4:6" x14ac:dyDescent="0.2">
      <c r="D798" s="919"/>
      <c r="E798" s="919"/>
      <c r="F798" s="920"/>
    </row>
    <row r="799" spans="4:6" x14ac:dyDescent="0.2">
      <c r="D799" s="919"/>
      <c r="E799" s="919"/>
      <c r="F799" s="920"/>
    </row>
    <row r="800" spans="4:6" x14ac:dyDescent="0.2">
      <c r="D800" s="919"/>
      <c r="E800" s="919"/>
      <c r="F800" s="920"/>
    </row>
    <row r="801" spans="4:6" x14ac:dyDescent="0.2">
      <c r="D801" s="919"/>
      <c r="E801" s="919"/>
      <c r="F801" s="920"/>
    </row>
    <row r="802" spans="4:6" x14ac:dyDescent="0.2">
      <c r="D802" s="919"/>
      <c r="E802" s="919"/>
      <c r="F802" s="920"/>
    </row>
    <row r="803" spans="4:6" x14ac:dyDescent="0.2">
      <c r="D803" s="919"/>
      <c r="E803" s="919"/>
      <c r="F803" s="920"/>
    </row>
    <row r="804" spans="4:6" x14ac:dyDescent="0.2">
      <c r="D804" s="919"/>
      <c r="E804" s="919"/>
      <c r="F804" s="920"/>
    </row>
    <row r="805" spans="4:6" x14ac:dyDescent="0.2">
      <c r="D805" s="919"/>
      <c r="E805" s="919"/>
      <c r="F805" s="920"/>
    </row>
    <row r="806" spans="4:6" x14ac:dyDescent="0.2">
      <c r="D806" s="919"/>
      <c r="E806" s="919"/>
      <c r="F806" s="920"/>
    </row>
    <row r="807" spans="4:6" x14ac:dyDescent="0.2">
      <c r="D807" s="919"/>
      <c r="E807" s="919"/>
      <c r="F807" s="920"/>
    </row>
    <row r="808" spans="4:6" x14ac:dyDescent="0.2">
      <c r="D808" s="919"/>
      <c r="E808" s="919"/>
      <c r="F808" s="920"/>
    </row>
    <row r="809" spans="4:6" x14ac:dyDescent="0.2">
      <c r="D809" s="919"/>
      <c r="E809" s="919"/>
      <c r="F809" s="920"/>
    </row>
    <row r="810" spans="4:6" x14ac:dyDescent="0.2">
      <c r="D810" s="919"/>
      <c r="E810" s="919"/>
      <c r="F810" s="920"/>
    </row>
    <row r="811" spans="4:6" x14ac:dyDescent="0.2">
      <c r="D811" s="919"/>
      <c r="E811" s="919"/>
      <c r="F811" s="920"/>
    </row>
    <row r="812" spans="4:6" x14ac:dyDescent="0.2">
      <c r="D812" s="919"/>
      <c r="E812" s="919"/>
      <c r="F812" s="920"/>
    </row>
    <row r="813" spans="4:6" x14ac:dyDescent="0.2">
      <c r="D813" s="919"/>
      <c r="E813" s="919"/>
      <c r="F813" s="920"/>
    </row>
    <row r="814" spans="4:6" x14ac:dyDescent="0.2">
      <c r="D814" s="919"/>
      <c r="E814" s="919"/>
      <c r="F814" s="920"/>
    </row>
    <row r="815" spans="4:6" x14ac:dyDescent="0.2">
      <c r="D815" s="919"/>
      <c r="E815" s="919"/>
      <c r="F815" s="920"/>
    </row>
    <row r="816" spans="4:6" x14ac:dyDescent="0.2">
      <c r="D816" s="919"/>
      <c r="E816" s="919"/>
      <c r="F816" s="920"/>
    </row>
    <row r="817" spans="4:6" x14ac:dyDescent="0.2">
      <c r="D817" s="919"/>
      <c r="E817" s="919"/>
      <c r="F817" s="920"/>
    </row>
    <row r="818" spans="4:6" x14ac:dyDescent="0.2">
      <c r="D818" s="919"/>
      <c r="E818" s="919"/>
      <c r="F818" s="920"/>
    </row>
    <row r="819" spans="4:6" x14ac:dyDescent="0.2">
      <c r="D819" s="919"/>
      <c r="E819" s="919"/>
      <c r="F819" s="920"/>
    </row>
    <row r="820" spans="4:6" x14ac:dyDescent="0.2">
      <c r="D820" s="919"/>
      <c r="E820" s="919"/>
      <c r="F820" s="920"/>
    </row>
    <row r="821" spans="4:6" x14ac:dyDescent="0.2">
      <c r="D821" s="919"/>
      <c r="E821" s="919"/>
      <c r="F821" s="920"/>
    </row>
    <row r="822" spans="4:6" x14ac:dyDescent="0.2">
      <c r="D822" s="919"/>
      <c r="E822" s="919"/>
      <c r="F822" s="920"/>
    </row>
    <row r="823" spans="4:6" x14ac:dyDescent="0.2">
      <c r="D823" s="919"/>
      <c r="E823" s="919"/>
      <c r="F823" s="920"/>
    </row>
    <row r="824" spans="4:6" x14ac:dyDescent="0.2">
      <c r="D824" s="919"/>
      <c r="E824" s="919"/>
      <c r="F824" s="920"/>
    </row>
    <row r="825" spans="4:6" x14ac:dyDescent="0.2">
      <c r="D825" s="919"/>
      <c r="E825" s="919"/>
      <c r="F825" s="920"/>
    </row>
    <row r="826" spans="4:6" x14ac:dyDescent="0.2">
      <c r="D826" s="919"/>
      <c r="E826" s="919"/>
      <c r="F826" s="920"/>
    </row>
    <row r="827" spans="4:6" x14ac:dyDescent="0.2">
      <c r="D827" s="919"/>
      <c r="E827" s="919"/>
      <c r="F827" s="920"/>
    </row>
    <row r="828" spans="4:6" x14ac:dyDescent="0.2">
      <c r="D828" s="919"/>
      <c r="E828" s="919"/>
      <c r="F828" s="920"/>
    </row>
    <row r="829" spans="4:6" x14ac:dyDescent="0.2">
      <c r="D829" s="919"/>
      <c r="E829" s="919"/>
      <c r="F829" s="920"/>
    </row>
    <row r="830" spans="4:6" x14ac:dyDescent="0.2">
      <c r="D830" s="919"/>
      <c r="E830" s="919"/>
      <c r="F830" s="920"/>
    </row>
    <row r="831" spans="4:6" x14ac:dyDescent="0.2">
      <c r="D831" s="919"/>
      <c r="E831" s="919"/>
      <c r="F831" s="920"/>
    </row>
    <row r="832" spans="4:6" x14ac:dyDescent="0.2">
      <c r="D832" s="919"/>
      <c r="E832" s="919"/>
      <c r="F832" s="920"/>
    </row>
    <row r="833" spans="4:6" x14ac:dyDescent="0.2">
      <c r="D833" s="919"/>
      <c r="E833" s="919"/>
      <c r="F833" s="920"/>
    </row>
    <row r="834" spans="4:6" x14ac:dyDescent="0.2">
      <c r="D834" s="919"/>
      <c r="E834" s="919"/>
      <c r="F834" s="920"/>
    </row>
    <row r="835" spans="4:6" x14ac:dyDescent="0.2">
      <c r="D835" s="919"/>
      <c r="E835" s="919"/>
      <c r="F835" s="920"/>
    </row>
    <row r="836" spans="4:6" x14ac:dyDescent="0.2">
      <c r="D836" s="919"/>
      <c r="E836" s="919"/>
      <c r="F836" s="920"/>
    </row>
    <row r="837" spans="4:6" x14ac:dyDescent="0.2">
      <c r="D837" s="919"/>
      <c r="E837" s="919"/>
      <c r="F837" s="920"/>
    </row>
    <row r="838" spans="4:6" x14ac:dyDescent="0.2">
      <c r="D838" s="919"/>
      <c r="E838" s="919"/>
      <c r="F838" s="920"/>
    </row>
    <row r="839" spans="4:6" x14ac:dyDescent="0.2">
      <c r="D839" s="919"/>
      <c r="E839" s="919"/>
      <c r="F839" s="920"/>
    </row>
    <row r="840" spans="4:6" x14ac:dyDescent="0.2">
      <c r="D840" s="919"/>
      <c r="E840" s="919"/>
      <c r="F840" s="920"/>
    </row>
    <row r="841" spans="4:6" x14ac:dyDescent="0.2">
      <c r="D841" s="919"/>
      <c r="E841" s="919"/>
      <c r="F841" s="920"/>
    </row>
    <row r="842" spans="4:6" x14ac:dyDescent="0.2">
      <c r="D842" s="919"/>
      <c r="E842" s="919"/>
      <c r="F842" s="920"/>
    </row>
    <row r="843" spans="4:6" x14ac:dyDescent="0.2">
      <c r="D843" s="919"/>
      <c r="E843" s="919"/>
      <c r="F843" s="920"/>
    </row>
    <row r="844" spans="4:6" x14ac:dyDescent="0.2">
      <c r="D844" s="919"/>
      <c r="E844" s="919"/>
      <c r="F844" s="920"/>
    </row>
    <row r="845" spans="4:6" x14ac:dyDescent="0.2">
      <c r="D845" s="919"/>
      <c r="E845" s="919"/>
      <c r="F845" s="920"/>
    </row>
    <row r="846" spans="4:6" x14ac:dyDescent="0.2">
      <c r="D846" s="919"/>
      <c r="E846" s="919"/>
      <c r="F846" s="920"/>
    </row>
    <row r="847" spans="4:6" x14ac:dyDescent="0.2">
      <c r="D847" s="919"/>
      <c r="E847" s="919"/>
      <c r="F847" s="920"/>
    </row>
    <row r="848" spans="4:6" x14ac:dyDescent="0.2">
      <c r="D848" s="919"/>
      <c r="E848" s="919"/>
      <c r="F848" s="920"/>
    </row>
    <row r="849" spans="4:6" x14ac:dyDescent="0.2">
      <c r="D849" s="919"/>
      <c r="E849" s="919"/>
      <c r="F849" s="920"/>
    </row>
    <row r="850" spans="4:6" x14ac:dyDescent="0.2">
      <c r="D850" s="919"/>
      <c r="E850" s="919"/>
      <c r="F850" s="920"/>
    </row>
    <row r="851" spans="4:6" x14ac:dyDescent="0.2">
      <c r="D851" s="919"/>
      <c r="E851" s="919"/>
      <c r="F851" s="920"/>
    </row>
    <row r="852" spans="4:6" x14ac:dyDescent="0.2">
      <c r="D852" s="919"/>
      <c r="E852" s="919"/>
      <c r="F852" s="920"/>
    </row>
    <row r="853" spans="4:6" x14ac:dyDescent="0.2">
      <c r="D853" s="919"/>
      <c r="E853" s="919"/>
      <c r="F853" s="920"/>
    </row>
    <row r="854" spans="4:6" x14ac:dyDescent="0.2">
      <c r="D854" s="919"/>
      <c r="E854" s="919"/>
      <c r="F854" s="920"/>
    </row>
    <row r="855" spans="4:6" x14ac:dyDescent="0.2">
      <c r="D855" s="919"/>
      <c r="E855" s="919"/>
      <c r="F855" s="920"/>
    </row>
    <row r="856" spans="4:6" x14ac:dyDescent="0.2">
      <c r="D856" s="919"/>
      <c r="E856" s="919"/>
      <c r="F856" s="920"/>
    </row>
    <row r="857" spans="4:6" x14ac:dyDescent="0.2">
      <c r="D857" s="919"/>
      <c r="E857" s="919"/>
      <c r="F857" s="920"/>
    </row>
    <row r="858" spans="4:6" x14ac:dyDescent="0.2">
      <c r="D858" s="919"/>
      <c r="E858" s="919"/>
      <c r="F858" s="920"/>
    </row>
    <row r="859" spans="4:6" x14ac:dyDescent="0.2">
      <c r="D859" s="919"/>
      <c r="E859" s="919"/>
      <c r="F859" s="920"/>
    </row>
    <row r="860" spans="4:6" x14ac:dyDescent="0.2">
      <c r="D860" s="919"/>
      <c r="E860" s="919"/>
      <c r="F860" s="920"/>
    </row>
    <row r="861" spans="4:6" x14ac:dyDescent="0.2">
      <c r="D861" s="919"/>
      <c r="E861" s="919"/>
      <c r="F861" s="920"/>
    </row>
    <row r="862" spans="4:6" x14ac:dyDescent="0.2">
      <c r="D862" s="919"/>
      <c r="E862" s="919"/>
      <c r="F862" s="920"/>
    </row>
    <row r="863" spans="4:6" x14ac:dyDescent="0.2">
      <c r="D863" s="919"/>
      <c r="E863" s="919"/>
      <c r="F863" s="920"/>
    </row>
    <row r="864" spans="4:6" x14ac:dyDescent="0.2">
      <c r="D864" s="919"/>
      <c r="E864" s="919"/>
      <c r="F864" s="920"/>
    </row>
    <row r="865" spans="4:6" x14ac:dyDescent="0.2">
      <c r="D865" s="919"/>
      <c r="E865" s="919"/>
      <c r="F865" s="920"/>
    </row>
    <row r="866" spans="4:6" x14ac:dyDescent="0.2">
      <c r="D866" s="919"/>
      <c r="E866" s="919"/>
      <c r="F866" s="920"/>
    </row>
    <row r="867" spans="4:6" x14ac:dyDescent="0.2">
      <c r="D867" s="919"/>
      <c r="E867" s="919"/>
      <c r="F867" s="920"/>
    </row>
    <row r="868" spans="4:6" x14ac:dyDescent="0.2">
      <c r="D868" s="919"/>
      <c r="E868" s="919"/>
      <c r="F868" s="920"/>
    </row>
    <row r="869" spans="4:6" x14ac:dyDescent="0.2">
      <c r="D869" s="919"/>
      <c r="E869" s="919"/>
      <c r="F869" s="920"/>
    </row>
    <row r="870" spans="4:6" x14ac:dyDescent="0.2">
      <c r="D870" s="919"/>
      <c r="E870" s="919"/>
      <c r="F870" s="920"/>
    </row>
    <row r="871" spans="4:6" x14ac:dyDescent="0.2">
      <c r="D871" s="919"/>
      <c r="E871" s="919"/>
      <c r="F871" s="920"/>
    </row>
    <row r="872" spans="4:6" x14ac:dyDescent="0.2">
      <c r="D872" s="919"/>
      <c r="E872" s="919"/>
      <c r="F872" s="920"/>
    </row>
    <row r="873" spans="4:6" x14ac:dyDescent="0.2">
      <c r="D873" s="919"/>
      <c r="E873" s="919"/>
      <c r="F873" s="920"/>
    </row>
    <row r="874" spans="4:6" x14ac:dyDescent="0.2">
      <c r="D874" s="919"/>
      <c r="E874" s="919"/>
      <c r="F874" s="920"/>
    </row>
    <row r="875" spans="4:6" x14ac:dyDescent="0.2">
      <c r="D875" s="919"/>
      <c r="E875" s="919"/>
      <c r="F875" s="920"/>
    </row>
    <row r="876" spans="4:6" x14ac:dyDescent="0.2">
      <c r="D876" s="919"/>
      <c r="E876" s="919"/>
      <c r="F876" s="920"/>
    </row>
    <row r="877" spans="4:6" x14ac:dyDescent="0.2">
      <c r="D877" s="919"/>
      <c r="E877" s="919"/>
      <c r="F877" s="920"/>
    </row>
    <row r="878" spans="4:6" x14ac:dyDescent="0.2">
      <c r="D878" s="919"/>
      <c r="E878" s="919"/>
      <c r="F878" s="920"/>
    </row>
    <row r="879" spans="4:6" x14ac:dyDescent="0.2">
      <c r="D879" s="919"/>
      <c r="E879" s="919"/>
      <c r="F879" s="920"/>
    </row>
    <row r="880" spans="4:6" x14ac:dyDescent="0.2">
      <c r="D880" s="919"/>
      <c r="E880" s="919"/>
      <c r="F880" s="920"/>
    </row>
    <row r="881" spans="4:6" x14ac:dyDescent="0.2">
      <c r="D881" s="919"/>
      <c r="E881" s="919"/>
      <c r="F881" s="920"/>
    </row>
    <row r="882" spans="4:6" x14ac:dyDescent="0.2">
      <c r="D882" s="919"/>
      <c r="E882" s="919"/>
      <c r="F882" s="920"/>
    </row>
    <row r="883" spans="4:6" x14ac:dyDescent="0.2">
      <c r="D883" s="919"/>
      <c r="E883" s="919"/>
      <c r="F883" s="920"/>
    </row>
    <row r="884" spans="4:6" x14ac:dyDescent="0.2">
      <c r="D884" s="919"/>
      <c r="E884" s="919"/>
      <c r="F884" s="920"/>
    </row>
    <row r="885" spans="4:6" x14ac:dyDescent="0.2">
      <c r="D885" s="919"/>
      <c r="E885" s="919"/>
      <c r="F885" s="920"/>
    </row>
    <row r="886" spans="4:6" x14ac:dyDescent="0.2">
      <c r="D886" s="919"/>
      <c r="E886" s="919"/>
      <c r="F886" s="920"/>
    </row>
    <row r="887" spans="4:6" x14ac:dyDescent="0.2">
      <c r="D887" s="919"/>
      <c r="E887" s="919"/>
      <c r="F887" s="920"/>
    </row>
    <row r="888" spans="4:6" x14ac:dyDescent="0.2">
      <c r="D888" s="919"/>
      <c r="E888" s="919"/>
      <c r="F888" s="920"/>
    </row>
    <row r="889" spans="4:6" x14ac:dyDescent="0.2">
      <c r="D889" s="919"/>
      <c r="E889" s="919"/>
      <c r="F889" s="920"/>
    </row>
    <row r="890" spans="4:6" x14ac:dyDescent="0.2">
      <c r="D890" s="919"/>
      <c r="E890" s="919"/>
      <c r="F890" s="920"/>
    </row>
    <row r="891" spans="4:6" x14ac:dyDescent="0.2">
      <c r="D891" s="919"/>
      <c r="E891" s="919"/>
      <c r="F891" s="920"/>
    </row>
    <row r="892" spans="4:6" x14ac:dyDescent="0.2">
      <c r="D892" s="919"/>
      <c r="E892" s="919"/>
      <c r="F892" s="920"/>
    </row>
    <row r="893" spans="4:6" x14ac:dyDescent="0.2">
      <c r="D893" s="919"/>
      <c r="E893" s="919"/>
      <c r="F893" s="920"/>
    </row>
    <row r="894" spans="4:6" x14ac:dyDescent="0.2">
      <c r="D894" s="919"/>
      <c r="E894" s="919"/>
      <c r="F894" s="920"/>
    </row>
    <row r="895" spans="4:6" x14ac:dyDescent="0.2">
      <c r="D895" s="919"/>
      <c r="E895" s="919"/>
      <c r="F895" s="920"/>
    </row>
    <row r="896" spans="4:6" x14ac:dyDescent="0.2">
      <c r="D896" s="919"/>
      <c r="E896" s="919"/>
      <c r="F896" s="920"/>
    </row>
    <row r="897" spans="4:6" x14ac:dyDescent="0.2">
      <c r="D897" s="919"/>
      <c r="E897" s="919"/>
      <c r="F897" s="920"/>
    </row>
    <row r="898" spans="4:6" x14ac:dyDescent="0.2">
      <c r="D898" s="919"/>
      <c r="E898" s="919"/>
      <c r="F898" s="920"/>
    </row>
    <row r="899" spans="4:6" x14ac:dyDescent="0.2">
      <c r="D899" s="919"/>
      <c r="E899" s="919"/>
      <c r="F899" s="920"/>
    </row>
    <row r="900" spans="4:6" x14ac:dyDescent="0.2">
      <c r="D900" s="919"/>
      <c r="E900" s="919"/>
      <c r="F900" s="920"/>
    </row>
    <row r="901" spans="4:6" x14ac:dyDescent="0.2">
      <c r="D901" s="919"/>
      <c r="E901" s="919"/>
      <c r="F901" s="920"/>
    </row>
    <row r="902" spans="4:6" x14ac:dyDescent="0.2">
      <c r="D902" s="919"/>
      <c r="E902" s="919"/>
      <c r="F902" s="920"/>
    </row>
    <row r="903" spans="4:6" x14ac:dyDescent="0.2">
      <c r="D903" s="919"/>
      <c r="E903" s="919"/>
      <c r="F903" s="920"/>
    </row>
    <row r="904" spans="4:6" x14ac:dyDescent="0.2">
      <c r="D904" s="919"/>
      <c r="E904" s="919"/>
      <c r="F904" s="920"/>
    </row>
    <row r="905" spans="4:6" x14ac:dyDescent="0.2">
      <c r="D905" s="919"/>
      <c r="E905" s="919"/>
      <c r="F905" s="920"/>
    </row>
    <row r="906" spans="4:6" x14ac:dyDescent="0.2">
      <c r="D906" s="919"/>
      <c r="E906" s="919"/>
      <c r="F906" s="920"/>
    </row>
    <row r="907" spans="4:6" x14ac:dyDescent="0.2">
      <c r="D907" s="919"/>
      <c r="E907" s="919"/>
      <c r="F907" s="920"/>
    </row>
    <row r="908" spans="4:6" x14ac:dyDescent="0.2">
      <c r="D908" s="919"/>
      <c r="E908" s="919"/>
      <c r="F908" s="920"/>
    </row>
    <row r="909" spans="4:6" x14ac:dyDescent="0.2">
      <c r="D909" s="919"/>
      <c r="E909" s="919"/>
      <c r="F909" s="920"/>
    </row>
    <row r="910" spans="4:6" x14ac:dyDescent="0.2">
      <c r="D910" s="919"/>
      <c r="E910" s="919"/>
      <c r="F910" s="920"/>
    </row>
    <row r="911" spans="4:6" x14ac:dyDescent="0.2">
      <c r="D911" s="919"/>
      <c r="E911" s="919"/>
      <c r="F911" s="920"/>
    </row>
    <row r="912" spans="4:6" x14ac:dyDescent="0.2">
      <c r="D912" s="919"/>
      <c r="E912" s="919"/>
      <c r="F912" s="920"/>
    </row>
    <row r="913" spans="4:6" x14ac:dyDescent="0.2">
      <c r="D913" s="919"/>
      <c r="E913" s="919"/>
      <c r="F913" s="920"/>
    </row>
    <row r="914" spans="4:6" x14ac:dyDescent="0.2">
      <c r="D914" s="919"/>
      <c r="E914" s="919"/>
      <c r="F914" s="920"/>
    </row>
    <row r="915" spans="4:6" x14ac:dyDescent="0.2">
      <c r="D915" s="919"/>
      <c r="E915" s="919"/>
      <c r="F915" s="920"/>
    </row>
    <row r="916" spans="4:6" x14ac:dyDescent="0.2">
      <c r="D916" s="919"/>
      <c r="E916" s="919"/>
      <c r="F916" s="920"/>
    </row>
    <row r="917" spans="4:6" x14ac:dyDescent="0.2">
      <c r="D917" s="919"/>
      <c r="E917" s="919"/>
      <c r="F917" s="920"/>
    </row>
    <row r="918" spans="4:6" x14ac:dyDescent="0.2">
      <c r="D918" s="919"/>
      <c r="E918" s="919"/>
      <c r="F918" s="920"/>
    </row>
    <row r="919" spans="4:6" x14ac:dyDescent="0.2">
      <c r="D919" s="919"/>
      <c r="E919" s="919"/>
      <c r="F919" s="920"/>
    </row>
    <row r="920" spans="4:6" x14ac:dyDescent="0.2">
      <c r="D920" s="919"/>
      <c r="E920" s="919"/>
      <c r="F920" s="920"/>
    </row>
    <row r="921" spans="4:6" x14ac:dyDescent="0.2">
      <c r="D921" s="919"/>
      <c r="E921" s="919"/>
      <c r="F921" s="920"/>
    </row>
    <row r="922" spans="4:6" x14ac:dyDescent="0.2">
      <c r="D922" s="919"/>
      <c r="E922" s="919"/>
      <c r="F922" s="920"/>
    </row>
    <row r="923" spans="4:6" x14ac:dyDescent="0.2">
      <c r="D923" s="919"/>
      <c r="E923" s="919"/>
      <c r="F923" s="920"/>
    </row>
    <row r="924" spans="4:6" x14ac:dyDescent="0.2">
      <c r="D924" s="919"/>
      <c r="E924" s="919"/>
      <c r="F924" s="920"/>
    </row>
    <row r="925" spans="4:6" x14ac:dyDescent="0.2">
      <c r="D925" s="919"/>
      <c r="E925" s="919"/>
      <c r="F925" s="920"/>
    </row>
    <row r="926" spans="4:6" x14ac:dyDescent="0.2">
      <c r="D926" s="919"/>
      <c r="E926" s="919"/>
      <c r="F926" s="920"/>
    </row>
    <row r="927" spans="4:6" x14ac:dyDescent="0.2">
      <c r="D927" s="919"/>
      <c r="E927" s="919"/>
      <c r="F927" s="920"/>
    </row>
    <row r="928" spans="4:6" x14ac:dyDescent="0.2">
      <c r="D928" s="919"/>
      <c r="E928" s="919"/>
      <c r="F928" s="920"/>
    </row>
    <row r="929" spans="4:6" x14ac:dyDescent="0.2">
      <c r="D929" s="919"/>
      <c r="E929" s="919"/>
      <c r="F929" s="920"/>
    </row>
    <row r="930" spans="4:6" x14ac:dyDescent="0.2">
      <c r="D930" s="919"/>
      <c r="E930" s="919"/>
      <c r="F930" s="920"/>
    </row>
    <row r="931" spans="4:6" x14ac:dyDescent="0.2">
      <c r="D931" s="919"/>
      <c r="E931" s="919"/>
      <c r="F931" s="920"/>
    </row>
    <row r="932" spans="4:6" x14ac:dyDescent="0.2">
      <c r="D932" s="919"/>
      <c r="E932" s="919"/>
      <c r="F932" s="920"/>
    </row>
    <row r="933" spans="4:6" x14ac:dyDescent="0.2">
      <c r="D933" s="919"/>
      <c r="E933" s="919"/>
      <c r="F933" s="920"/>
    </row>
    <row r="934" spans="4:6" x14ac:dyDescent="0.2">
      <c r="D934" s="919"/>
      <c r="E934" s="919"/>
      <c r="F934" s="920"/>
    </row>
    <row r="935" spans="4:6" x14ac:dyDescent="0.2">
      <c r="D935" s="919"/>
      <c r="E935" s="919"/>
      <c r="F935" s="920"/>
    </row>
    <row r="936" spans="4:6" x14ac:dyDescent="0.2">
      <c r="D936" s="919"/>
      <c r="E936" s="919"/>
      <c r="F936" s="920"/>
    </row>
    <row r="937" spans="4:6" x14ac:dyDescent="0.2">
      <c r="D937" s="919"/>
      <c r="E937" s="919"/>
      <c r="F937" s="920"/>
    </row>
    <row r="938" spans="4:6" x14ac:dyDescent="0.2">
      <c r="D938" s="919"/>
      <c r="E938" s="919"/>
      <c r="F938" s="920"/>
    </row>
    <row r="939" spans="4:6" x14ac:dyDescent="0.2">
      <c r="D939" s="919"/>
      <c r="E939" s="919"/>
      <c r="F939" s="920"/>
    </row>
    <row r="940" spans="4:6" x14ac:dyDescent="0.2">
      <c r="D940" s="919"/>
      <c r="E940" s="919"/>
      <c r="F940" s="920"/>
    </row>
    <row r="941" spans="4:6" x14ac:dyDescent="0.2">
      <c r="D941" s="919"/>
      <c r="E941" s="919"/>
      <c r="F941" s="920"/>
    </row>
    <row r="942" spans="4:6" x14ac:dyDescent="0.2">
      <c r="D942" s="919"/>
      <c r="E942" s="919"/>
      <c r="F942" s="920"/>
    </row>
    <row r="943" spans="4:6" x14ac:dyDescent="0.2">
      <c r="D943" s="919"/>
      <c r="E943" s="919"/>
      <c r="F943" s="920"/>
    </row>
    <row r="944" spans="4:6" x14ac:dyDescent="0.2">
      <c r="D944" s="919"/>
      <c r="E944" s="919"/>
      <c r="F944" s="920"/>
    </row>
    <row r="945" spans="4:6" x14ac:dyDescent="0.2">
      <c r="D945" s="919"/>
      <c r="E945" s="919"/>
      <c r="F945" s="920"/>
    </row>
    <row r="946" spans="4:6" x14ac:dyDescent="0.2">
      <c r="D946" s="919"/>
      <c r="E946" s="919"/>
      <c r="F946" s="920"/>
    </row>
    <row r="947" spans="4:6" x14ac:dyDescent="0.2">
      <c r="D947" s="919"/>
      <c r="E947" s="919"/>
      <c r="F947" s="920"/>
    </row>
    <row r="948" spans="4:6" x14ac:dyDescent="0.2">
      <c r="D948" s="919"/>
      <c r="E948" s="919"/>
      <c r="F948" s="920"/>
    </row>
    <row r="949" spans="4:6" x14ac:dyDescent="0.2">
      <c r="D949" s="919"/>
      <c r="E949" s="919"/>
      <c r="F949" s="920"/>
    </row>
    <row r="950" spans="4:6" x14ac:dyDescent="0.2">
      <c r="D950" s="919"/>
      <c r="E950" s="919"/>
      <c r="F950" s="920"/>
    </row>
    <row r="951" spans="4:6" x14ac:dyDescent="0.2">
      <c r="D951" s="919"/>
      <c r="E951" s="919"/>
      <c r="F951" s="920"/>
    </row>
    <row r="952" spans="4:6" x14ac:dyDescent="0.2">
      <c r="D952" s="919"/>
      <c r="E952" s="919"/>
      <c r="F952" s="920"/>
    </row>
    <row r="953" spans="4:6" x14ac:dyDescent="0.2">
      <c r="D953" s="919"/>
      <c r="E953" s="919"/>
      <c r="F953" s="920"/>
    </row>
    <row r="954" spans="4:6" x14ac:dyDescent="0.2">
      <c r="D954" s="919"/>
      <c r="E954" s="919"/>
      <c r="F954" s="920"/>
    </row>
    <row r="955" spans="4:6" x14ac:dyDescent="0.2">
      <c r="D955" s="919"/>
      <c r="E955" s="919"/>
      <c r="F955" s="920"/>
    </row>
    <row r="956" spans="4:6" x14ac:dyDescent="0.2">
      <c r="D956" s="919"/>
      <c r="E956" s="919"/>
      <c r="F956" s="920"/>
    </row>
    <row r="957" spans="4:6" x14ac:dyDescent="0.2">
      <c r="D957" s="919"/>
      <c r="E957" s="919"/>
      <c r="F957" s="920"/>
    </row>
    <row r="958" spans="4:6" x14ac:dyDescent="0.2">
      <c r="D958" s="919"/>
      <c r="E958" s="919"/>
      <c r="F958" s="920"/>
    </row>
    <row r="959" spans="4:6" x14ac:dyDescent="0.2">
      <c r="D959" s="919"/>
      <c r="E959" s="919"/>
      <c r="F959" s="920"/>
    </row>
    <row r="960" spans="4:6" x14ac:dyDescent="0.2">
      <c r="D960" s="919"/>
      <c r="E960" s="919"/>
      <c r="F960" s="920"/>
    </row>
    <row r="961" spans="4:6" x14ac:dyDescent="0.2">
      <c r="D961" s="919"/>
      <c r="E961" s="919"/>
      <c r="F961" s="920"/>
    </row>
    <row r="962" spans="4:6" x14ac:dyDescent="0.2">
      <c r="D962" s="919"/>
      <c r="E962" s="919"/>
      <c r="F962" s="920"/>
    </row>
    <row r="963" spans="4:6" x14ac:dyDescent="0.2">
      <c r="D963" s="919"/>
      <c r="E963" s="919"/>
      <c r="F963" s="920"/>
    </row>
    <row r="964" spans="4:6" x14ac:dyDescent="0.2">
      <c r="D964" s="919"/>
      <c r="E964" s="919"/>
      <c r="F964" s="920"/>
    </row>
    <row r="965" spans="4:6" x14ac:dyDescent="0.2">
      <c r="D965" s="919"/>
      <c r="E965" s="919"/>
      <c r="F965" s="920"/>
    </row>
    <row r="966" spans="4:6" x14ac:dyDescent="0.2">
      <c r="D966" s="919"/>
      <c r="E966" s="919"/>
      <c r="F966" s="920"/>
    </row>
    <row r="967" spans="4:6" x14ac:dyDescent="0.2">
      <c r="D967" s="919"/>
      <c r="E967" s="919"/>
      <c r="F967" s="920"/>
    </row>
    <row r="968" spans="4:6" x14ac:dyDescent="0.2">
      <c r="D968" s="919"/>
      <c r="E968" s="919"/>
      <c r="F968" s="920"/>
    </row>
    <row r="969" spans="4:6" x14ac:dyDescent="0.2">
      <c r="D969" s="919"/>
      <c r="E969" s="919"/>
      <c r="F969" s="920"/>
    </row>
    <row r="970" spans="4:6" x14ac:dyDescent="0.2">
      <c r="D970" s="919"/>
      <c r="E970" s="919"/>
      <c r="F970" s="920"/>
    </row>
    <row r="971" spans="4:6" x14ac:dyDescent="0.2">
      <c r="D971" s="919"/>
      <c r="E971" s="919"/>
      <c r="F971" s="920"/>
    </row>
    <row r="972" spans="4:6" x14ac:dyDescent="0.2">
      <c r="D972" s="919"/>
      <c r="E972" s="919"/>
      <c r="F972" s="920"/>
    </row>
    <row r="973" spans="4:6" x14ac:dyDescent="0.2">
      <c r="D973" s="919"/>
      <c r="E973" s="919"/>
      <c r="F973" s="920"/>
    </row>
    <row r="974" spans="4:6" x14ac:dyDescent="0.2">
      <c r="D974" s="919"/>
      <c r="E974" s="919"/>
      <c r="F974" s="920"/>
    </row>
    <row r="975" spans="4:6" x14ac:dyDescent="0.2">
      <c r="D975" s="919"/>
      <c r="E975" s="919"/>
      <c r="F975" s="920"/>
    </row>
    <row r="976" spans="4:6" x14ac:dyDescent="0.2">
      <c r="D976" s="919"/>
      <c r="E976" s="919"/>
      <c r="F976" s="920"/>
    </row>
    <row r="977" spans="4:6" x14ac:dyDescent="0.2">
      <c r="D977" s="919"/>
      <c r="E977" s="919"/>
      <c r="F977" s="920"/>
    </row>
    <row r="978" spans="4:6" x14ac:dyDescent="0.2">
      <c r="D978" s="919"/>
      <c r="E978" s="919"/>
      <c r="F978" s="920"/>
    </row>
    <row r="979" spans="4:6" x14ac:dyDescent="0.2">
      <c r="D979" s="919"/>
      <c r="E979" s="919"/>
      <c r="F979" s="920"/>
    </row>
    <row r="980" spans="4:6" x14ac:dyDescent="0.2">
      <c r="D980" s="919"/>
      <c r="E980" s="919"/>
      <c r="F980" s="920"/>
    </row>
    <row r="981" spans="4:6" x14ac:dyDescent="0.2">
      <c r="D981" s="919"/>
      <c r="E981" s="919"/>
      <c r="F981" s="920"/>
    </row>
    <row r="982" spans="4:6" x14ac:dyDescent="0.2">
      <c r="D982" s="919"/>
      <c r="E982" s="919"/>
      <c r="F982" s="920"/>
    </row>
    <row r="983" spans="4:6" x14ac:dyDescent="0.2">
      <c r="D983" s="919"/>
      <c r="E983" s="919"/>
      <c r="F983" s="920"/>
    </row>
    <row r="984" spans="4:6" x14ac:dyDescent="0.2">
      <c r="D984" s="919"/>
      <c r="E984" s="919"/>
      <c r="F984" s="920"/>
    </row>
    <row r="985" spans="4:6" x14ac:dyDescent="0.2">
      <c r="D985" s="919"/>
      <c r="E985" s="919"/>
      <c r="F985" s="920"/>
    </row>
    <row r="986" spans="4:6" x14ac:dyDescent="0.2">
      <c r="D986" s="919"/>
      <c r="E986" s="919"/>
      <c r="F986" s="920"/>
    </row>
    <row r="987" spans="4:6" x14ac:dyDescent="0.2">
      <c r="D987" s="919"/>
      <c r="E987" s="919"/>
      <c r="F987" s="920"/>
    </row>
    <row r="988" spans="4:6" x14ac:dyDescent="0.2">
      <c r="D988" s="919"/>
      <c r="E988" s="919"/>
      <c r="F988" s="920"/>
    </row>
    <row r="989" spans="4:6" x14ac:dyDescent="0.2">
      <c r="D989" s="919"/>
      <c r="E989" s="919"/>
      <c r="F989" s="920"/>
    </row>
    <row r="990" spans="4:6" x14ac:dyDescent="0.2">
      <c r="D990" s="919"/>
      <c r="E990" s="919"/>
      <c r="F990" s="920"/>
    </row>
    <row r="991" spans="4:6" x14ac:dyDescent="0.2">
      <c r="D991" s="919"/>
      <c r="E991" s="919"/>
      <c r="F991" s="920"/>
    </row>
    <row r="992" spans="4:6" x14ac:dyDescent="0.2">
      <c r="D992" s="919"/>
      <c r="E992" s="919"/>
      <c r="F992" s="920"/>
    </row>
    <row r="993" spans="4:6" x14ac:dyDescent="0.2">
      <c r="D993" s="919"/>
      <c r="E993" s="919"/>
      <c r="F993" s="920"/>
    </row>
    <row r="994" spans="4:6" x14ac:dyDescent="0.2">
      <c r="D994" s="919"/>
      <c r="E994" s="919"/>
      <c r="F994" s="920"/>
    </row>
    <row r="995" spans="4:6" x14ac:dyDescent="0.2">
      <c r="D995" s="919"/>
      <c r="E995" s="919"/>
      <c r="F995" s="920"/>
    </row>
    <row r="996" spans="4:6" x14ac:dyDescent="0.2">
      <c r="D996" s="919"/>
      <c r="E996" s="919"/>
      <c r="F996" s="920"/>
    </row>
    <row r="997" spans="4:6" x14ac:dyDescent="0.2">
      <c r="D997" s="919"/>
      <c r="E997" s="919"/>
      <c r="F997" s="920"/>
    </row>
    <row r="998" spans="4:6" x14ac:dyDescent="0.2">
      <c r="D998" s="919"/>
      <c r="E998" s="919"/>
      <c r="F998" s="920"/>
    </row>
    <row r="999" spans="4:6" x14ac:dyDescent="0.2">
      <c r="D999" s="919"/>
      <c r="E999" s="919"/>
      <c r="F999" s="920"/>
    </row>
    <row r="1000" spans="4:6" x14ac:dyDescent="0.2">
      <c r="D1000" s="919"/>
      <c r="E1000" s="919"/>
      <c r="F1000" s="920"/>
    </row>
    <row r="1001" spans="4:6" x14ac:dyDescent="0.2">
      <c r="D1001" s="919"/>
      <c r="E1001" s="919"/>
      <c r="F1001" s="920"/>
    </row>
    <row r="1002" spans="4:6" x14ac:dyDescent="0.2">
      <c r="D1002" s="919"/>
      <c r="E1002" s="919"/>
      <c r="F1002" s="920"/>
    </row>
    <row r="1003" spans="4:6" x14ac:dyDescent="0.2">
      <c r="D1003" s="919"/>
      <c r="E1003" s="919"/>
      <c r="F1003" s="920"/>
    </row>
    <row r="1004" spans="4:6" x14ac:dyDescent="0.2">
      <c r="D1004" s="919"/>
      <c r="E1004" s="919"/>
      <c r="F1004" s="920"/>
    </row>
    <row r="1005" spans="4:6" x14ac:dyDescent="0.2">
      <c r="D1005" s="919"/>
      <c r="E1005" s="919"/>
      <c r="F1005" s="920"/>
    </row>
    <row r="1006" spans="4:6" x14ac:dyDescent="0.2">
      <c r="D1006" s="919"/>
      <c r="E1006" s="919"/>
      <c r="F1006" s="920"/>
    </row>
    <row r="1007" spans="4:6" x14ac:dyDescent="0.2">
      <c r="D1007" s="919"/>
      <c r="E1007" s="919"/>
      <c r="F1007" s="920"/>
    </row>
    <row r="1008" spans="4:6" x14ac:dyDescent="0.2">
      <c r="D1008" s="919"/>
      <c r="E1008" s="919"/>
      <c r="F1008" s="920"/>
    </row>
    <row r="1009" spans="4:6" x14ac:dyDescent="0.2">
      <c r="D1009" s="919"/>
      <c r="E1009" s="919"/>
      <c r="F1009" s="920"/>
    </row>
    <row r="1010" spans="4:6" x14ac:dyDescent="0.2">
      <c r="D1010" s="919"/>
      <c r="E1010" s="919"/>
      <c r="F1010" s="920"/>
    </row>
    <row r="1011" spans="4:6" x14ac:dyDescent="0.2">
      <c r="D1011" s="919"/>
      <c r="E1011" s="919"/>
      <c r="F1011" s="920"/>
    </row>
    <row r="1012" spans="4:6" x14ac:dyDescent="0.2">
      <c r="D1012" s="919"/>
      <c r="E1012" s="919"/>
      <c r="F1012" s="920"/>
    </row>
    <row r="1013" spans="4:6" x14ac:dyDescent="0.2">
      <c r="D1013" s="919"/>
      <c r="E1013" s="919"/>
      <c r="F1013" s="920"/>
    </row>
    <row r="1014" spans="4:6" x14ac:dyDescent="0.2">
      <c r="D1014" s="919"/>
      <c r="E1014" s="919"/>
      <c r="F1014" s="920"/>
    </row>
    <row r="1015" spans="4:6" x14ac:dyDescent="0.2">
      <c r="D1015" s="919"/>
      <c r="E1015" s="919"/>
      <c r="F1015" s="920"/>
    </row>
    <row r="1016" spans="4:6" x14ac:dyDescent="0.2">
      <c r="D1016" s="919"/>
      <c r="E1016" s="919"/>
      <c r="F1016" s="920"/>
    </row>
    <row r="1017" spans="4:6" x14ac:dyDescent="0.2">
      <c r="D1017" s="919"/>
      <c r="E1017" s="919"/>
      <c r="F1017" s="920"/>
    </row>
    <row r="1018" spans="4:6" x14ac:dyDescent="0.2">
      <c r="D1018" s="919"/>
      <c r="E1018" s="919"/>
      <c r="F1018" s="920"/>
    </row>
    <row r="1019" spans="4:6" x14ac:dyDescent="0.2">
      <c r="D1019" s="919"/>
      <c r="E1019" s="919"/>
      <c r="F1019" s="920"/>
    </row>
    <row r="1020" spans="4:6" x14ac:dyDescent="0.2">
      <c r="D1020" s="919"/>
      <c r="E1020" s="919"/>
      <c r="F1020" s="920"/>
    </row>
    <row r="1021" spans="4:6" x14ac:dyDescent="0.2">
      <c r="D1021" s="919"/>
      <c r="E1021" s="919"/>
      <c r="F1021" s="920"/>
    </row>
    <row r="1022" spans="4:6" x14ac:dyDescent="0.2">
      <c r="D1022" s="919"/>
      <c r="E1022" s="919"/>
      <c r="F1022" s="920"/>
    </row>
    <row r="1023" spans="4:6" x14ac:dyDescent="0.2">
      <c r="D1023" s="919"/>
      <c r="E1023" s="919"/>
      <c r="F1023" s="920"/>
    </row>
    <row r="1024" spans="4:6" x14ac:dyDescent="0.2">
      <c r="D1024" s="919"/>
      <c r="E1024" s="919"/>
      <c r="F1024" s="920"/>
    </row>
    <row r="1025" spans="4:6" x14ac:dyDescent="0.2">
      <c r="D1025" s="919"/>
      <c r="E1025" s="919"/>
      <c r="F1025" s="920"/>
    </row>
    <row r="1026" spans="4:6" x14ac:dyDescent="0.2">
      <c r="D1026" s="919"/>
      <c r="E1026" s="919"/>
      <c r="F1026" s="920"/>
    </row>
    <row r="1027" spans="4:6" x14ac:dyDescent="0.2">
      <c r="D1027" s="919"/>
      <c r="E1027" s="919"/>
      <c r="F1027" s="920"/>
    </row>
    <row r="1028" spans="4:6" x14ac:dyDescent="0.2">
      <c r="D1028" s="919"/>
      <c r="E1028" s="919"/>
      <c r="F1028" s="920"/>
    </row>
    <row r="1029" spans="4:6" x14ac:dyDescent="0.2">
      <c r="D1029" s="919"/>
      <c r="E1029" s="919"/>
      <c r="F1029" s="920"/>
    </row>
    <row r="1030" spans="4:6" x14ac:dyDescent="0.2">
      <c r="D1030" s="919"/>
      <c r="E1030" s="919"/>
      <c r="F1030" s="920"/>
    </row>
    <row r="1031" spans="4:6" x14ac:dyDescent="0.2">
      <c r="D1031" s="919"/>
      <c r="E1031" s="919"/>
      <c r="F1031" s="920"/>
    </row>
    <row r="1032" spans="4:6" x14ac:dyDescent="0.2">
      <c r="D1032" s="919"/>
      <c r="E1032" s="919"/>
      <c r="F1032" s="920"/>
    </row>
    <row r="1033" spans="4:6" x14ac:dyDescent="0.2">
      <c r="D1033" s="919"/>
      <c r="E1033" s="919"/>
      <c r="F1033" s="920"/>
    </row>
    <row r="1034" spans="4:6" x14ac:dyDescent="0.2">
      <c r="D1034" s="919"/>
      <c r="E1034" s="919"/>
      <c r="F1034" s="920"/>
    </row>
    <row r="1035" spans="4:6" x14ac:dyDescent="0.2">
      <c r="D1035" s="919"/>
      <c r="E1035" s="919"/>
      <c r="F1035" s="920"/>
    </row>
    <row r="1036" spans="4:6" x14ac:dyDescent="0.2">
      <c r="D1036" s="919"/>
      <c r="E1036" s="919"/>
      <c r="F1036" s="920"/>
    </row>
    <row r="1037" spans="4:6" x14ac:dyDescent="0.2">
      <c r="D1037" s="919"/>
      <c r="E1037" s="919"/>
      <c r="F1037" s="920"/>
    </row>
    <row r="1038" spans="4:6" x14ac:dyDescent="0.2">
      <c r="D1038" s="919"/>
      <c r="E1038" s="919"/>
      <c r="F1038" s="920"/>
    </row>
    <row r="1039" spans="4:6" x14ac:dyDescent="0.2">
      <c r="D1039" s="919"/>
      <c r="E1039" s="919"/>
      <c r="F1039" s="920"/>
    </row>
    <row r="1040" spans="4:6" x14ac:dyDescent="0.2">
      <c r="D1040" s="919"/>
      <c r="E1040" s="919"/>
      <c r="F1040" s="920"/>
    </row>
    <row r="1041" spans="4:6" x14ac:dyDescent="0.2">
      <c r="D1041" s="919"/>
      <c r="E1041" s="919"/>
      <c r="F1041" s="920"/>
    </row>
    <row r="1042" spans="4:6" x14ac:dyDescent="0.2">
      <c r="D1042" s="919"/>
      <c r="E1042" s="919"/>
      <c r="F1042" s="920"/>
    </row>
    <row r="1043" spans="4:6" x14ac:dyDescent="0.2">
      <c r="D1043" s="919"/>
      <c r="E1043" s="919"/>
      <c r="F1043" s="920"/>
    </row>
    <row r="1044" spans="4:6" x14ac:dyDescent="0.2">
      <c r="D1044" s="919"/>
      <c r="E1044" s="919"/>
      <c r="F1044" s="920"/>
    </row>
    <row r="1045" spans="4:6" x14ac:dyDescent="0.2">
      <c r="D1045" s="919"/>
      <c r="E1045" s="919"/>
      <c r="F1045" s="920"/>
    </row>
    <row r="1046" spans="4:6" x14ac:dyDescent="0.2">
      <c r="D1046" s="919"/>
      <c r="E1046" s="919"/>
      <c r="F1046" s="920"/>
    </row>
    <row r="1047" spans="4:6" x14ac:dyDescent="0.2">
      <c r="D1047" s="919"/>
      <c r="E1047" s="919"/>
      <c r="F1047" s="920"/>
    </row>
    <row r="1048" spans="4:6" x14ac:dyDescent="0.2">
      <c r="D1048" s="919"/>
      <c r="E1048" s="919"/>
      <c r="F1048" s="920"/>
    </row>
    <row r="1049" spans="4:6" x14ac:dyDescent="0.2">
      <c r="D1049" s="919"/>
      <c r="E1049" s="919"/>
      <c r="F1049" s="920"/>
    </row>
    <row r="1050" spans="4:6" x14ac:dyDescent="0.2">
      <c r="D1050" s="919"/>
      <c r="E1050" s="919"/>
      <c r="F1050" s="920"/>
    </row>
    <row r="1051" spans="4:6" x14ac:dyDescent="0.2">
      <c r="D1051" s="919"/>
      <c r="E1051" s="919"/>
      <c r="F1051" s="920"/>
    </row>
    <row r="1052" spans="4:6" x14ac:dyDescent="0.2">
      <c r="D1052" s="919"/>
      <c r="E1052" s="919"/>
      <c r="F1052" s="920"/>
    </row>
    <row r="1053" spans="4:6" x14ac:dyDescent="0.2">
      <c r="D1053" s="919"/>
      <c r="E1053" s="919"/>
      <c r="F1053" s="920"/>
    </row>
    <row r="1054" spans="4:6" x14ac:dyDescent="0.2">
      <c r="D1054" s="919"/>
      <c r="E1054" s="919"/>
      <c r="F1054" s="920"/>
    </row>
    <row r="1055" spans="4:6" x14ac:dyDescent="0.2">
      <c r="D1055" s="919"/>
      <c r="E1055" s="919"/>
      <c r="F1055" s="920"/>
    </row>
    <row r="1056" spans="4:6" x14ac:dyDescent="0.2">
      <c r="D1056" s="919"/>
      <c r="E1056" s="919"/>
      <c r="F1056" s="920"/>
    </row>
    <row r="1057" spans="4:6" x14ac:dyDescent="0.2">
      <c r="D1057" s="919"/>
      <c r="E1057" s="919"/>
      <c r="F1057" s="920"/>
    </row>
    <row r="1058" spans="4:6" x14ac:dyDescent="0.2">
      <c r="D1058" s="919"/>
      <c r="E1058" s="919"/>
      <c r="F1058" s="920"/>
    </row>
    <row r="1059" spans="4:6" x14ac:dyDescent="0.2">
      <c r="D1059" s="919"/>
      <c r="E1059" s="919"/>
      <c r="F1059" s="920"/>
    </row>
    <row r="1060" spans="4:6" x14ac:dyDescent="0.2">
      <c r="D1060" s="919"/>
      <c r="E1060" s="919"/>
      <c r="F1060" s="920"/>
    </row>
    <row r="1061" spans="4:6" x14ac:dyDescent="0.2">
      <c r="D1061" s="919"/>
      <c r="E1061" s="919"/>
      <c r="F1061" s="920"/>
    </row>
    <row r="1062" spans="4:6" x14ac:dyDescent="0.2">
      <c r="D1062" s="919"/>
      <c r="E1062" s="919"/>
      <c r="F1062" s="920"/>
    </row>
    <row r="1063" spans="4:6" x14ac:dyDescent="0.2">
      <c r="D1063" s="919"/>
      <c r="E1063" s="919"/>
      <c r="F1063" s="920"/>
    </row>
    <row r="1064" spans="4:6" x14ac:dyDescent="0.2">
      <c r="D1064" s="919"/>
      <c r="E1064" s="919"/>
      <c r="F1064" s="920"/>
    </row>
    <row r="1065" spans="4:6" x14ac:dyDescent="0.2">
      <c r="D1065" s="919"/>
      <c r="E1065" s="919"/>
      <c r="F1065" s="920"/>
    </row>
    <row r="1066" spans="4:6" x14ac:dyDescent="0.2">
      <c r="D1066" s="919"/>
      <c r="E1066" s="919"/>
      <c r="F1066" s="920"/>
    </row>
    <row r="1067" spans="4:6" x14ac:dyDescent="0.2">
      <c r="D1067" s="919"/>
      <c r="E1067" s="919"/>
      <c r="F1067" s="920"/>
    </row>
    <row r="1068" spans="4:6" x14ac:dyDescent="0.2">
      <c r="D1068" s="919"/>
      <c r="E1068" s="919"/>
      <c r="F1068" s="920"/>
    </row>
    <row r="1069" spans="4:6" x14ac:dyDescent="0.2">
      <c r="D1069" s="919"/>
      <c r="E1069" s="919"/>
      <c r="F1069" s="920"/>
    </row>
    <row r="1070" spans="4:6" x14ac:dyDescent="0.2">
      <c r="D1070" s="919"/>
      <c r="E1070" s="919"/>
      <c r="F1070" s="920"/>
    </row>
    <row r="1071" spans="4:6" x14ac:dyDescent="0.2">
      <c r="D1071" s="919"/>
      <c r="E1071" s="919"/>
      <c r="F1071" s="920"/>
    </row>
    <row r="1072" spans="4:6" x14ac:dyDescent="0.2">
      <c r="D1072" s="919"/>
      <c r="E1072" s="919"/>
      <c r="F1072" s="920"/>
    </row>
    <row r="1073" spans="4:6" x14ac:dyDescent="0.2">
      <c r="D1073" s="919"/>
      <c r="E1073" s="919"/>
      <c r="F1073" s="920"/>
    </row>
    <row r="1074" spans="4:6" x14ac:dyDescent="0.2">
      <c r="D1074" s="919"/>
      <c r="E1074" s="919"/>
      <c r="F1074" s="920"/>
    </row>
    <row r="1075" spans="4:6" x14ac:dyDescent="0.2">
      <c r="D1075" s="919"/>
      <c r="E1075" s="919"/>
      <c r="F1075" s="920"/>
    </row>
    <row r="1076" spans="4:6" x14ac:dyDescent="0.2">
      <c r="D1076" s="919"/>
      <c r="E1076" s="919"/>
      <c r="F1076" s="920"/>
    </row>
    <row r="1077" spans="4:6" x14ac:dyDescent="0.2">
      <c r="D1077" s="919"/>
      <c r="E1077" s="919"/>
      <c r="F1077" s="920"/>
    </row>
    <row r="1078" spans="4:6" x14ac:dyDescent="0.2">
      <c r="D1078" s="919"/>
      <c r="E1078" s="919"/>
      <c r="F1078" s="920"/>
    </row>
    <row r="1079" spans="4:6" x14ac:dyDescent="0.2">
      <c r="D1079" s="919"/>
      <c r="E1079" s="919"/>
      <c r="F1079" s="920"/>
    </row>
    <row r="1080" spans="4:6" x14ac:dyDescent="0.2">
      <c r="D1080" s="919"/>
      <c r="E1080" s="919"/>
      <c r="F1080" s="920"/>
    </row>
    <row r="1081" spans="4:6" x14ac:dyDescent="0.2">
      <c r="D1081" s="919"/>
      <c r="E1081" s="919"/>
      <c r="F1081" s="920"/>
    </row>
    <row r="1082" spans="4:6" x14ac:dyDescent="0.2">
      <c r="D1082" s="919"/>
      <c r="E1082" s="919"/>
      <c r="F1082" s="920"/>
    </row>
    <row r="1083" spans="4:6" x14ac:dyDescent="0.2">
      <c r="D1083" s="919"/>
      <c r="E1083" s="919"/>
      <c r="F1083" s="920"/>
    </row>
    <row r="1084" spans="4:6" x14ac:dyDescent="0.2">
      <c r="D1084" s="919"/>
      <c r="E1084" s="919"/>
      <c r="F1084" s="920"/>
    </row>
    <row r="1085" spans="4:6" x14ac:dyDescent="0.2">
      <c r="D1085" s="919"/>
      <c r="E1085" s="919"/>
      <c r="F1085" s="920"/>
    </row>
    <row r="1086" spans="4:6" x14ac:dyDescent="0.2">
      <c r="D1086" s="919"/>
      <c r="E1086" s="919"/>
      <c r="F1086" s="920"/>
    </row>
    <row r="1087" spans="4:6" x14ac:dyDescent="0.2">
      <c r="D1087" s="919"/>
      <c r="E1087" s="919"/>
      <c r="F1087" s="920"/>
    </row>
    <row r="1088" spans="4:6" x14ac:dyDescent="0.2">
      <c r="D1088" s="919"/>
      <c r="E1088" s="919"/>
      <c r="F1088" s="920"/>
    </row>
    <row r="1089" spans="4:6" x14ac:dyDescent="0.2">
      <c r="D1089" s="919"/>
      <c r="E1089" s="919"/>
      <c r="F1089" s="920"/>
    </row>
    <row r="1090" spans="4:6" x14ac:dyDescent="0.2">
      <c r="D1090" s="919"/>
      <c r="E1090" s="919"/>
      <c r="F1090" s="920"/>
    </row>
    <row r="1091" spans="4:6" x14ac:dyDescent="0.2">
      <c r="D1091" s="919"/>
      <c r="E1091" s="919"/>
      <c r="F1091" s="920"/>
    </row>
    <row r="1092" spans="4:6" x14ac:dyDescent="0.2">
      <c r="D1092" s="919"/>
      <c r="E1092" s="919"/>
      <c r="F1092" s="920"/>
    </row>
    <row r="1093" spans="4:6" x14ac:dyDescent="0.2">
      <c r="D1093" s="919"/>
      <c r="E1093" s="919"/>
      <c r="F1093" s="920"/>
    </row>
    <row r="1094" spans="4:6" x14ac:dyDescent="0.2">
      <c r="D1094" s="919"/>
      <c r="E1094" s="919"/>
      <c r="F1094" s="920"/>
    </row>
    <row r="1095" spans="4:6" x14ac:dyDescent="0.2">
      <c r="D1095" s="919"/>
      <c r="E1095" s="919"/>
      <c r="F1095" s="920"/>
    </row>
    <row r="1096" spans="4:6" x14ac:dyDescent="0.2">
      <c r="D1096" s="919"/>
      <c r="E1096" s="919"/>
      <c r="F1096" s="920"/>
    </row>
    <row r="1097" spans="4:6" x14ac:dyDescent="0.2">
      <c r="D1097" s="919"/>
      <c r="E1097" s="919"/>
      <c r="F1097" s="920"/>
    </row>
    <row r="1098" spans="4:6" x14ac:dyDescent="0.2">
      <c r="D1098" s="919"/>
      <c r="E1098" s="919"/>
      <c r="F1098" s="920"/>
    </row>
    <row r="1099" spans="4:6" x14ac:dyDescent="0.2">
      <c r="D1099" s="919"/>
      <c r="E1099" s="919"/>
      <c r="F1099" s="920"/>
    </row>
    <row r="1100" spans="4:6" x14ac:dyDescent="0.2">
      <c r="D1100" s="919"/>
      <c r="E1100" s="919"/>
      <c r="F1100" s="920"/>
    </row>
    <row r="1101" spans="4:6" x14ac:dyDescent="0.2">
      <c r="D1101" s="919"/>
      <c r="E1101" s="919"/>
      <c r="F1101" s="920"/>
    </row>
    <row r="1102" spans="4:6" x14ac:dyDescent="0.2">
      <c r="D1102" s="919"/>
      <c r="E1102" s="919"/>
      <c r="F1102" s="920"/>
    </row>
    <row r="1103" spans="4:6" x14ac:dyDescent="0.2">
      <c r="D1103" s="919"/>
      <c r="E1103" s="919"/>
      <c r="F1103" s="920"/>
    </row>
    <row r="1104" spans="4:6" x14ac:dyDescent="0.2">
      <c r="D1104" s="919"/>
      <c r="E1104" s="919"/>
      <c r="F1104" s="920"/>
    </row>
    <row r="1105" spans="4:6" x14ac:dyDescent="0.2">
      <c r="D1105" s="919"/>
      <c r="E1105" s="919"/>
      <c r="F1105" s="920"/>
    </row>
    <row r="1106" spans="4:6" x14ac:dyDescent="0.2">
      <c r="D1106" s="919"/>
      <c r="E1106" s="919"/>
      <c r="F1106" s="920"/>
    </row>
    <row r="1107" spans="4:6" x14ac:dyDescent="0.2">
      <c r="D1107" s="919"/>
      <c r="E1107" s="919"/>
      <c r="F1107" s="920"/>
    </row>
    <row r="1108" spans="4:6" x14ac:dyDescent="0.2">
      <c r="D1108" s="919"/>
      <c r="E1108" s="919"/>
      <c r="F1108" s="920"/>
    </row>
    <row r="1109" spans="4:6" x14ac:dyDescent="0.2">
      <c r="D1109" s="919"/>
      <c r="E1109" s="919"/>
      <c r="F1109" s="920"/>
    </row>
    <row r="1110" spans="4:6" x14ac:dyDescent="0.2">
      <c r="D1110" s="919"/>
      <c r="E1110" s="919"/>
      <c r="F1110" s="920"/>
    </row>
    <row r="1111" spans="4:6" x14ac:dyDescent="0.2">
      <c r="D1111" s="919"/>
      <c r="E1111" s="919"/>
      <c r="F1111" s="920"/>
    </row>
    <row r="1112" spans="4:6" x14ac:dyDescent="0.2">
      <c r="D1112" s="919"/>
      <c r="E1112" s="919"/>
      <c r="F1112" s="920"/>
    </row>
    <row r="1113" spans="4:6" x14ac:dyDescent="0.2">
      <c r="D1113" s="919"/>
      <c r="E1113" s="919"/>
      <c r="F1113" s="920"/>
    </row>
    <row r="1114" spans="4:6" x14ac:dyDescent="0.2">
      <c r="D1114" s="919"/>
      <c r="E1114" s="919"/>
      <c r="F1114" s="920"/>
    </row>
    <row r="1115" spans="4:6" x14ac:dyDescent="0.2">
      <c r="D1115" s="919"/>
      <c r="E1115" s="919"/>
      <c r="F1115" s="920"/>
    </row>
    <row r="1116" spans="4:6" x14ac:dyDescent="0.2">
      <c r="D1116" s="919"/>
      <c r="E1116" s="919"/>
      <c r="F1116" s="920"/>
    </row>
    <row r="1117" spans="4:6" x14ac:dyDescent="0.2">
      <c r="D1117" s="919"/>
      <c r="E1117" s="919"/>
      <c r="F1117" s="920"/>
    </row>
    <row r="1118" spans="4:6" x14ac:dyDescent="0.2">
      <c r="D1118" s="919"/>
      <c r="E1118" s="919"/>
      <c r="F1118" s="920"/>
    </row>
    <row r="1119" spans="4:6" x14ac:dyDescent="0.2">
      <c r="D1119" s="919"/>
      <c r="E1119" s="919"/>
      <c r="F1119" s="920"/>
    </row>
    <row r="1120" spans="4:6" x14ac:dyDescent="0.2">
      <c r="D1120" s="919"/>
      <c r="E1120" s="919"/>
      <c r="F1120" s="920"/>
    </row>
    <row r="1121" spans="4:6" x14ac:dyDescent="0.2">
      <c r="D1121" s="919"/>
      <c r="E1121" s="919"/>
      <c r="F1121" s="920"/>
    </row>
    <row r="1122" spans="4:6" x14ac:dyDescent="0.2">
      <c r="D1122" s="919"/>
      <c r="E1122" s="919"/>
      <c r="F1122" s="920"/>
    </row>
    <row r="1123" spans="4:6" x14ac:dyDescent="0.2">
      <c r="D1123" s="919"/>
      <c r="E1123" s="919"/>
      <c r="F1123" s="920"/>
    </row>
    <row r="1124" spans="4:6" x14ac:dyDescent="0.2">
      <c r="D1124" s="919"/>
      <c r="E1124" s="919"/>
      <c r="F1124" s="920"/>
    </row>
    <row r="1125" spans="4:6" x14ac:dyDescent="0.2">
      <c r="D1125" s="919"/>
      <c r="E1125" s="919"/>
      <c r="F1125" s="920"/>
    </row>
    <row r="1126" spans="4:6" x14ac:dyDescent="0.2">
      <c r="D1126" s="919"/>
      <c r="E1126" s="919"/>
      <c r="F1126" s="920"/>
    </row>
    <row r="1127" spans="4:6" x14ac:dyDescent="0.2">
      <c r="D1127" s="919"/>
      <c r="E1127" s="919"/>
      <c r="F1127" s="920"/>
    </row>
    <row r="1128" spans="4:6" x14ac:dyDescent="0.2">
      <c r="D1128" s="919"/>
      <c r="E1128" s="919"/>
      <c r="F1128" s="920"/>
    </row>
    <row r="1129" spans="4:6" x14ac:dyDescent="0.2">
      <c r="D1129" s="919"/>
      <c r="E1129" s="919"/>
      <c r="F1129" s="920"/>
    </row>
    <row r="1130" spans="4:6" x14ac:dyDescent="0.2">
      <c r="D1130" s="919"/>
      <c r="E1130" s="919"/>
      <c r="F1130" s="920"/>
    </row>
    <row r="1131" spans="4:6" x14ac:dyDescent="0.2">
      <c r="D1131" s="919"/>
      <c r="E1131" s="919"/>
      <c r="F1131" s="920"/>
    </row>
    <row r="1132" spans="4:6" x14ac:dyDescent="0.2">
      <c r="D1132" s="919"/>
      <c r="E1132" s="919"/>
      <c r="F1132" s="920"/>
    </row>
    <row r="1133" spans="4:6" x14ac:dyDescent="0.2">
      <c r="D1133" s="919"/>
      <c r="E1133" s="919"/>
      <c r="F1133" s="920"/>
    </row>
    <row r="1134" spans="4:6" x14ac:dyDescent="0.2">
      <c r="D1134" s="919"/>
      <c r="E1134" s="919"/>
      <c r="F1134" s="920"/>
    </row>
    <row r="1135" spans="4:6" x14ac:dyDescent="0.2">
      <c r="D1135" s="919"/>
      <c r="E1135" s="919"/>
      <c r="F1135" s="920"/>
    </row>
    <row r="1136" spans="4:6" x14ac:dyDescent="0.2">
      <c r="D1136" s="919"/>
      <c r="E1136" s="919"/>
      <c r="F1136" s="920"/>
    </row>
    <row r="1137" spans="4:6" x14ac:dyDescent="0.2">
      <c r="D1137" s="919"/>
      <c r="E1137" s="919"/>
      <c r="F1137" s="920"/>
    </row>
    <row r="1138" spans="4:6" x14ac:dyDescent="0.2">
      <c r="D1138" s="919"/>
      <c r="E1138" s="919"/>
      <c r="F1138" s="920"/>
    </row>
    <row r="1139" spans="4:6" x14ac:dyDescent="0.2">
      <c r="D1139" s="919"/>
      <c r="E1139" s="919"/>
      <c r="F1139" s="920"/>
    </row>
    <row r="1140" spans="4:6" x14ac:dyDescent="0.2">
      <c r="D1140" s="919"/>
      <c r="E1140" s="919"/>
      <c r="F1140" s="920"/>
    </row>
    <row r="1141" spans="4:6" x14ac:dyDescent="0.2">
      <c r="D1141" s="919"/>
      <c r="E1141" s="919"/>
      <c r="F1141" s="920"/>
    </row>
    <row r="1142" spans="4:6" x14ac:dyDescent="0.2">
      <c r="D1142" s="919"/>
      <c r="E1142" s="919"/>
      <c r="F1142" s="920"/>
    </row>
    <row r="1143" spans="4:6" x14ac:dyDescent="0.2">
      <c r="D1143" s="919"/>
      <c r="E1143" s="919"/>
      <c r="F1143" s="920"/>
    </row>
    <row r="1144" spans="4:6" x14ac:dyDescent="0.2">
      <c r="D1144" s="919"/>
      <c r="E1144" s="919"/>
      <c r="F1144" s="920"/>
    </row>
    <row r="1145" spans="4:6" x14ac:dyDescent="0.2">
      <c r="D1145" s="919"/>
      <c r="E1145" s="919"/>
      <c r="F1145" s="920"/>
    </row>
    <row r="1146" spans="4:6" x14ac:dyDescent="0.2">
      <c r="D1146" s="919"/>
      <c r="E1146" s="919"/>
      <c r="F1146" s="920"/>
    </row>
    <row r="1147" spans="4:6" x14ac:dyDescent="0.2">
      <c r="D1147" s="919"/>
      <c r="E1147" s="919"/>
      <c r="F1147" s="920"/>
    </row>
    <row r="1148" spans="4:6" x14ac:dyDescent="0.2">
      <c r="D1148" s="919"/>
      <c r="E1148" s="919"/>
      <c r="F1148" s="920"/>
    </row>
    <row r="1149" spans="4:6" x14ac:dyDescent="0.2">
      <c r="D1149" s="919"/>
      <c r="E1149" s="919"/>
      <c r="F1149" s="920"/>
    </row>
    <row r="1150" spans="4:6" x14ac:dyDescent="0.2">
      <c r="D1150" s="919"/>
      <c r="E1150" s="919"/>
      <c r="F1150" s="920"/>
    </row>
    <row r="1151" spans="4:6" x14ac:dyDescent="0.2">
      <c r="D1151" s="919"/>
      <c r="E1151" s="919"/>
      <c r="F1151" s="920"/>
    </row>
    <row r="1152" spans="4:6" x14ac:dyDescent="0.2">
      <c r="D1152" s="919"/>
      <c r="E1152" s="919"/>
      <c r="F1152" s="920"/>
    </row>
    <row r="1153" spans="4:6" x14ac:dyDescent="0.2">
      <c r="D1153" s="919"/>
      <c r="E1153" s="919"/>
      <c r="F1153" s="920"/>
    </row>
    <row r="1154" spans="4:6" x14ac:dyDescent="0.2">
      <c r="D1154" s="919"/>
      <c r="E1154" s="919"/>
      <c r="F1154" s="920"/>
    </row>
    <row r="1155" spans="4:6" x14ac:dyDescent="0.2">
      <c r="D1155" s="919"/>
      <c r="E1155" s="919"/>
      <c r="F1155" s="920"/>
    </row>
    <row r="1156" spans="4:6" x14ac:dyDescent="0.2">
      <c r="D1156" s="919"/>
      <c r="E1156" s="919"/>
      <c r="F1156" s="920"/>
    </row>
    <row r="1157" spans="4:6" x14ac:dyDescent="0.2">
      <c r="D1157" s="919"/>
      <c r="E1157" s="919"/>
      <c r="F1157" s="920"/>
    </row>
    <row r="1158" spans="4:6" x14ac:dyDescent="0.2">
      <c r="D1158" s="919"/>
      <c r="E1158" s="919"/>
      <c r="F1158" s="920"/>
    </row>
    <row r="1159" spans="4:6" x14ac:dyDescent="0.2">
      <c r="D1159" s="919"/>
      <c r="E1159" s="919"/>
      <c r="F1159" s="920"/>
    </row>
    <row r="1160" spans="4:6" x14ac:dyDescent="0.2">
      <c r="D1160" s="919"/>
      <c r="E1160" s="919"/>
      <c r="F1160" s="920"/>
    </row>
    <row r="1161" spans="4:6" x14ac:dyDescent="0.2">
      <c r="D1161" s="919"/>
      <c r="E1161" s="919"/>
      <c r="F1161" s="920"/>
    </row>
    <row r="1162" spans="4:6" x14ac:dyDescent="0.2">
      <c r="D1162" s="919"/>
      <c r="E1162" s="919"/>
      <c r="F1162" s="920"/>
    </row>
    <row r="1163" spans="4:6" x14ac:dyDescent="0.2">
      <c r="D1163" s="919"/>
      <c r="E1163" s="919"/>
      <c r="F1163" s="920"/>
    </row>
    <row r="1164" spans="4:6" x14ac:dyDescent="0.2">
      <c r="D1164" s="919"/>
      <c r="E1164" s="919"/>
      <c r="F1164" s="920"/>
    </row>
    <row r="1165" spans="4:6" x14ac:dyDescent="0.2">
      <c r="D1165" s="919"/>
      <c r="E1165" s="919"/>
      <c r="F1165" s="920"/>
    </row>
    <row r="1166" spans="4:6" x14ac:dyDescent="0.2">
      <c r="D1166" s="919"/>
      <c r="E1166" s="919"/>
      <c r="F1166" s="920"/>
    </row>
    <row r="1167" spans="4:6" x14ac:dyDescent="0.2">
      <c r="D1167" s="919"/>
      <c r="E1167" s="919"/>
      <c r="F1167" s="920"/>
    </row>
    <row r="1168" spans="4:6" x14ac:dyDescent="0.2">
      <c r="D1168" s="919"/>
      <c r="E1168" s="919"/>
      <c r="F1168" s="920"/>
    </row>
    <row r="1169" spans="4:6" x14ac:dyDescent="0.2">
      <c r="D1169" s="919"/>
      <c r="E1169" s="919"/>
      <c r="F1169" s="920"/>
    </row>
    <row r="1170" spans="4:6" x14ac:dyDescent="0.2">
      <c r="D1170" s="919"/>
      <c r="E1170" s="919"/>
      <c r="F1170" s="920"/>
    </row>
    <row r="1171" spans="4:6" x14ac:dyDescent="0.2">
      <c r="D1171" s="919"/>
      <c r="E1171" s="919"/>
      <c r="F1171" s="920"/>
    </row>
    <row r="1172" spans="4:6" x14ac:dyDescent="0.2">
      <c r="D1172" s="919"/>
      <c r="E1172" s="919"/>
      <c r="F1172" s="920"/>
    </row>
    <row r="1173" spans="4:6" x14ac:dyDescent="0.2">
      <c r="D1173" s="919"/>
      <c r="E1173" s="919"/>
      <c r="F1173" s="920"/>
    </row>
    <row r="1174" spans="4:6" x14ac:dyDescent="0.2">
      <c r="D1174" s="919"/>
      <c r="E1174" s="919"/>
      <c r="F1174" s="920"/>
    </row>
    <row r="1175" spans="4:6" x14ac:dyDescent="0.2">
      <c r="D1175" s="919"/>
      <c r="E1175" s="919"/>
      <c r="F1175" s="920"/>
    </row>
    <row r="1176" spans="4:6" x14ac:dyDescent="0.2">
      <c r="D1176" s="919"/>
      <c r="E1176" s="919"/>
      <c r="F1176" s="920"/>
    </row>
    <row r="1177" spans="4:6" x14ac:dyDescent="0.2">
      <c r="D1177" s="919"/>
      <c r="E1177" s="919"/>
      <c r="F1177" s="920"/>
    </row>
    <row r="1178" spans="4:6" x14ac:dyDescent="0.2">
      <c r="D1178" s="919"/>
      <c r="E1178" s="919"/>
      <c r="F1178" s="920"/>
    </row>
    <row r="1179" spans="4:6" x14ac:dyDescent="0.2">
      <c r="D1179" s="919"/>
      <c r="E1179" s="919"/>
      <c r="F1179" s="920"/>
    </row>
    <row r="1180" spans="4:6" x14ac:dyDescent="0.2">
      <c r="D1180" s="919"/>
      <c r="E1180" s="919"/>
      <c r="F1180" s="920"/>
    </row>
    <row r="1181" spans="4:6" x14ac:dyDescent="0.2">
      <c r="D1181" s="919"/>
      <c r="E1181" s="919"/>
      <c r="F1181" s="920"/>
    </row>
    <row r="1182" spans="4:6" x14ac:dyDescent="0.2">
      <c r="D1182" s="919"/>
      <c r="E1182" s="919"/>
      <c r="F1182" s="920"/>
    </row>
    <row r="1183" spans="4:6" x14ac:dyDescent="0.2">
      <c r="D1183" s="919"/>
      <c r="E1183" s="919"/>
      <c r="F1183" s="920"/>
    </row>
    <row r="1184" spans="4:6" x14ac:dyDescent="0.2">
      <c r="D1184" s="919"/>
      <c r="E1184" s="919"/>
      <c r="F1184" s="920"/>
    </row>
    <row r="1185" spans="4:6" x14ac:dyDescent="0.2">
      <c r="D1185" s="919"/>
      <c r="E1185" s="919"/>
      <c r="F1185" s="920"/>
    </row>
    <row r="1186" spans="4:6" x14ac:dyDescent="0.2">
      <c r="D1186" s="919"/>
      <c r="E1186" s="919"/>
      <c r="F1186" s="920"/>
    </row>
    <row r="1187" spans="4:6" x14ac:dyDescent="0.2">
      <c r="D1187" s="919"/>
      <c r="E1187" s="919"/>
      <c r="F1187" s="920"/>
    </row>
    <row r="1188" spans="4:6" x14ac:dyDescent="0.2">
      <c r="D1188" s="919"/>
      <c r="E1188" s="919"/>
      <c r="F1188" s="920"/>
    </row>
    <row r="1189" spans="4:6" x14ac:dyDescent="0.2">
      <c r="D1189" s="919"/>
      <c r="E1189" s="919"/>
      <c r="F1189" s="920"/>
    </row>
    <row r="1190" spans="4:6" x14ac:dyDescent="0.2">
      <c r="D1190" s="919"/>
      <c r="E1190" s="919"/>
      <c r="F1190" s="920"/>
    </row>
    <row r="1191" spans="4:6" x14ac:dyDescent="0.2">
      <c r="D1191" s="919"/>
      <c r="E1191" s="919"/>
      <c r="F1191" s="920"/>
    </row>
    <row r="1192" spans="4:6" x14ac:dyDescent="0.2">
      <c r="D1192" s="919"/>
      <c r="E1192" s="919"/>
      <c r="F1192" s="920"/>
    </row>
    <row r="1193" spans="4:6" x14ac:dyDescent="0.2">
      <c r="D1193" s="919"/>
      <c r="E1193" s="919"/>
      <c r="F1193" s="920"/>
    </row>
    <row r="1194" spans="4:6" x14ac:dyDescent="0.2">
      <c r="D1194" s="919"/>
      <c r="E1194" s="919"/>
      <c r="F1194" s="920"/>
    </row>
    <row r="1195" spans="4:6" x14ac:dyDescent="0.2">
      <c r="D1195" s="919"/>
      <c r="E1195" s="919"/>
      <c r="F1195" s="920"/>
    </row>
    <row r="1196" spans="4:6" x14ac:dyDescent="0.2">
      <c r="D1196" s="919"/>
      <c r="E1196" s="919"/>
      <c r="F1196" s="920"/>
    </row>
    <row r="1197" spans="4:6" x14ac:dyDescent="0.2">
      <c r="D1197" s="919"/>
      <c r="E1197" s="919"/>
      <c r="F1197" s="920"/>
    </row>
    <row r="1198" spans="4:6" x14ac:dyDescent="0.2">
      <c r="D1198" s="919"/>
      <c r="E1198" s="919"/>
      <c r="F1198" s="920"/>
    </row>
    <row r="1199" spans="4:6" x14ac:dyDescent="0.2">
      <c r="D1199" s="919"/>
      <c r="E1199" s="919"/>
      <c r="F1199" s="920"/>
    </row>
    <row r="1200" spans="4:6" x14ac:dyDescent="0.2">
      <c r="D1200" s="919"/>
      <c r="E1200" s="919"/>
      <c r="F1200" s="920"/>
    </row>
    <row r="1201" spans="4:6" x14ac:dyDescent="0.2">
      <c r="D1201" s="919"/>
      <c r="E1201" s="919"/>
      <c r="F1201" s="920"/>
    </row>
    <row r="1202" spans="4:6" x14ac:dyDescent="0.2">
      <c r="D1202" s="919"/>
      <c r="E1202" s="919"/>
      <c r="F1202" s="920"/>
    </row>
    <row r="1203" spans="4:6" x14ac:dyDescent="0.2">
      <c r="D1203" s="919"/>
      <c r="E1203" s="919"/>
      <c r="F1203" s="920"/>
    </row>
    <row r="1204" spans="4:6" x14ac:dyDescent="0.2">
      <c r="D1204" s="919"/>
      <c r="E1204" s="919"/>
      <c r="F1204" s="920"/>
    </row>
    <row r="1205" spans="4:6" x14ac:dyDescent="0.2">
      <c r="D1205" s="919"/>
      <c r="E1205" s="919"/>
      <c r="F1205" s="920"/>
    </row>
    <row r="1206" spans="4:6" x14ac:dyDescent="0.2">
      <c r="D1206" s="919"/>
      <c r="E1206" s="919"/>
      <c r="F1206" s="920"/>
    </row>
    <row r="1207" spans="4:6" x14ac:dyDescent="0.2">
      <c r="D1207" s="919"/>
      <c r="E1207" s="919"/>
      <c r="F1207" s="920"/>
    </row>
    <row r="1208" spans="4:6" x14ac:dyDescent="0.2">
      <c r="D1208" s="919"/>
      <c r="E1208" s="919"/>
      <c r="F1208" s="920"/>
    </row>
    <row r="1209" spans="4:6" x14ac:dyDescent="0.2">
      <c r="D1209" s="919"/>
      <c r="E1209" s="919"/>
      <c r="F1209" s="920"/>
    </row>
    <row r="1210" spans="4:6" x14ac:dyDescent="0.2">
      <c r="D1210" s="919"/>
      <c r="E1210" s="919"/>
      <c r="F1210" s="920"/>
    </row>
    <row r="1211" spans="4:6" x14ac:dyDescent="0.2">
      <c r="D1211" s="919"/>
      <c r="E1211" s="919"/>
      <c r="F1211" s="920"/>
    </row>
    <row r="1212" spans="4:6" x14ac:dyDescent="0.2">
      <c r="D1212" s="919"/>
      <c r="E1212" s="919"/>
      <c r="F1212" s="920"/>
    </row>
    <row r="1213" spans="4:6" x14ac:dyDescent="0.2">
      <c r="D1213" s="919"/>
      <c r="E1213" s="919"/>
      <c r="F1213" s="920"/>
    </row>
    <row r="1214" spans="4:6" x14ac:dyDescent="0.2">
      <c r="D1214" s="919"/>
      <c r="E1214" s="919"/>
      <c r="F1214" s="920"/>
    </row>
    <row r="1215" spans="4:6" x14ac:dyDescent="0.2">
      <c r="D1215" s="919"/>
      <c r="E1215" s="919"/>
      <c r="F1215" s="920"/>
    </row>
    <row r="1216" spans="4:6" x14ac:dyDescent="0.2">
      <c r="D1216" s="919"/>
      <c r="E1216" s="919"/>
      <c r="F1216" s="920"/>
    </row>
    <row r="1217" spans="4:6" x14ac:dyDescent="0.2">
      <c r="D1217" s="919"/>
      <c r="E1217" s="919"/>
      <c r="F1217" s="920"/>
    </row>
    <row r="1218" spans="4:6" x14ac:dyDescent="0.2">
      <c r="D1218" s="919"/>
      <c r="E1218" s="919"/>
      <c r="F1218" s="920"/>
    </row>
    <row r="1219" spans="4:6" x14ac:dyDescent="0.2">
      <c r="D1219" s="919"/>
      <c r="E1219" s="919"/>
      <c r="F1219" s="920"/>
    </row>
    <row r="1220" spans="4:6" x14ac:dyDescent="0.2">
      <c r="D1220" s="919"/>
      <c r="E1220" s="919"/>
      <c r="F1220" s="920"/>
    </row>
    <row r="1221" spans="4:6" x14ac:dyDescent="0.2">
      <c r="D1221" s="919"/>
      <c r="E1221" s="919"/>
      <c r="F1221" s="920"/>
    </row>
    <row r="1222" spans="4:6" x14ac:dyDescent="0.2">
      <c r="D1222" s="919"/>
      <c r="E1222" s="919"/>
      <c r="F1222" s="920"/>
    </row>
    <row r="1223" spans="4:6" x14ac:dyDescent="0.2">
      <c r="D1223" s="919"/>
      <c r="E1223" s="919"/>
      <c r="F1223" s="920"/>
    </row>
    <row r="1224" spans="4:6" x14ac:dyDescent="0.2">
      <c r="D1224" s="919"/>
      <c r="E1224" s="919"/>
      <c r="F1224" s="920"/>
    </row>
    <row r="1225" spans="4:6" x14ac:dyDescent="0.2">
      <c r="D1225" s="919"/>
      <c r="E1225" s="919"/>
      <c r="F1225" s="920"/>
    </row>
    <row r="1226" spans="4:6" x14ac:dyDescent="0.2">
      <c r="D1226" s="919"/>
      <c r="E1226" s="919"/>
      <c r="F1226" s="920"/>
    </row>
    <row r="1227" spans="4:6" x14ac:dyDescent="0.2">
      <c r="D1227" s="919"/>
      <c r="E1227" s="919"/>
      <c r="F1227" s="920"/>
    </row>
    <row r="1228" spans="4:6" x14ac:dyDescent="0.2">
      <c r="D1228" s="919"/>
      <c r="E1228" s="919"/>
      <c r="F1228" s="920"/>
    </row>
    <row r="1229" spans="4:6" x14ac:dyDescent="0.2">
      <c r="D1229" s="919"/>
      <c r="E1229" s="919"/>
      <c r="F1229" s="920"/>
    </row>
    <row r="1230" spans="4:6" x14ac:dyDescent="0.2">
      <c r="D1230" s="919"/>
      <c r="E1230" s="919"/>
      <c r="F1230" s="920"/>
    </row>
    <row r="1231" spans="4:6" x14ac:dyDescent="0.2">
      <c r="D1231" s="919"/>
      <c r="E1231" s="919"/>
      <c r="F1231" s="920"/>
    </row>
    <row r="1232" spans="4:6" x14ac:dyDescent="0.2">
      <c r="D1232" s="919"/>
      <c r="E1232" s="919"/>
      <c r="F1232" s="920"/>
    </row>
    <row r="1233" spans="4:6" x14ac:dyDescent="0.2">
      <c r="D1233" s="919"/>
      <c r="E1233" s="919"/>
      <c r="F1233" s="920"/>
    </row>
    <row r="1234" spans="4:6" x14ac:dyDescent="0.2">
      <c r="D1234" s="919"/>
      <c r="E1234" s="919"/>
      <c r="F1234" s="920"/>
    </row>
    <row r="1235" spans="4:6" x14ac:dyDescent="0.2">
      <c r="D1235" s="919"/>
      <c r="E1235" s="919"/>
      <c r="F1235" s="920"/>
    </row>
    <row r="1236" spans="4:6" x14ac:dyDescent="0.2">
      <c r="D1236" s="919"/>
      <c r="E1236" s="919"/>
      <c r="F1236" s="920"/>
    </row>
    <row r="1237" spans="4:6" x14ac:dyDescent="0.2">
      <c r="D1237" s="919"/>
      <c r="E1237" s="919"/>
      <c r="F1237" s="920"/>
    </row>
    <row r="1238" spans="4:6" x14ac:dyDescent="0.2">
      <c r="D1238" s="919"/>
      <c r="E1238" s="919"/>
      <c r="F1238" s="920"/>
    </row>
    <row r="1239" spans="4:6" x14ac:dyDescent="0.2">
      <c r="D1239" s="919"/>
      <c r="E1239" s="919"/>
      <c r="F1239" s="920"/>
    </row>
    <row r="1240" spans="4:6" x14ac:dyDescent="0.2">
      <c r="D1240" s="919"/>
      <c r="E1240" s="919"/>
      <c r="F1240" s="920"/>
    </row>
    <row r="1241" spans="4:6" x14ac:dyDescent="0.2">
      <c r="D1241" s="919"/>
      <c r="E1241" s="919"/>
      <c r="F1241" s="920"/>
    </row>
    <row r="1242" spans="4:6" x14ac:dyDescent="0.2">
      <c r="D1242" s="919"/>
      <c r="E1242" s="919"/>
      <c r="F1242" s="920"/>
    </row>
    <row r="1243" spans="4:6" x14ac:dyDescent="0.2">
      <c r="D1243" s="919"/>
      <c r="E1243" s="919"/>
      <c r="F1243" s="920"/>
    </row>
    <row r="1244" spans="4:6" x14ac:dyDescent="0.2">
      <c r="D1244" s="919"/>
      <c r="E1244" s="919"/>
      <c r="F1244" s="920"/>
    </row>
    <row r="1245" spans="4:6" x14ac:dyDescent="0.2">
      <c r="D1245" s="919"/>
      <c r="E1245" s="919"/>
      <c r="F1245" s="920"/>
    </row>
    <row r="1246" spans="4:6" x14ac:dyDescent="0.2">
      <c r="D1246" s="919"/>
      <c r="E1246" s="919"/>
      <c r="F1246" s="920"/>
    </row>
    <row r="1247" spans="4:6" x14ac:dyDescent="0.2">
      <c r="D1247" s="919"/>
      <c r="E1247" s="919"/>
      <c r="F1247" s="920"/>
    </row>
    <row r="1248" spans="4:6" x14ac:dyDescent="0.2">
      <c r="D1248" s="919"/>
      <c r="E1248" s="919"/>
      <c r="F1248" s="920"/>
    </row>
    <row r="1249" spans="4:6" x14ac:dyDescent="0.2">
      <c r="D1249" s="919"/>
      <c r="E1249" s="919"/>
      <c r="F1249" s="920"/>
    </row>
    <row r="1250" spans="4:6" x14ac:dyDescent="0.2">
      <c r="D1250" s="919"/>
      <c r="E1250" s="919"/>
      <c r="F1250" s="920"/>
    </row>
    <row r="1251" spans="4:6" x14ac:dyDescent="0.2">
      <c r="D1251" s="919"/>
      <c r="E1251" s="919"/>
      <c r="F1251" s="920"/>
    </row>
    <row r="1252" spans="4:6" x14ac:dyDescent="0.2">
      <c r="D1252" s="919"/>
      <c r="E1252" s="919"/>
      <c r="F1252" s="920"/>
    </row>
    <row r="1253" spans="4:6" x14ac:dyDescent="0.2">
      <c r="D1253" s="919"/>
      <c r="E1253" s="919"/>
      <c r="F1253" s="920"/>
    </row>
    <row r="1254" spans="4:6" x14ac:dyDescent="0.2">
      <c r="D1254" s="919"/>
      <c r="E1254" s="919"/>
      <c r="F1254" s="920"/>
    </row>
    <row r="1255" spans="4:6" x14ac:dyDescent="0.2">
      <c r="D1255" s="919"/>
      <c r="E1255" s="919"/>
      <c r="F1255" s="920"/>
    </row>
    <row r="1256" spans="4:6" x14ac:dyDescent="0.2">
      <c r="D1256" s="919"/>
      <c r="E1256" s="919"/>
      <c r="F1256" s="920"/>
    </row>
    <row r="1257" spans="4:6" x14ac:dyDescent="0.2">
      <c r="D1257" s="919"/>
      <c r="E1257" s="919"/>
      <c r="F1257" s="920"/>
    </row>
    <row r="1258" spans="4:6" x14ac:dyDescent="0.2">
      <c r="D1258" s="919"/>
      <c r="E1258" s="919"/>
      <c r="F1258" s="920"/>
    </row>
    <row r="1259" spans="4:6" x14ac:dyDescent="0.2">
      <c r="D1259" s="919"/>
      <c r="E1259" s="919"/>
      <c r="F1259" s="920"/>
    </row>
    <row r="1260" spans="4:6" x14ac:dyDescent="0.2">
      <c r="D1260" s="919"/>
      <c r="E1260" s="919"/>
      <c r="F1260" s="920"/>
    </row>
    <row r="1261" spans="4:6" x14ac:dyDescent="0.2">
      <c r="D1261" s="919"/>
      <c r="E1261" s="919"/>
      <c r="F1261" s="920"/>
    </row>
    <row r="1262" spans="4:6" x14ac:dyDescent="0.2">
      <c r="D1262" s="919"/>
      <c r="E1262" s="919"/>
      <c r="F1262" s="920"/>
    </row>
    <row r="1263" spans="4:6" x14ac:dyDescent="0.2">
      <c r="D1263" s="919"/>
      <c r="E1263" s="919"/>
      <c r="F1263" s="920"/>
    </row>
    <row r="1264" spans="4:6" x14ac:dyDescent="0.2">
      <c r="D1264" s="919"/>
      <c r="E1264" s="919"/>
      <c r="F1264" s="920"/>
    </row>
    <row r="1265" spans="4:6" x14ac:dyDescent="0.2">
      <c r="D1265" s="919"/>
      <c r="E1265" s="919"/>
      <c r="F1265" s="920"/>
    </row>
    <row r="1266" spans="4:6" x14ac:dyDescent="0.2">
      <c r="D1266" s="919"/>
      <c r="E1266" s="919"/>
      <c r="F1266" s="920"/>
    </row>
    <row r="1267" spans="4:6" x14ac:dyDescent="0.2">
      <c r="D1267" s="919"/>
      <c r="E1267" s="919"/>
      <c r="F1267" s="920"/>
    </row>
    <row r="1268" spans="4:6" x14ac:dyDescent="0.2">
      <c r="D1268" s="919"/>
      <c r="E1268" s="919"/>
      <c r="F1268" s="920"/>
    </row>
    <row r="1269" spans="4:6" x14ac:dyDescent="0.2">
      <c r="D1269" s="919"/>
      <c r="E1269" s="919"/>
      <c r="F1269" s="920"/>
    </row>
    <row r="1270" spans="4:6" x14ac:dyDescent="0.2">
      <c r="D1270" s="919"/>
      <c r="E1270" s="919"/>
      <c r="F1270" s="920"/>
    </row>
    <row r="1271" spans="4:6" x14ac:dyDescent="0.2">
      <c r="D1271" s="919"/>
      <c r="E1271" s="919"/>
      <c r="F1271" s="920"/>
    </row>
    <row r="1272" spans="4:6" x14ac:dyDescent="0.2">
      <c r="D1272" s="919"/>
      <c r="E1272" s="919"/>
      <c r="F1272" s="920"/>
    </row>
    <row r="1273" spans="4:6" x14ac:dyDescent="0.2">
      <c r="D1273" s="919"/>
      <c r="E1273" s="919"/>
      <c r="F1273" s="920"/>
    </row>
    <row r="1274" spans="4:6" x14ac:dyDescent="0.2">
      <c r="D1274" s="919"/>
      <c r="E1274" s="919"/>
      <c r="F1274" s="920"/>
    </row>
    <row r="1275" spans="4:6" x14ac:dyDescent="0.2">
      <c r="D1275" s="919"/>
      <c r="E1275" s="919"/>
      <c r="F1275" s="920"/>
    </row>
    <row r="1276" spans="4:6" x14ac:dyDescent="0.2">
      <c r="D1276" s="919"/>
      <c r="E1276" s="919"/>
      <c r="F1276" s="920"/>
    </row>
    <row r="1277" spans="4:6" x14ac:dyDescent="0.2">
      <c r="D1277" s="919"/>
      <c r="E1277" s="919"/>
      <c r="F1277" s="920"/>
    </row>
    <row r="1278" spans="4:6" x14ac:dyDescent="0.2">
      <c r="D1278" s="919"/>
      <c r="E1278" s="919"/>
      <c r="F1278" s="920"/>
    </row>
    <row r="1279" spans="4:6" x14ac:dyDescent="0.2">
      <c r="D1279" s="919"/>
      <c r="E1279" s="919"/>
      <c r="F1279" s="920"/>
    </row>
    <row r="1280" spans="4:6" x14ac:dyDescent="0.2">
      <c r="D1280" s="919"/>
      <c r="E1280" s="919"/>
      <c r="F1280" s="920"/>
    </row>
    <row r="1281" spans="4:6" x14ac:dyDescent="0.2">
      <c r="D1281" s="919"/>
      <c r="E1281" s="919"/>
      <c r="F1281" s="920"/>
    </row>
    <row r="1282" spans="4:6" x14ac:dyDescent="0.2">
      <c r="D1282" s="919"/>
      <c r="E1282" s="919"/>
      <c r="F1282" s="920"/>
    </row>
    <row r="1283" spans="4:6" x14ac:dyDescent="0.2">
      <c r="D1283" s="919"/>
      <c r="E1283" s="919"/>
      <c r="F1283" s="920"/>
    </row>
    <row r="1284" spans="4:6" x14ac:dyDescent="0.2">
      <c r="D1284" s="919"/>
      <c r="E1284" s="919"/>
      <c r="F1284" s="920"/>
    </row>
    <row r="1285" spans="4:6" x14ac:dyDescent="0.2">
      <c r="D1285" s="919"/>
      <c r="E1285" s="919"/>
      <c r="F1285" s="920"/>
    </row>
    <row r="1286" spans="4:6" x14ac:dyDescent="0.2">
      <c r="D1286" s="919"/>
      <c r="E1286" s="919"/>
      <c r="F1286" s="920"/>
    </row>
    <row r="1287" spans="4:6" x14ac:dyDescent="0.2">
      <c r="D1287" s="919"/>
      <c r="E1287" s="919"/>
      <c r="F1287" s="920"/>
    </row>
    <row r="1288" spans="4:6" x14ac:dyDescent="0.2">
      <c r="D1288" s="919"/>
      <c r="E1288" s="919"/>
      <c r="F1288" s="920"/>
    </row>
    <row r="1289" spans="4:6" x14ac:dyDescent="0.2">
      <c r="D1289" s="919"/>
      <c r="E1289" s="919"/>
      <c r="F1289" s="920"/>
    </row>
    <row r="1290" spans="4:6" x14ac:dyDescent="0.2">
      <c r="D1290" s="919"/>
      <c r="E1290" s="919"/>
      <c r="F1290" s="920"/>
    </row>
    <row r="1291" spans="4:6" x14ac:dyDescent="0.2">
      <c r="D1291" s="919"/>
      <c r="E1291" s="919"/>
      <c r="F1291" s="920"/>
    </row>
    <row r="1292" spans="4:6" x14ac:dyDescent="0.2">
      <c r="D1292" s="919"/>
      <c r="E1292" s="919"/>
      <c r="F1292" s="920"/>
    </row>
    <row r="1293" spans="4:6" x14ac:dyDescent="0.2">
      <c r="D1293" s="919"/>
      <c r="E1293" s="919"/>
      <c r="F1293" s="920"/>
    </row>
    <row r="1294" spans="4:6" x14ac:dyDescent="0.2">
      <c r="D1294" s="919"/>
      <c r="E1294" s="919"/>
      <c r="F1294" s="920"/>
    </row>
    <row r="1295" spans="4:6" x14ac:dyDescent="0.2">
      <c r="D1295" s="919"/>
      <c r="E1295" s="919"/>
      <c r="F1295" s="920"/>
    </row>
    <row r="1296" spans="4:6" x14ac:dyDescent="0.2">
      <c r="D1296" s="919"/>
      <c r="E1296" s="919"/>
      <c r="F1296" s="920"/>
    </row>
    <row r="1297" spans="4:6" x14ac:dyDescent="0.2">
      <c r="D1297" s="919"/>
      <c r="E1297" s="919"/>
      <c r="F1297" s="920"/>
    </row>
    <row r="1298" spans="4:6" x14ac:dyDescent="0.2">
      <c r="D1298" s="919"/>
      <c r="E1298" s="919"/>
      <c r="F1298" s="920"/>
    </row>
    <row r="1299" spans="4:6" x14ac:dyDescent="0.2">
      <c r="D1299" s="919"/>
      <c r="E1299" s="919"/>
      <c r="F1299" s="920"/>
    </row>
    <row r="1300" spans="4:6" x14ac:dyDescent="0.2">
      <c r="D1300" s="919"/>
      <c r="E1300" s="919"/>
      <c r="F1300" s="920"/>
    </row>
    <row r="1301" spans="4:6" x14ac:dyDescent="0.2">
      <c r="D1301" s="919"/>
      <c r="E1301" s="919"/>
      <c r="F1301" s="920"/>
    </row>
    <row r="1302" spans="4:6" x14ac:dyDescent="0.2">
      <c r="D1302" s="919"/>
      <c r="E1302" s="919"/>
      <c r="F1302" s="920"/>
    </row>
    <row r="1303" spans="4:6" x14ac:dyDescent="0.2">
      <c r="D1303" s="919"/>
      <c r="E1303" s="919"/>
      <c r="F1303" s="920"/>
    </row>
    <row r="1304" spans="4:6" x14ac:dyDescent="0.2">
      <c r="D1304" s="919"/>
      <c r="E1304" s="919"/>
      <c r="F1304" s="920"/>
    </row>
    <row r="1305" spans="4:6" x14ac:dyDescent="0.2">
      <c r="D1305" s="919"/>
      <c r="E1305" s="919"/>
      <c r="F1305" s="920"/>
    </row>
    <row r="1306" spans="4:6" x14ac:dyDescent="0.2">
      <c r="D1306" s="919"/>
      <c r="E1306" s="919"/>
      <c r="F1306" s="920"/>
    </row>
    <row r="1307" spans="4:6" x14ac:dyDescent="0.2">
      <c r="D1307" s="919"/>
      <c r="E1307" s="919"/>
      <c r="F1307" s="920"/>
    </row>
    <row r="1308" spans="4:6" x14ac:dyDescent="0.2">
      <c r="D1308" s="919"/>
      <c r="E1308" s="919"/>
      <c r="F1308" s="920"/>
    </row>
    <row r="1309" spans="4:6" x14ac:dyDescent="0.2">
      <c r="D1309" s="919"/>
      <c r="E1309" s="919"/>
      <c r="F1309" s="920"/>
    </row>
    <row r="1310" spans="4:6" x14ac:dyDescent="0.2">
      <c r="D1310" s="919"/>
      <c r="E1310" s="919"/>
      <c r="F1310" s="920"/>
    </row>
    <row r="1311" spans="4:6" x14ac:dyDescent="0.2">
      <c r="D1311" s="919"/>
      <c r="E1311" s="919"/>
      <c r="F1311" s="920"/>
    </row>
    <row r="1312" spans="4:6" x14ac:dyDescent="0.2">
      <c r="D1312" s="919"/>
      <c r="E1312" s="919"/>
      <c r="F1312" s="920"/>
    </row>
    <row r="1313" spans="4:6" x14ac:dyDescent="0.2">
      <c r="D1313" s="919"/>
      <c r="E1313" s="919"/>
      <c r="F1313" s="920"/>
    </row>
    <row r="1314" spans="4:6" x14ac:dyDescent="0.2">
      <c r="D1314" s="919"/>
      <c r="E1314" s="919"/>
      <c r="F1314" s="920"/>
    </row>
    <row r="1315" spans="4:6" x14ac:dyDescent="0.2">
      <c r="D1315" s="919"/>
      <c r="E1315" s="919"/>
      <c r="F1315" s="920"/>
    </row>
    <row r="1316" spans="4:6" x14ac:dyDescent="0.2">
      <c r="D1316" s="919"/>
      <c r="E1316" s="919"/>
      <c r="F1316" s="920"/>
    </row>
    <row r="1317" spans="4:6" x14ac:dyDescent="0.2">
      <c r="D1317" s="919"/>
      <c r="E1317" s="919"/>
      <c r="F1317" s="920"/>
    </row>
    <row r="1318" spans="4:6" x14ac:dyDescent="0.2">
      <c r="D1318" s="919"/>
      <c r="E1318" s="919"/>
      <c r="F1318" s="920"/>
    </row>
    <row r="1319" spans="4:6" x14ac:dyDescent="0.2">
      <c r="D1319" s="919"/>
      <c r="E1319" s="919"/>
      <c r="F1319" s="920"/>
    </row>
    <row r="1320" spans="4:6" x14ac:dyDescent="0.2">
      <c r="D1320" s="919"/>
      <c r="E1320" s="919"/>
      <c r="F1320" s="920"/>
    </row>
    <row r="1321" spans="4:6" x14ac:dyDescent="0.2">
      <c r="D1321" s="919"/>
      <c r="E1321" s="919"/>
      <c r="F1321" s="920"/>
    </row>
    <row r="1322" spans="4:6" x14ac:dyDescent="0.2">
      <c r="D1322" s="919"/>
      <c r="E1322" s="919"/>
      <c r="F1322" s="920"/>
    </row>
    <row r="1323" spans="4:6" x14ac:dyDescent="0.2">
      <c r="D1323" s="919"/>
      <c r="E1323" s="919"/>
      <c r="F1323" s="920"/>
    </row>
    <row r="1324" spans="4:6" x14ac:dyDescent="0.2">
      <c r="D1324" s="919"/>
      <c r="E1324" s="919"/>
      <c r="F1324" s="920"/>
    </row>
    <row r="1325" spans="4:6" x14ac:dyDescent="0.2">
      <c r="D1325" s="919"/>
      <c r="E1325" s="919"/>
      <c r="F1325" s="920"/>
    </row>
    <row r="1326" spans="4:6" x14ac:dyDescent="0.2">
      <c r="D1326" s="919"/>
      <c r="E1326" s="919"/>
      <c r="F1326" s="920"/>
    </row>
    <row r="1327" spans="4:6" x14ac:dyDescent="0.2">
      <c r="D1327" s="919"/>
      <c r="E1327" s="919"/>
      <c r="F1327" s="920"/>
    </row>
    <row r="1328" spans="4:6" x14ac:dyDescent="0.2">
      <c r="D1328" s="919"/>
      <c r="E1328" s="919"/>
      <c r="F1328" s="920"/>
    </row>
    <row r="1329" spans="4:6" x14ac:dyDescent="0.2">
      <c r="D1329" s="919"/>
      <c r="E1329" s="919"/>
      <c r="F1329" s="920"/>
    </row>
    <row r="1330" spans="4:6" x14ac:dyDescent="0.2">
      <c r="D1330" s="919"/>
      <c r="E1330" s="919"/>
      <c r="F1330" s="920"/>
    </row>
    <row r="1331" spans="4:6" x14ac:dyDescent="0.2">
      <c r="D1331" s="919"/>
      <c r="E1331" s="919"/>
      <c r="F1331" s="920"/>
    </row>
    <row r="1332" spans="4:6" x14ac:dyDescent="0.2">
      <c r="D1332" s="919"/>
      <c r="E1332" s="919"/>
      <c r="F1332" s="920"/>
    </row>
    <row r="1333" spans="4:6" x14ac:dyDescent="0.2">
      <c r="D1333" s="919"/>
      <c r="E1333" s="919"/>
      <c r="F1333" s="920"/>
    </row>
    <row r="1334" spans="4:6" x14ac:dyDescent="0.2">
      <c r="D1334" s="919"/>
      <c r="E1334" s="919"/>
      <c r="F1334" s="920"/>
    </row>
    <row r="1335" spans="4:6" x14ac:dyDescent="0.2">
      <c r="D1335" s="919"/>
      <c r="E1335" s="919"/>
      <c r="F1335" s="920"/>
    </row>
    <row r="1336" spans="4:6" x14ac:dyDescent="0.2">
      <c r="D1336" s="919"/>
      <c r="E1336" s="919"/>
      <c r="F1336" s="920"/>
    </row>
    <row r="1337" spans="4:6" x14ac:dyDescent="0.2">
      <c r="D1337" s="919"/>
      <c r="E1337" s="919"/>
      <c r="F1337" s="920"/>
    </row>
    <row r="1338" spans="4:6" x14ac:dyDescent="0.2">
      <c r="D1338" s="919"/>
      <c r="E1338" s="919"/>
      <c r="F1338" s="920"/>
    </row>
    <row r="1339" spans="4:6" x14ac:dyDescent="0.2">
      <c r="D1339" s="919"/>
      <c r="E1339" s="919"/>
      <c r="F1339" s="920"/>
    </row>
    <row r="1340" spans="4:6" x14ac:dyDescent="0.2">
      <c r="D1340" s="919"/>
      <c r="E1340" s="919"/>
      <c r="F1340" s="920"/>
    </row>
    <row r="1341" spans="4:6" x14ac:dyDescent="0.2">
      <c r="D1341" s="919"/>
      <c r="E1341" s="919"/>
      <c r="F1341" s="920"/>
    </row>
    <row r="1342" spans="4:6" x14ac:dyDescent="0.2">
      <c r="D1342" s="919"/>
      <c r="E1342" s="919"/>
      <c r="F1342" s="920"/>
    </row>
    <row r="1343" spans="4:6" x14ac:dyDescent="0.2">
      <c r="D1343" s="919"/>
      <c r="E1343" s="919"/>
      <c r="F1343" s="920"/>
    </row>
    <row r="1344" spans="4:6" x14ac:dyDescent="0.2">
      <c r="D1344" s="919"/>
      <c r="E1344" s="919"/>
      <c r="F1344" s="920"/>
    </row>
    <row r="1345" spans="4:6" x14ac:dyDescent="0.2">
      <c r="D1345" s="919"/>
      <c r="E1345" s="919"/>
      <c r="F1345" s="920"/>
    </row>
    <row r="1346" spans="4:6" x14ac:dyDescent="0.2">
      <c r="D1346" s="919"/>
      <c r="E1346" s="919"/>
      <c r="F1346" s="920"/>
    </row>
    <row r="1347" spans="4:6" x14ac:dyDescent="0.2">
      <c r="D1347" s="919"/>
      <c r="E1347" s="919"/>
      <c r="F1347" s="920"/>
    </row>
    <row r="1348" spans="4:6" x14ac:dyDescent="0.2">
      <c r="D1348" s="919"/>
      <c r="E1348" s="919"/>
      <c r="F1348" s="920"/>
    </row>
    <row r="1349" spans="4:6" x14ac:dyDescent="0.2">
      <c r="D1349" s="919"/>
      <c r="E1349" s="919"/>
      <c r="F1349" s="920"/>
    </row>
    <row r="1350" spans="4:6" x14ac:dyDescent="0.2">
      <c r="D1350" s="919"/>
      <c r="E1350" s="919"/>
      <c r="F1350" s="920"/>
    </row>
    <row r="1351" spans="4:6" x14ac:dyDescent="0.2">
      <c r="D1351" s="919"/>
      <c r="E1351" s="919"/>
      <c r="F1351" s="920"/>
    </row>
    <row r="1352" spans="4:6" x14ac:dyDescent="0.2">
      <c r="D1352" s="919"/>
      <c r="E1352" s="919"/>
      <c r="F1352" s="920"/>
    </row>
    <row r="1353" spans="4:6" x14ac:dyDescent="0.2">
      <c r="D1353" s="919"/>
      <c r="E1353" s="919"/>
      <c r="F1353" s="920"/>
    </row>
    <row r="1354" spans="4:6" x14ac:dyDescent="0.2">
      <c r="D1354" s="919"/>
      <c r="E1354" s="919"/>
      <c r="F1354" s="920"/>
    </row>
    <row r="1355" spans="4:6" x14ac:dyDescent="0.2">
      <c r="D1355" s="919"/>
      <c r="E1355" s="919"/>
      <c r="F1355" s="920"/>
    </row>
    <row r="1356" spans="4:6" x14ac:dyDescent="0.2">
      <c r="D1356" s="919"/>
      <c r="E1356" s="919"/>
      <c r="F1356" s="920"/>
    </row>
    <row r="1357" spans="4:6" x14ac:dyDescent="0.2">
      <c r="D1357" s="919"/>
      <c r="E1357" s="919"/>
      <c r="F1357" s="920"/>
    </row>
    <row r="1358" spans="4:6" x14ac:dyDescent="0.2">
      <c r="D1358" s="919"/>
      <c r="E1358" s="919"/>
      <c r="F1358" s="920"/>
    </row>
    <row r="1359" spans="4:6" x14ac:dyDescent="0.2">
      <c r="D1359" s="919"/>
      <c r="E1359" s="919"/>
      <c r="F1359" s="920"/>
    </row>
    <row r="1360" spans="4:6" x14ac:dyDescent="0.2">
      <c r="D1360" s="919"/>
      <c r="E1360" s="919"/>
      <c r="F1360" s="920"/>
    </row>
    <row r="1361" spans="4:6" x14ac:dyDescent="0.2">
      <c r="D1361" s="919"/>
      <c r="E1361" s="919"/>
      <c r="F1361" s="920"/>
    </row>
    <row r="1362" spans="4:6" x14ac:dyDescent="0.2">
      <c r="D1362" s="919"/>
      <c r="E1362" s="919"/>
      <c r="F1362" s="920"/>
    </row>
    <row r="1363" spans="4:6" x14ac:dyDescent="0.2">
      <c r="D1363" s="919"/>
      <c r="E1363" s="919"/>
      <c r="F1363" s="920"/>
    </row>
    <row r="1364" spans="4:6" x14ac:dyDescent="0.2">
      <c r="D1364" s="919"/>
      <c r="E1364" s="919"/>
      <c r="F1364" s="920"/>
    </row>
    <row r="1365" spans="4:6" x14ac:dyDescent="0.2">
      <c r="D1365" s="919"/>
      <c r="E1365" s="919"/>
      <c r="F1365" s="920"/>
    </row>
    <row r="1366" spans="4:6" x14ac:dyDescent="0.2">
      <c r="D1366" s="919"/>
      <c r="E1366" s="919"/>
      <c r="F1366" s="920"/>
    </row>
    <row r="1367" spans="4:6" x14ac:dyDescent="0.2">
      <c r="D1367" s="919"/>
      <c r="E1367" s="919"/>
      <c r="F1367" s="920"/>
    </row>
    <row r="1368" spans="4:6" x14ac:dyDescent="0.2">
      <c r="D1368" s="919"/>
      <c r="E1368" s="919"/>
      <c r="F1368" s="920"/>
    </row>
    <row r="1369" spans="4:6" x14ac:dyDescent="0.2">
      <c r="D1369" s="919"/>
      <c r="E1369" s="919"/>
      <c r="F1369" s="920"/>
    </row>
    <row r="1370" spans="4:6" x14ac:dyDescent="0.2">
      <c r="D1370" s="919"/>
      <c r="E1370" s="919"/>
      <c r="F1370" s="920"/>
    </row>
    <row r="1371" spans="4:6" x14ac:dyDescent="0.2">
      <c r="D1371" s="919"/>
      <c r="E1371" s="919"/>
      <c r="F1371" s="920"/>
    </row>
    <row r="1372" spans="4:6" x14ac:dyDescent="0.2">
      <c r="D1372" s="919"/>
      <c r="E1372" s="919"/>
      <c r="F1372" s="920"/>
    </row>
    <row r="1373" spans="4:6" x14ac:dyDescent="0.2">
      <c r="D1373" s="919"/>
      <c r="E1373" s="919"/>
      <c r="F1373" s="920"/>
    </row>
    <row r="1374" spans="4:6" x14ac:dyDescent="0.2">
      <c r="D1374" s="919"/>
      <c r="E1374" s="919"/>
      <c r="F1374" s="920"/>
    </row>
    <row r="1375" spans="4:6" x14ac:dyDescent="0.2">
      <c r="D1375" s="919"/>
      <c r="E1375" s="919"/>
      <c r="F1375" s="920"/>
    </row>
    <row r="1376" spans="4:6" x14ac:dyDescent="0.2">
      <c r="D1376" s="919"/>
      <c r="E1376" s="919"/>
      <c r="F1376" s="920"/>
    </row>
    <row r="1377" spans="4:6" x14ac:dyDescent="0.2">
      <c r="D1377" s="919"/>
      <c r="E1377" s="919"/>
      <c r="F1377" s="920"/>
    </row>
    <row r="1378" spans="4:6" x14ac:dyDescent="0.2">
      <c r="D1378" s="919"/>
      <c r="E1378" s="919"/>
      <c r="F1378" s="920"/>
    </row>
    <row r="1379" spans="4:6" x14ac:dyDescent="0.2">
      <c r="D1379" s="919"/>
      <c r="E1379" s="919"/>
      <c r="F1379" s="920"/>
    </row>
    <row r="1380" spans="4:6" x14ac:dyDescent="0.2">
      <c r="D1380" s="919"/>
      <c r="E1380" s="919"/>
      <c r="F1380" s="920"/>
    </row>
    <row r="1381" spans="4:6" x14ac:dyDescent="0.2">
      <c r="D1381" s="919"/>
      <c r="E1381" s="919"/>
      <c r="F1381" s="920"/>
    </row>
    <row r="1382" spans="4:6" x14ac:dyDescent="0.2">
      <c r="D1382" s="919"/>
      <c r="E1382" s="919"/>
      <c r="F1382" s="920"/>
    </row>
    <row r="1383" spans="4:6" x14ac:dyDescent="0.2">
      <c r="D1383" s="919"/>
      <c r="E1383" s="919"/>
      <c r="F1383" s="920"/>
    </row>
    <row r="1384" spans="4:6" x14ac:dyDescent="0.2">
      <c r="D1384" s="919"/>
      <c r="E1384" s="919"/>
      <c r="F1384" s="920"/>
    </row>
    <row r="1385" spans="4:6" x14ac:dyDescent="0.2">
      <c r="D1385" s="919"/>
      <c r="E1385" s="919"/>
      <c r="F1385" s="920"/>
    </row>
    <row r="1386" spans="4:6" x14ac:dyDescent="0.2">
      <c r="D1386" s="919"/>
      <c r="E1386" s="919"/>
      <c r="F1386" s="920"/>
    </row>
    <row r="1387" spans="4:6" x14ac:dyDescent="0.2">
      <c r="D1387" s="919"/>
      <c r="E1387" s="919"/>
      <c r="F1387" s="920"/>
    </row>
    <row r="1388" spans="4:6" x14ac:dyDescent="0.2">
      <c r="D1388" s="919"/>
      <c r="E1388" s="919"/>
      <c r="F1388" s="920"/>
    </row>
    <row r="1389" spans="4:6" x14ac:dyDescent="0.2">
      <c r="D1389" s="919"/>
      <c r="E1389" s="919"/>
      <c r="F1389" s="920"/>
    </row>
    <row r="1390" spans="4:6" x14ac:dyDescent="0.2">
      <c r="D1390" s="919"/>
      <c r="E1390" s="919"/>
      <c r="F1390" s="920"/>
    </row>
    <row r="1391" spans="4:6" x14ac:dyDescent="0.2">
      <c r="D1391" s="919"/>
      <c r="E1391" s="919"/>
      <c r="F1391" s="920"/>
    </row>
    <row r="1392" spans="4:6" x14ac:dyDescent="0.2">
      <c r="D1392" s="919"/>
      <c r="E1392" s="919"/>
      <c r="F1392" s="920"/>
    </row>
    <row r="1393" spans="4:6" x14ac:dyDescent="0.2">
      <c r="D1393" s="919"/>
      <c r="E1393" s="919"/>
      <c r="F1393" s="920"/>
    </row>
    <row r="1394" spans="4:6" x14ac:dyDescent="0.2">
      <c r="D1394" s="919"/>
      <c r="E1394" s="919"/>
      <c r="F1394" s="920"/>
    </row>
    <row r="1395" spans="4:6" x14ac:dyDescent="0.2">
      <c r="D1395" s="919"/>
      <c r="E1395" s="919"/>
      <c r="F1395" s="920"/>
    </row>
    <row r="1396" spans="4:6" x14ac:dyDescent="0.2">
      <c r="D1396" s="919"/>
      <c r="E1396" s="919"/>
      <c r="F1396" s="920"/>
    </row>
    <row r="1397" spans="4:6" x14ac:dyDescent="0.2">
      <c r="D1397" s="919"/>
      <c r="E1397" s="919"/>
      <c r="F1397" s="920"/>
    </row>
    <row r="1398" spans="4:6" x14ac:dyDescent="0.2">
      <c r="D1398" s="919"/>
      <c r="E1398" s="919"/>
      <c r="F1398" s="920"/>
    </row>
    <row r="1399" spans="4:6" x14ac:dyDescent="0.2">
      <c r="D1399" s="919"/>
      <c r="E1399" s="919"/>
      <c r="F1399" s="920"/>
    </row>
    <row r="1400" spans="4:6" x14ac:dyDescent="0.2">
      <c r="D1400" s="919"/>
      <c r="E1400" s="919"/>
      <c r="F1400" s="920"/>
    </row>
    <row r="1401" spans="4:6" x14ac:dyDescent="0.2">
      <c r="D1401" s="919"/>
      <c r="E1401" s="919"/>
      <c r="F1401" s="920"/>
    </row>
    <row r="1402" spans="4:6" x14ac:dyDescent="0.2">
      <c r="D1402" s="919"/>
      <c r="E1402" s="919"/>
      <c r="F1402" s="920"/>
    </row>
    <row r="1403" spans="4:6" x14ac:dyDescent="0.2">
      <c r="D1403" s="919"/>
      <c r="E1403" s="919"/>
      <c r="F1403" s="920"/>
    </row>
    <row r="1404" spans="4:6" x14ac:dyDescent="0.2">
      <c r="D1404" s="919"/>
      <c r="E1404" s="919"/>
      <c r="F1404" s="920"/>
    </row>
    <row r="1405" spans="4:6" x14ac:dyDescent="0.2">
      <c r="D1405" s="919"/>
      <c r="E1405" s="919"/>
      <c r="F1405" s="920"/>
    </row>
    <row r="1406" spans="4:6" x14ac:dyDescent="0.2">
      <c r="D1406" s="919"/>
      <c r="E1406" s="919"/>
      <c r="F1406" s="920"/>
    </row>
    <row r="1407" spans="4:6" x14ac:dyDescent="0.2">
      <c r="D1407" s="919"/>
      <c r="E1407" s="919"/>
      <c r="F1407" s="920"/>
    </row>
    <row r="1408" spans="4:6" x14ac:dyDescent="0.2">
      <c r="D1408" s="919"/>
      <c r="E1408" s="919"/>
      <c r="F1408" s="920"/>
    </row>
    <row r="1409" spans="4:6" x14ac:dyDescent="0.2">
      <c r="D1409" s="919"/>
      <c r="E1409" s="919"/>
      <c r="F1409" s="920"/>
    </row>
    <row r="1410" spans="4:6" x14ac:dyDescent="0.2">
      <c r="D1410" s="919"/>
      <c r="E1410" s="919"/>
      <c r="F1410" s="920"/>
    </row>
    <row r="1411" spans="4:6" x14ac:dyDescent="0.2">
      <c r="D1411" s="919"/>
      <c r="E1411" s="919"/>
      <c r="F1411" s="920"/>
    </row>
    <row r="1412" spans="4:6" x14ac:dyDescent="0.2">
      <c r="D1412" s="919"/>
      <c r="E1412" s="919"/>
      <c r="F1412" s="920"/>
    </row>
    <row r="1413" spans="4:6" x14ac:dyDescent="0.2">
      <c r="D1413" s="919"/>
      <c r="E1413" s="919"/>
      <c r="F1413" s="920"/>
    </row>
    <row r="1414" spans="4:6" x14ac:dyDescent="0.2">
      <c r="D1414" s="919"/>
      <c r="E1414" s="919"/>
      <c r="F1414" s="920"/>
    </row>
    <row r="1415" spans="4:6" x14ac:dyDescent="0.2">
      <c r="D1415" s="919"/>
      <c r="E1415" s="919"/>
      <c r="F1415" s="920"/>
    </row>
    <row r="1416" spans="4:6" x14ac:dyDescent="0.2">
      <c r="D1416" s="919"/>
      <c r="E1416" s="919"/>
      <c r="F1416" s="920"/>
    </row>
    <row r="1417" spans="4:6" x14ac:dyDescent="0.2">
      <c r="D1417" s="919"/>
      <c r="E1417" s="919"/>
      <c r="F1417" s="920"/>
    </row>
    <row r="1418" spans="4:6" x14ac:dyDescent="0.2">
      <c r="D1418" s="919"/>
      <c r="E1418" s="919"/>
      <c r="F1418" s="920"/>
    </row>
    <row r="1419" spans="4:6" x14ac:dyDescent="0.2">
      <c r="D1419" s="919"/>
      <c r="E1419" s="919"/>
      <c r="F1419" s="920"/>
    </row>
    <row r="1420" spans="4:6" x14ac:dyDescent="0.2">
      <c r="D1420" s="919"/>
      <c r="E1420" s="919"/>
      <c r="F1420" s="920"/>
    </row>
    <row r="1421" spans="4:6" x14ac:dyDescent="0.2">
      <c r="D1421" s="919"/>
      <c r="E1421" s="919"/>
      <c r="F1421" s="920"/>
    </row>
    <row r="1422" spans="4:6" x14ac:dyDescent="0.2">
      <c r="D1422" s="919"/>
      <c r="E1422" s="919"/>
      <c r="F1422" s="920"/>
    </row>
    <row r="1423" spans="4:6" x14ac:dyDescent="0.2">
      <c r="D1423" s="919"/>
      <c r="E1423" s="919"/>
      <c r="F1423" s="920"/>
    </row>
    <row r="1424" spans="4:6" x14ac:dyDescent="0.2">
      <c r="D1424" s="919"/>
      <c r="E1424" s="919"/>
      <c r="F1424" s="920"/>
    </row>
    <row r="1425" spans="4:6" x14ac:dyDescent="0.2">
      <c r="D1425" s="919"/>
      <c r="E1425" s="919"/>
      <c r="F1425" s="920"/>
    </row>
    <row r="1426" spans="4:6" x14ac:dyDescent="0.2">
      <c r="D1426" s="919"/>
      <c r="E1426" s="919"/>
      <c r="F1426" s="920"/>
    </row>
    <row r="1427" spans="4:6" x14ac:dyDescent="0.2">
      <c r="D1427" s="919"/>
      <c r="E1427" s="919"/>
      <c r="F1427" s="920"/>
    </row>
    <row r="1428" spans="4:6" x14ac:dyDescent="0.2">
      <c r="D1428" s="919"/>
      <c r="E1428" s="919"/>
      <c r="F1428" s="920"/>
    </row>
    <row r="1429" spans="4:6" x14ac:dyDescent="0.2">
      <c r="D1429" s="919"/>
      <c r="E1429" s="919"/>
      <c r="F1429" s="920"/>
    </row>
    <row r="1430" spans="4:6" x14ac:dyDescent="0.2">
      <c r="D1430" s="919"/>
      <c r="E1430" s="919"/>
      <c r="F1430" s="920"/>
    </row>
    <row r="1431" spans="4:6" x14ac:dyDescent="0.2">
      <c r="D1431" s="919"/>
      <c r="E1431" s="919"/>
      <c r="F1431" s="920"/>
    </row>
    <row r="1432" spans="4:6" x14ac:dyDescent="0.2">
      <c r="D1432" s="919"/>
      <c r="E1432" s="919"/>
      <c r="F1432" s="920"/>
    </row>
    <row r="1433" spans="4:6" x14ac:dyDescent="0.2">
      <c r="D1433" s="919"/>
      <c r="E1433" s="919"/>
      <c r="F1433" s="920"/>
    </row>
    <row r="1434" spans="4:6" x14ac:dyDescent="0.2">
      <c r="D1434" s="919"/>
      <c r="E1434" s="919"/>
      <c r="F1434" s="920"/>
    </row>
    <row r="1435" spans="4:6" x14ac:dyDescent="0.2">
      <c r="D1435" s="919"/>
      <c r="E1435" s="919"/>
      <c r="F1435" s="920"/>
    </row>
    <row r="1436" spans="4:6" x14ac:dyDescent="0.2">
      <c r="D1436" s="919"/>
      <c r="E1436" s="919"/>
      <c r="F1436" s="920"/>
    </row>
    <row r="1437" spans="4:6" x14ac:dyDescent="0.2">
      <c r="D1437" s="919"/>
      <c r="E1437" s="919"/>
      <c r="F1437" s="920"/>
    </row>
    <row r="1438" spans="4:6" x14ac:dyDescent="0.2">
      <c r="D1438" s="919"/>
      <c r="E1438" s="919"/>
      <c r="F1438" s="920"/>
    </row>
    <row r="1439" spans="4:6" x14ac:dyDescent="0.2">
      <c r="D1439" s="919"/>
      <c r="E1439" s="919"/>
      <c r="F1439" s="920"/>
    </row>
    <row r="1440" spans="4:6" x14ac:dyDescent="0.2">
      <c r="D1440" s="919"/>
      <c r="E1440" s="919"/>
      <c r="F1440" s="920"/>
    </row>
    <row r="1441" spans="4:6" x14ac:dyDescent="0.2">
      <c r="D1441" s="919"/>
      <c r="E1441" s="919"/>
      <c r="F1441" s="920"/>
    </row>
    <row r="1442" spans="4:6" x14ac:dyDescent="0.2">
      <c r="D1442" s="919"/>
      <c r="E1442" s="919"/>
      <c r="F1442" s="920"/>
    </row>
    <row r="1443" spans="4:6" x14ac:dyDescent="0.2">
      <c r="D1443" s="919"/>
      <c r="E1443" s="919"/>
      <c r="F1443" s="920"/>
    </row>
    <row r="1444" spans="4:6" x14ac:dyDescent="0.2">
      <c r="D1444" s="919"/>
      <c r="E1444" s="919"/>
      <c r="F1444" s="920"/>
    </row>
    <row r="1445" spans="4:6" x14ac:dyDescent="0.2">
      <c r="D1445" s="919"/>
      <c r="E1445" s="919"/>
      <c r="F1445" s="920"/>
    </row>
    <row r="1446" spans="4:6" x14ac:dyDescent="0.2">
      <c r="D1446" s="919"/>
      <c r="E1446" s="919"/>
      <c r="F1446" s="920"/>
    </row>
    <row r="1447" spans="4:6" x14ac:dyDescent="0.2">
      <c r="D1447" s="919"/>
      <c r="E1447" s="919"/>
      <c r="F1447" s="920"/>
    </row>
    <row r="1448" spans="4:6" x14ac:dyDescent="0.2">
      <c r="D1448" s="919"/>
      <c r="E1448" s="919"/>
      <c r="F1448" s="920"/>
    </row>
    <row r="1449" spans="4:6" x14ac:dyDescent="0.2">
      <c r="D1449" s="919"/>
      <c r="E1449" s="919"/>
      <c r="F1449" s="920"/>
    </row>
    <row r="1450" spans="4:6" x14ac:dyDescent="0.2">
      <c r="D1450" s="919"/>
      <c r="E1450" s="919"/>
      <c r="F1450" s="920"/>
    </row>
    <row r="1451" spans="4:6" x14ac:dyDescent="0.2">
      <c r="D1451" s="919"/>
      <c r="E1451" s="919"/>
      <c r="F1451" s="920"/>
    </row>
    <row r="1452" spans="4:6" x14ac:dyDescent="0.2">
      <c r="D1452" s="919"/>
      <c r="E1452" s="919"/>
      <c r="F1452" s="920"/>
    </row>
    <row r="1453" spans="4:6" x14ac:dyDescent="0.2">
      <c r="D1453" s="919"/>
      <c r="E1453" s="919"/>
      <c r="F1453" s="920"/>
    </row>
    <row r="1454" spans="4:6" x14ac:dyDescent="0.2">
      <c r="D1454" s="919"/>
      <c r="E1454" s="919"/>
      <c r="F1454" s="920"/>
    </row>
    <row r="1455" spans="4:6" x14ac:dyDescent="0.2">
      <c r="D1455" s="919"/>
      <c r="E1455" s="919"/>
      <c r="F1455" s="920"/>
    </row>
    <row r="1456" spans="4:6" x14ac:dyDescent="0.2">
      <c r="D1456" s="919"/>
      <c r="E1456" s="919"/>
      <c r="F1456" s="920"/>
    </row>
    <row r="1457" spans="4:6" x14ac:dyDescent="0.2">
      <c r="D1457" s="919"/>
      <c r="E1457" s="919"/>
      <c r="F1457" s="920"/>
    </row>
    <row r="1458" spans="4:6" x14ac:dyDescent="0.2">
      <c r="D1458" s="919"/>
      <c r="E1458" s="919"/>
      <c r="F1458" s="920"/>
    </row>
    <row r="1459" spans="4:6" x14ac:dyDescent="0.2">
      <c r="D1459" s="919"/>
      <c r="E1459" s="919"/>
      <c r="F1459" s="920"/>
    </row>
    <row r="1460" spans="4:6" x14ac:dyDescent="0.2">
      <c r="D1460" s="919"/>
      <c r="E1460" s="919"/>
      <c r="F1460" s="920"/>
    </row>
    <row r="1461" spans="4:6" x14ac:dyDescent="0.2">
      <c r="D1461" s="919"/>
      <c r="E1461" s="919"/>
      <c r="F1461" s="920"/>
    </row>
    <row r="1462" spans="4:6" x14ac:dyDescent="0.2">
      <c r="D1462" s="919"/>
      <c r="E1462" s="919"/>
      <c r="F1462" s="920"/>
    </row>
    <row r="1463" spans="4:6" x14ac:dyDescent="0.2">
      <c r="D1463" s="919"/>
      <c r="E1463" s="919"/>
      <c r="F1463" s="920"/>
    </row>
    <row r="1464" spans="4:6" x14ac:dyDescent="0.2">
      <c r="D1464" s="919"/>
      <c r="E1464" s="919"/>
      <c r="F1464" s="920"/>
    </row>
    <row r="1465" spans="4:6" x14ac:dyDescent="0.2">
      <c r="D1465" s="919"/>
      <c r="E1465" s="919"/>
      <c r="F1465" s="920"/>
    </row>
    <row r="1466" spans="4:6" x14ac:dyDescent="0.2">
      <c r="D1466" s="919"/>
      <c r="E1466" s="919"/>
      <c r="F1466" s="920"/>
    </row>
    <row r="1467" spans="4:6" x14ac:dyDescent="0.2">
      <c r="D1467" s="919"/>
      <c r="E1467" s="919"/>
      <c r="F1467" s="920"/>
    </row>
    <row r="1468" spans="4:6" x14ac:dyDescent="0.2">
      <c r="D1468" s="919"/>
      <c r="E1468" s="919"/>
      <c r="F1468" s="920"/>
    </row>
    <row r="1469" spans="4:6" x14ac:dyDescent="0.2">
      <c r="D1469" s="919"/>
      <c r="E1469" s="919"/>
      <c r="F1469" s="920"/>
    </row>
    <row r="1470" spans="4:6" x14ac:dyDescent="0.2">
      <c r="D1470" s="919"/>
      <c r="E1470" s="919"/>
      <c r="F1470" s="920"/>
    </row>
    <row r="1471" spans="4:6" x14ac:dyDescent="0.2">
      <c r="D1471" s="919"/>
      <c r="E1471" s="919"/>
      <c r="F1471" s="920"/>
    </row>
    <row r="1472" spans="4:6" x14ac:dyDescent="0.2">
      <c r="D1472" s="919"/>
      <c r="E1472" s="919"/>
      <c r="F1472" s="920"/>
    </row>
    <row r="1473" spans="4:6" x14ac:dyDescent="0.2">
      <c r="D1473" s="919"/>
      <c r="E1473" s="919"/>
      <c r="F1473" s="920"/>
    </row>
    <row r="1474" spans="4:6" x14ac:dyDescent="0.2">
      <c r="D1474" s="919"/>
      <c r="E1474" s="919"/>
      <c r="F1474" s="920"/>
    </row>
    <row r="1475" spans="4:6" x14ac:dyDescent="0.2">
      <c r="D1475" s="919"/>
      <c r="E1475" s="919"/>
      <c r="F1475" s="920"/>
    </row>
    <row r="1476" spans="4:6" x14ac:dyDescent="0.2">
      <c r="D1476" s="919"/>
      <c r="E1476" s="919"/>
      <c r="F1476" s="920"/>
    </row>
    <row r="1477" spans="4:6" x14ac:dyDescent="0.2">
      <c r="D1477" s="919"/>
      <c r="E1477" s="919"/>
      <c r="F1477" s="920"/>
    </row>
    <row r="1478" spans="4:6" x14ac:dyDescent="0.2">
      <c r="D1478" s="919"/>
      <c r="E1478" s="919"/>
      <c r="F1478" s="920"/>
    </row>
    <row r="1479" spans="4:6" x14ac:dyDescent="0.2">
      <c r="D1479" s="919"/>
      <c r="E1479" s="919"/>
      <c r="F1479" s="920"/>
    </row>
    <row r="1480" spans="4:6" x14ac:dyDescent="0.2">
      <c r="D1480" s="919"/>
      <c r="E1480" s="919"/>
      <c r="F1480" s="920"/>
    </row>
    <row r="1481" spans="4:6" x14ac:dyDescent="0.2">
      <c r="D1481" s="919"/>
      <c r="E1481" s="919"/>
      <c r="F1481" s="920"/>
    </row>
    <row r="1482" spans="4:6" x14ac:dyDescent="0.2">
      <c r="D1482" s="919"/>
      <c r="E1482" s="919"/>
      <c r="F1482" s="920"/>
    </row>
    <row r="1483" spans="4:6" x14ac:dyDescent="0.2">
      <c r="D1483" s="919"/>
      <c r="E1483" s="919"/>
      <c r="F1483" s="920"/>
    </row>
    <row r="1484" spans="4:6" x14ac:dyDescent="0.2">
      <c r="D1484" s="919"/>
      <c r="E1484" s="919"/>
      <c r="F1484" s="920"/>
    </row>
    <row r="1485" spans="4:6" x14ac:dyDescent="0.2">
      <c r="D1485" s="919"/>
      <c r="E1485" s="919"/>
      <c r="F1485" s="920"/>
    </row>
    <row r="1486" spans="4:6" x14ac:dyDescent="0.2">
      <c r="D1486" s="919"/>
      <c r="E1486" s="919"/>
      <c r="F1486" s="920"/>
    </row>
    <row r="1487" spans="4:6" x14ac:dyDescent="0.2">
      <c r="D1487" s="919"/>
      <c r="E1487" s="919"/>
      <c r="F1487" s="920"/>
    </row>
    <row r="1488" spans="4:6" x14ac:dyDescent="0.2">
      <c r="D1488" s="919"/>
      <c r="E1488" s="919"/>
      <c r="F1488" s="920"/>
    </row>
    <row r="1489" spans="4:6" x14ac:dyDescent="0.2">
      <c r="D1489" s="919"/>
      <c r="E1489" s="919"/>
      <c r="F1489" s="920"/>
    </row>
    <row r="1490" spans="4:6" x14ac:dyDescent="0.2">
      <c r="D1490" s="919"/>
      <c r="E1490" s="919"/>
      <c r="F1490" s="920"/>
    </row>
    <row r="1491" spans="4:6" x14ac:dyDescent="0.2">
      <c r="D1491" s="919"/>
      <c r="E1491" s="919"/>
      <c r="F1491" s="920"/>
    </row>
    <row r="1492" spans="4:6" x14ac:dyDescent="0.2">
      <c r="D1492" s="919"/>
      <c r="E1492" s="919"/>
      <c r="F1492" s="920"/>
    </row>
    <row r="1493" spans="4:6" x14ac:dyDescent="0.2">
      <c r="D1493" s="919"/>
      <c r="E1493" s="919"/>
      <c r="F1493" s="920"/>
    </row>
    <row r="1494" spans="4:6" x14ac:dyDescent="0.2">
      <c r="D1494" s="919"/>
      <c r="E1494" s="919"/>
      <c r="F1494" s="920"/>
    </row>
    <row r="1495" spans="4:6" x14ac:dyDescent="0.2">
      <c r="D1495" s="919"/>
      <c r="E1495" s="919"/>
      <c r="F1495" s="920"/>
    </row>
    <row r="1496" spans="4:6" x14ac:dyDescent="0.2">
      <c r="D1496" s="919"/>
      <c r="E1496" s="919"/>
      <c r="F1496" s="920"/>
    </row>
    <row r="1497" spans="4:6" x14ac:dyDescent="0.2">
      <c r="D1497" s="919"/>
      <c r="E1497" s="919"/>
      <c r="F1497" s="920"/>
    </row>
    <row r="1498" spans="4:6" x14ac:dyDescent="0.2">
      <c r="D1498" s="919"/>
      <c r="E1498" s="919"/>
      <c r="F1498" s="920"/>
    </row>
    <row r="1499" spans="4:6" x14ac:dyDescent="0.2">
      <c r="D1499" s="919"/>
      <c r="E1499" s="919"/>
      <c r="F1499" s="920"/>
    </row>
    <row r="1500" spans="4:6" x14ac:dyDescent="0.2">
      <c r="D1500" s="919"/>
      <c r="E1500" s="919"/>
      <c r="F1500" s="920"/>
    </row>
    <row r="1501" spans="4:6" x14ac:dyDescent="0.2">
      <c r="D1501" s="919"/>
      <c r="E1501" s="919"/>
      <c r="F1501" s="920"/>
    </row>
    <row r="1502" spans="4:6" x14ac:dyDescent="0.2">
      <c r="D1502" s="919"/>
      <c r="E1502" s="919"/>
      <c r="F1502" s="920"/>
    </row>
    <row r="1503" spans="4:6" x14ac:dyDescent="0.2">
      <c r="D1503" s="919"/>
      <c r="E1503" s="919"/>
      <c r="F1503" s="920"/>
    </row>
    <row r="1504" spans="4:6" x14ac:dyDescent="0.2">
      <c r="D1504" s="919"/>
      <c r="E1504" s="919"/>
      <c r="F1504" s="920"/>
    </row>
    <row r="1505" spans="4:6" x14ac:dyDescent="0.2">
      <c r="D1505" s="919"/>
      <c r="E1505" s="919"/>
      <c r="F1505" s="920"/>
    </row>
    <row r="1506" spans="4:6" x14ac:dyDescent="0.2">
      <c r="D1506" s="919"/>
      <c r="E1506" s="919"/>
      <c r="F1506" s="920"/>
    </row>
    <row r="1507" spans="4:6" x14ac:dyDescent="0.2">
      <c r="D1507" s="919"/>
      <c r="E1507" s="919"/>
      <c r="F1507" s="920"/>
    </row>
    <row r="1508" spans="4:6" x14ac:dyDescent="0.2">
      <c r="D1508" s="919"/>
      <c r="E1508" s="919"/>
      <c r="F1508" s="920"/>
    </row>
    <row r="1509" spans="4:6" x14ac:dyDescent="0.2">
      <c r="D1509" s="919"/>
      <c r="E1509" s="919"/>
      <c r="F1509" s="920"/>
    </row>
    <row r="1510" spans="4:6" x14ac:dyDescent="0.2">
      <c r="D1510" s="919"/>
      <c r="E1510" s="919"/>
      <c r="F1510" s="920"/>
    </row>
    <row r="1511" spans="4:6" x14ac:dyDescent="0.2">
      <c r="D1511" s="919"/>
      <c r="E1511" s="919"/>
      <c r="F1511" s="920"/>
    </row>
    <row r="1512" spans="4:6" x14ac:dyDescent="0.2">
      <c r="D1512" s="919"/>
      <c r="E1512" s="919"/>
      <c r="F1512" s="920"/>
    </row>
    <row r="1513" spans="4:6" x14ac:dyDescent="0.2">
      <c r="D1513" s="919"/>
      <c r="E1513" s="919"/>
      <c r="F1513" s="920"/>
    </row>
    <row r="1514" spans="4:6" x14ac:dyDescent="0.2">
      <c r="D1514" s="919"/>
      <c r="E1514" s="919"/>
      <c r="F1514" s="920"/>
    </row>
    <row r="1515" spans="4:6" x14ac:dyDescent="0.2">
      <c r="D1515" s="919"/>
      <c r="E1515" s="919"/>
      <c r="F1515" s="920"/>
    </row>
    <row r="1516" spans="4:6" x14ac:dyDescent="0.2">
      <c r="D1516" s="919"/>
      <c r="E1516" s="919"/>
      <c r="F1516" s="920"/>
    </row>
    <row r="1517" spans="4:6" x14ac:dyDescent="0.2">
      <c r="D1517" s="919"/>
      <c r="E1517" s="919"/>
      <c r="F1517" s="920"/>
    </row>
    <row r="1518" spans="4:6" x14ac:dyDescent="0.2">
      <c r="D1518" s="919"/>
      <c r="E1518" s="919"/>
      <c r="F1518" s="920"/>
    </row>
    <row r="1519" spans="4:6" x14ac:dyDescent="0.2">
      <c r="D1519" s="919"/>
      <c r="E1519" s="919"/>
      <c r="F1519" s="920"/>
    </row>
    <row r="1520" spans="4:6" x14ac:dyDescent="0.2">
      <c r="D1520" s="919"/>
      <c r="E1520" s="919"/>
      <c r="F1520" s="920"/>
    </row>
    <row r="1521" spans="4:6" x14ac:dyDescent="0.2">
      <c r="D1521" s="919"/>
      <c r="E1521" s="919"/>
      <c r="F1521" s="920"/>
    </row>
    <row r="1522" spans="4:6" x14ac:dyDescent="0.2">
      <c r="D1522" s="919"/>
      <c r="E1522" s="919"/>
      <c r="F1522" s="920"/>
    </row>
    <row r="1523" spans="4:6" x14ac:dyDescent="0.2">
      <c r="D1523" s="919"/>
      <c r="E1523" s="919"/>
      <c r="F1523" s="920"/>
    </row>
    <row r="1524" spans="4:6" x14ac:dyDescent="0.2">
      <c r="D1524" s="919"/>
      <c r="E1524" s="919"/>
      <c r="F1524" s="920"/>
    </row>
    <row r="1525" spans="4:6" x14ac:dyDescent="0.2">
      <c r="D1525" s="919"/>
      <c r="E1525" s="919"/>
      <c r="F1525" s="920"/>
    </row>
    <row r="1526" spans="4:6" x14ac:dyDescent="0.2">
      <c r="D1526" s="919"/>
      <c r="E1526" s="919"/>
      <c r="F1526" s="920"/>
    </row>
    <row r="1527" spans="4:6" x14ac:dyDescent="0.2">
      <c r="D1527" s="919"/>
      <c r="E1527" s="919"/>
      <c r="F1527" s="920"/>
    </row>
    <row r="1528" spans="4:6" x14ac:dyDescent="0.2">
      <c r="D1528" s="919"/>
      <c r="E1528" s="919"/>
      <c r="F1528" s="920"/>
    </row>
    <row r="1529" spans="4:6" x14ac:dyDescent="0.2">
      <c r="D1529" s="919"/>
      <c r="E1529" s="919"/>
      <c r="F1529" s="920"/>
    </row>
    <row r="1530" spans="4:6" x14ac:dyDescent="0.2">
      <c r="D1530" s="919"/>
      <c r="E1530" s="919"/>
      <c r="F1530" s="920"/>
    </row>
    <row r="1531" spans="4:6" x14ac:dyDescent="0.2">
      <c r="D1531" s="919"/>
      <c r="E1531" s="919"/>
      <c r="F1531" s="920"/>
    </row>
    <row r="1532" spans="4:6" x14ac:dyDescent="0.2">
      <c r="D1532" s="919"/>
      <c r="E1532" s="919"/>
      <c r="F1532" s="920"/>
    </row>
    <row r="1533" spans="4:6" x14ac:dyDescent="0.2">
      <c r="D1533" s="919"/>
      <c r="E1533" s="919"/>
      <c r="F1533" s="920"/>
    </row>
    <row r="1534" spans="4:6" x14ac:dyDescent="0.2">
      <c r="D1534" s="919"/>
      <c r="E1534" s="919"/>
      <c r="F1534" s="920"/>
    </row>
    <row r="1535" spans="4:6" x14ac:dyDescent="0.2">
      <c r="D1535" s="919"/>
      <c r="E1535" s="919"/>
      <c r="F1535" s="920"/>
    </row>
    <row r="1536" spans="4:6" x14ac:dyDescent="0.2">
      <c r="D1536" s="919"/>
      <c r="E1536" s="919"/>
      <c r="F1536" s="920"/>
    </row>
    <row r="1537" spans="4:6" x14ac:dyDescent="0.2">
      <c r="D1537" s="919"/>
      <c r="E1537" s="919"/>
      <c r="F1537" s="920"/>
    </row>
    <row r="1538" spans="4:6" x14ac:dyDescent="0.2">
      <c r="D1538" s="919"/>
      <c r="E1538" s="919"/>
      <c r="F1538" s="920"/>
    </row>
    <row r="1539" spans="4:6" x14ac:dyDescent="0.2">
      <c r="D1539" s="919"/>
      <c r="E1539" s="919"/>
      <c r="F1539" s="920"/>
    </row>
    <row r="1540" spans="4:6" x14ac:dyDescent="0.2">
      <c r="D1540" s="919"/>
      <c r="E1540" s="919"/>
      <c r="F1540" s="920"/>
    </row>
    <row r="1541" spans="4:6" x14ac:dyDescent="0.2">
      <c r="D1541" s="919"/>
      <c r="E1541" s="919"/>
      <c r="F1541" s="920"/>
    </row>
    <row r="1542" spans="4:6" x14ac:dyDescent="0.2">
      <c r="D1542" s="919"/>
      <c r="E1542" s="919"/>
      <c r="F1542" s="920"/>
    </row>
    <row r="1543" spans="4:6" x14ac:dyDescent="0.2">
      <c r="D1543" s="919"/>
      <c r="E1543" s="919"/>
      <c r="F1543" s="920"/>
    </row>
    <row r="1544" spans="4:6" x14ac:dyDescent="0.2">
      <c r="D1544" s="919"/>
      <c r="E1544" s="919"/>
      <c r="F1544" s="920"/>
    </row>
    <row r="1545" spans="4:6" x14ac:dyDescent="0.2">
      <c r="D1545" s="919"/>
      <c r="E1545" s="919"/>
      <c r="F1545" s="920"/>
    </row>
    <row r="1546" spans="4:6" x14ac:dyDescent="0.2">
      <c r="D1546" s="919"/>
      <c r="E1546" s="919"/>
      <c r="F1546" s="920"/>
    </row>
    <row r="1547" spans="4:6" x14ac:dyDescent="0.2">
      <c r="D1547" s="919"/>
      <c r="E1547" s="919"/>
      <c r="F1547" s="920"/>
    </row>
    <row r="1548" spans="4:6" x14ac:dyDescent="0.2">
      <c r="D1548" s="919"/>
      <c r="E1548" s="919"/>
      <c r="F1548" s="920"/>
    </row>
    <row r="1549" spans="4:6" x14ac:dyDescent="0.2">
      <c r="D1549" s="919"/>
      <c r="E1549" s="919"/>
      <c r="F1549" s="920"/>
    </row>
    <row r="1550" spans="4:6" x14ac:dyDescent="0.2">
      <c r="D1550" s="919"/>
      <c r="E1550" s="919"/>
      <c r="F1550" s="920"/>
    </row>
    <row r="1551" spans="4:6" x14ac:dyDescent="0.2">
      <c r="D1551" s="919"/>
      <c r="E1551" s="919"/>
      <c r="F1551" s="920"/>
    </row>
    <row r="1552" spans="4:6" x14ac:dyDescent="0.2">
      <c r="D1552" s="919"/>
      <c r="E1552" s="919"/>
      <c r="F1552" s="920"/>
    </row>
    <row r="1553" spans="4:6" x14ac:dyDescent="0.2">
      <c r="D1553" s="919"/>
      <c r="E1553" s="919"/>
      <c r="F1553" s="920"/>
    </row>
    <row r="1554" spans="4:6" x14ac:dyDescent="0.2">
      <c r="D1554" s="919"/>
      <c r="E1554" s="919"/>
      <c r="F1554" s="920"/>
    </row>
    <row r="1555" spans="4:6" x14ac:dyDescent="0.2">
      <c r="D1555" s="919"/>
      <c r="E1555" s="919"/>
      <c r="F1555" s="920"/>
    </row>
    <row r="1556" spans="4:6" x14ac:dyDescent="0.2">
      <c r="D1556" s="919"/>
      <c r="E1556" s="919"/>
      <c r="F1556" s="920"/>
    </row>
    <row r="1557" spans="4:6" x14ac:dyDescent="0.2">
      <c r="D1557" s="919"/>
      <c r="E1557" s="919"/>
      <c r="F1557" s="920"/>
    </row>
    <row r="1558" spans="4:6" x14ac:dyDescent="0.2">
      <c r="D1558" s="919"/>
      <c r="E1558" s="919"/>
      <c r="F1558" s="920"/>
    </row>
    <row r="1559" spans="4:6" x14ac:dyDescent="0.2">
      <c r="D1559" s="919"/>
      <c r="E1559" s="919"/>
      <c r="F1559" s="920"/>
    </row>
    <row r="1560" spans="4:6" x14ac:dyDescent="0.2">
      <c r="D1560" s="919"/>
      <c r="E1560" s="919"/>
      <c r="F1560" s="920"/>
    </row>
    <row r="1561" spans="4:6" x14ac:dyDescent="0.2">
      <c r="D1561" s="919"/>
      <c r="E1561" s="919"/>
      <c r="F1561" s="920"/>
    </row>
    <row r="1562" spans="4:6" x14ac:dyDescent="0.2">
      <c r="D1562" s="919"/>
      <c r="E1562" s="919"/>
      <c r="F1562" s="920"/>
    </row>
    <row r="1563" spans="4:6" x14ac:dyDescent="0.2">
      <c r="D1563" s="919"/>
      <c r="E1563" s="919"/>
      <c r="F1563" s="920"/>
    </row>
    <row r="1564" spans="4:6" x14ac:dyDescent="0.2">
      <c r="D1564" s="919"/>
      <c r="E1564" s="919"/>
      <c r="F1564" s="920"/>
    </row>
    <row r="1565" spans="4:6" x14ac:dyDescent="0.2">
      <c r="D1565" s="919"/>
      <c r="E1565" s="919"/>
      <c r="F1565" s="920"/>
    </row>
    <row r="1566" spans="4:6" x14ac:dyDescent="0.2">
      <c r="D1566" s="919"/>
      <c r="E1566" s="919"/>
      <c r="F1566" s="920"/>
    </row>
    <row r="1567" spans="4:6" x14ac:dyDescent="0.2">
      <c r="D1567" s="919"/>
      <c r="E1567" s="919"/>
      <c r="F1567" s="920"/>
    </row>
    <row r="1568" spans="4:6" x14ac:dyDescent="0.2">
      <c r="D1568" s="919"/>
      <c r="E1568" s="919"/>
      <c r="F1568" s="920"/>
    </row>
    <row r="1569" spans="4:6" x14ac:dyDescent="0.2">
      <c r="D1569" s="919"/>
      <c r="E1569" s="919"/>
      <c r="F1569" s="920"/>
    </row>
    <row r="1570" spans="4:6" x14ac:dyDescent="0.2">
      <c r="D1570" s="919"/>
      <c r="E1570" s="919"/>
      <c r="F1570" s="920"/>
    </row>
    <row r="1571" spans="4:6" x14ac:dyDescent="0.2">
      <c r="D1571" s="919"/>
      <c r="E1571" s="919"/>
      <c r="F1571" s="920"/>
    </row>
    <row r="1572" spans="4:6" x14ac:dyDescent="0.2">
      <c r="D1572" s="919"/>
      <c r="E1572" s="919"/>
      <c r="F1572" s="920"/>
    </row>
    <row r="1573" spans="4:6" x14ac:dyDescent="0.2">
      <c r="D1573" s="919"/>
      <c r="E1573" s="919"/>
      <c r="F1573" s="920"/>
    </row>
    <row r="1574" spans="4:6" x14ac:dyDescent="0.2">
      <c r="D1574" s="919"/>
      <c r="E1574" s="919"/>
      <c r="F1574" s="920"/>
    </row>
    <row r="1575" spans="4:6" x14ac:dyDescent="0.2">
      <c r="D1575" s="919"/>
      <c r="E1575" s="919"/>
      <c r="F1575" s="920"/>
    </row>
    <row r="1576" spans="4:6" x14ac:dyDescent="0.2">
      <c r="D1576" s="919"/>
      <c r="E1576" s="919"/>
      <c r="F1576" s="920"/>
    </row>
    <row r="1577" spans="4:6" x14ac:dyDescent="0.2">
      <c r="D1577" s="919"/>
      <c r="E1577" s="919"/>
      <c r="F1577" s="920"/>
    </row>
  </sheetData>
  <mergeCells count="3">
    <mergeCell ref="B2:C2"/>
    <mergeCell ref="D2:E2"/>
    <mergeCell ref="A1:F1"/>
  </mergeCells>
  <phoneticPr fontId="19" type="noConversion"/>
  <printOptions horizontalCentered="1"/>
  <pageMargins left="0" right="0" top="1.5" bottom="1" header="0.33" footer="0.5"/>
  <pageSetup scale="99" fitToHeight="0" orientation="portrait" r:id="rId1"/>
  <headerFooter alignWithMargins="0">
    <oddHeader>&amp;C&amp;"Arial,Bold"&amp;12DEPARTMENT OF CORRECTIONS
 COST OF CARE Year 2017
(Based on Fiscal Year 2016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J118"/>
  <sheetViews>
    <sheetView showGridLines="0" zoomScaleNormal="100" workbookViewId="0">
      <pane ySplit="2" topLeftCell="A24" activePane="bottomLeft" state="frozen"/>
      <selection activeCell="B35" sqref="B35"/>
      <selection pane="bottomLeft" activeCell="D39" sqref="D39"/>
    </sheetView>
  </sheetViews>
  <sheetFormatPr defaultColWidth="9.140625" defaultRowHeight="12.75" x14ac:dyDescent="0.2"/>
  <cols>
    <col min="1" max="1" width="22.85546875" style="870" customWidth="1"/>
    <col min="2" max="2" width="9.140625" style="870"/>
    <col min="3" max="3" width="25.28515625" style="870" customWidth="1"/>
    <col min="4" max="4" width="15.140625" style="870" customWidth="1"/>
    <col min="5" max="5" width="15" style="870" customWidth="1"/>
    <col min="6" max="6" width="19.140625" style="870" customWidth="1"/>
    <col min="7" max="7" width="10.140625" style="870" customWidth="1"/>
    <col min="8" max="8" width="15.42578125" style="870" customWidth="1"/>
    <col min="9" max="9" width="12.28515625" style="870" bestFit="1" customWidth="1"/>
    <col min="10" max="10" width="10.5703125" style="870" bestFit="1" customWidth="1"/>
    <col min="11" max="16384" width="9.140625" style="870"/>
  </cols>
  <sheetData>
    <row r="1" spans="1:9" ht="29.25" customHeight="1" thickBot="1" x14ac:dyDescent="0.25">
      <c r="A1" s="1116" t="s">
        <v>123</v>
      </c>
      <c r="B1" s="1116"/>
      <c r="C1" s="1116"/>
      <c r="D1" s="1116"/>
      <c r="E1" s="1116"/>
      <c r="F1" s="1116"/>
    </row>
    <row r="2" spans="1:9" ht="36.75" customHeight="1" thickTop="1" thickBot="1" x14ac:dyDescent="0.25">
      <c r="A2" s="943" t="s">
        <v>1</v>
      </c>
      <c r="B2" s="1121" t="s">
        <v>49</v>
      </c>
      <c r="C2" s="1122"/>
      <c r="D2" s="1117" t="s">
        <v>4</v>
      </c>
      <c r="E2" s="1118"/>
      <c r="F2" s="944" t="s">
        <v>27</v>
      </c>
      <c r="G2" s="873" t="s">
        <v>727</v>
      </c>
      <c r="H2" s="874"/>
    </row>
    <row r="3" spans="1:9" ht="15" customHeight="1" thickTop="1" x14ac:dyDescent="0.2">
      <c r="A3" s="945" t="s">
        <v>840</v>
      </c>
      <c r="B3" s="1123" t="s">
        <v>242</v>
      </c>
      <c r="C3" s="1124"/>
      <c r="D3" s="946"/>
      <c r="E3" s="947">
        <v>0</v>
      </c>
      <c r="F3" s="948"/>
    </row>
    <row r="4" spans="1:9" x14ac:dyDescent="0.2">
      <c r="A4" s="949" t="s">
        <v>839</v>
      </c>
      <c r="B4" s="950" t="s">
        <v>50</v>
      </c>
      <c r="C4" s="951"/>
      <c r="D4" s="909"/>
      <c r="E4" s="879">
        <v>0</v>
      </c>
      <c r="F4" s="880"/>
    </row>
    <row r="5" spans="1:9" x14ac:dyDescent="0.2">
      <c r="A5" s="564"/>
      <c r="B5" s="952" t="s">
        <v>134</v>
      </c>
      <c r="C5" s="881"/>
      <c r="D5" s="882"/>
      <c r="E5" s="929">
        <f>SUM(D6:D10)</f>
        <v>0</v>
      </c>
      <c r="F5" s="883"/>
    </row>
    <row r="6" spans="1:9" x14ac:dyDescent="0.2">
      <c r="A6" s="564"/>
      <c r="B6" s="884"/>
      <c r="C6" s="881" t="s">
        <v>320</v>
      </c>
      <c r="D6" s="882">
        <v>0</v>
      </c>
      <c r="E6" s="882"/>
      <c r="F6" s="883"/>
    </row>
    <row r="7" spans="1:9" x14ac:dyDescent="0.2">
      <c r="A7" s="564"/>
      <c r="B7" s="884"/>
      <c r="C7" s="881" t="s">
        <v>322</v>
      </c>
      <c r="D7" s="882">
        <v>0</v>
      </c>
      <c r="E7" s="882"/>
      <c r="F7" s="883"/>
    </row>
    <row r="8" spans="1:9" x14ac:dyDescent="0.2">
      <c r="A8" s="564"/>
      <c r="B8" s="884"/>
      <c r="C8" s="881" t="s">
        <v>323</v>
      </c>
      <c r="D8" s="882">
        <v>0</v>
      </c>
      <c r="E8" s="882"/>
      <c r="F8" s="883"/>
    </row>
    <row r="9" spans="1:9" x14ac:dyDescent="0.2">
      <c r="A9" s="564"/>
      <c r="B9" s="884"/>
      <c r="C9" s="881" t="s">
        <v>325</v>
      </c>
      <c r="D9" s="882">
        <v>0</v>
      </c>
      <c r="E9" s="882"/>
      <c r="F9" s="883"/>
    </row>
    <row r="10" spans="1:9" x14ac:dyDescent="0.2">
      <c r="A10" s="564"/>
      <c r="B10" s="884"/>
      <c r="C10" s="881" t="s">
        <v>482</v>
      </c>
      <c r="D10" s="882">
        <v>0</v>
      </c>
      <c r="E10" s="882"/>
      <c r="F10" s="883"/>
    </row>
    <row r="11" spans="1:9" x14ac:dyDescent="0.2">
      <c r="A11" s="564"/>
      <c r="B11" s="884"/>
      <c r="C11" s="930" t="s">
        <v>326</v>
      </c>
      <c r="D11" s="882">
        <v>0</v>
      </c>
      <c r="E11" s="929">
        <f>SUM(D11)</f>
        <v>0</v>
      </c>
      <c r="F11" s="883"/>
      <c r="I11" s="885"/>
    </row>
    <row r="12" spans="1:9" x14ac:dyDescent="0.2">
      <c r="A12" s="564"/>
      <c r="B12" s="931" t="s">
        <v>481</v>
      </c>
      <c r="C12" s="887"/>
      <c r="D12" s="882"/>
      <c r="E12" s="929">
        <f>SUM(D13:D15)</f>
        <v>0</v>
      </c>
      <c r="F12" s="883"/>
    </row>
    <row r="13" spans="1:9" x14ac:dyDescent="0.2">
      <c r="A13" s="564"/>
      <c r="B13" s="884"/>
      <c r="C13" s="886" t="s">
        <v>327</v>
      </c>
      <c r="D13" s="882">
        <v>0</v>
      </c>
      <c r="E13" s="882"/>
      <c r="F13" s="883"/>
    </row>
    <row r="14" spans="1:9" x14ac:dyDescent="0.2">
      <c r="A14" s="564"/>
      <c r="B14" s="884"/>
      <c r="C14" s="887" t="s">
        <v>331</v>
      </c>
      <c r="D14" s="882">
        <v>0</v>
      </c>
      <c r="E14" s="882"/>
      <c r="F14" s="883"/>
    </row>
    <row r="15" spans="1:9" x14ac:dyDescent="0.2">
      <c r="A15" s="564"/>
      <c r="B15" s="884"/>
      <c r="C15" s="887" t="s">
        <v>133</v>
      </c>
      <c r="D15" s="882">
        <v>0</v>
      </c>
      <c r="E15" s="882"/>
      <c r="F15" s="883"/>
    </row>
    <row r="16" spans="1:9" x14ac:dyDescent="0.2">
      <c r="A16" s="564"/>
      <c r="B16" s="953" t="s">
        <v>332</v>
      </c>
      <c r="C16" s="890"/>
      <c r="D16" s="902">
        <v>0</v>
      </c>
      <c r="E16" s="891">
        <f>SUM(D16)</f>
        <v>0</v>
      </c>
      <c r="F16" s="883"/>
    </row>
    <row r="17" spans="1:8" ht="13.5" thickBot="1" x14ac:dyDescent="0.25">
      <c r="A17" s="954"/>
      <c r="B17" s="955"/>
      <c r="C17" s="956"/>
      <c r="D17" s="910"/>
      <c r="E17" s="900"/>
      <c r="F17" s="957">
        <f>SUM(E3:E16)</f>
        <v>0</v>
      </c>
      <c r="H17" s="898">
        <f>F17-0</f>
        <v>0</v>
      </c>
    </row>
    <row r="18" spans="1:8" ht="13.5" thickTop="1" x14ac:dyDescent="0.2">
      <c r="A18" s="958" t="s">
        <v>430</v>
      </c>
      <c r="B18" s="1119" t="s">
        <v>242</v>
      </c>
      <c r="C18" s="1120"/>
      <c r="D18" s="946"/>
      <c r="E18" s="947">
        <f>313260.38+180846.96+658.5</f>
        <v>494765.83999999997</v>
      </c>
      <c r="F18" s="948"/>
      <c r="G18" s="870">
        <v>1001</v>
      </c>
      <c r="H18" s="870" t="s">
        <v>821</v>
      </c>
    </row>
    <row r="19" spans="1:8" x14ac:dyDescent="0.2">
      <c r="A19" s="949"/>
      <c r="B19" s="950" t="s">
        <v>50</v>
      </c>
      <c r="C19" s="951"/>
      <c r="D19" s="909"/>
      <c r="E19" s="879">
        <v>1107.8499999999999</v>
      </c>
      <c r="F19" s="880"/>
    </row>
    <row r="20" spans="1:8" x14ac:dyDescent="0.2">
      <c r="A20" s="564"/>
      <c r="B20" s="925" t="s">
        <v>728</v>
      </c>
      <c r="C20" s="881"/>
      <c r="D20" s="882"/>
      <c r="E20" s="929">
        <f>SUM(D21:D23)</f>
        <v>11628.34</v>
      </c>
      <c r="F20" s="883"/>
    </row>
    <row r="21" spans="1:8" x14ac:dyDescent="0.2">
      <c r="A21" s="564"/>
      <c r="B21" s="927" t="s">
        <v>733</v>
      </c>
      <c r="C21" s="881"/>
      <c r="D21" s="882">
        <v>141.9</v>
      </c>
      <c r="E21" s="882"/>
      <c r="F21" s="883"/>
      <c r="G21" s="870">
        <v>3019</v>
      </c>
    </row>
    <row r="22" spans="1:8" x14ac:dyDescent="0.2">
      <c r="A22" s="564"/>
      <c r="B22" s="927" t="s">
        <v>735</v>
      </c>
      <c r="C22" s="881"/>
      <c r="D22" s="882">
        <v>11468.36</v>
      </c>
      <c r="E22" s="882"/>
      <c r="F22" s="883"/>
      <c r="G22" s="870">
        <v>3033</v>
      </c>
    </row>
    <row r="23" spans="1:8" x14ac:dyDescent="0.2">
      <c r="A23" s="564"/>
      <c r="B23" s="927" t="s">
        <v>755</v>
      </c>
      <c r="C23" s="881"/>
      <c r="D23" s="882">
        <v>18.079999999999998</v>
      </c>
      <c r="E23" s="882"/>
      <c r="F23" s="883"/>
      <c r="G23" s="870">
        <v>3069</v>
      </c>
    </row>
    <row r="24" spans="1:8" x14ac:dyDescent="0.2">
      <c r="A24" s="564"/>
      <c r="B24" s="930" t="s">
        <v>326</v>
      </c>
      <c r="C24" s="930"/>
      <c r="D24" s="882">
        <v>19234.36</v>
      </c>
      <c r="E24" s="929">
        <f>SUM(D24)</f>
        <v>19234.36</v>
      </c>
      <c r="F24" s="883"/>
    </row>
    <row r="25" spans="1:8" x14ac:dyDescent="0.2">
      <c r="A25" s="564"/>
      <c r="B25" s="931" t="s">
        <v>481</v>
      </c>
      <c r="C25" s="887"/>
      <c r="D25" s="882"/>
      <c r="E25" s="929">
        <f>D26+D27</f>
        <v>0</v>
      </c>
      <c r="F25" s="883"/>
    </row>
    <row r="26" spans="1:8" x14ac:dyDescent="0.2">
      <c r="A26" s="564"/>
      <c r="B26" s="884"/>
      <c r="C26" s="886" t="s">
        <v>327</v>
      </c>
      <c r="D26" s="882">
        <v>0</v>
      </c>
      <c r="E26" s="882"/>
      <c r="F26" s="883"/>
    </row>
    <row r="27" spans="1:8" x14ac:dyDescent="0.2">
      <c r="A27" s="564"/>
      <c r="B27" s="884"/>
      <c r="C27" s="886" t="s">
        <v>133</v>
      </c>
      <c r="D27" s="882">
        <v>0</v>
      </c>
      <c r="E27" s="882"/>
      <c r="F27" s="883"/>
    </row>
    <row r="28" spans="1:8" ht="13.5" thickBot="1" x14ac:dyDescent="0.25">
      <c r="A28" s="954"/>
      <c r="B28" s="955"/>
      <c r="C28" s="956"/>
      <c r="D28" s="959"/>
      <c r="E28" s="897"/>
      <c r="F28" s="957">
        <f>SUM(E18:E26)</f>
        <v>526736.39</v>
      </c>
      <c r="G28" s="885"/>
    </row>
    <row r="29" spans="1:8" ht="15" customHeight="1" x14ac:dyDescent="0.2">
      <c r="A29" s="960" t="s">
        <v>823</v>
      </c>
      <c r="B29" s="1106" t="s">
        <v>242</v>
      </c>
      <c r="C29" s="1107"/>
      <c r="D29" s="879"/>
      <c r="E29" s="961">
        <v>27180319.77</v>
      </c>
      <c r="F29" s="962"/>
      <c r="H29" s="870" t="s">
        <v>983</v>
      </c>
    </row>
    <row r="30" spans="1:8" x14ac:dyDescent="0.2">
      <c r="A30" s="949" t="s">
        <v>822</v>
      </c>
      <c r="B30" s="950" t="s">
        <v>50</v>
      </c>
      <c r="C30" s="951"/>
      <c r="D30" s="909"/>
      <c r="E30" s="879">
        <v>365146.15</v>
      </c>
      <c r="F30" s="880"/>
    </row>
    <row r="31" spans="1:8" x14ac:dyDescent="0.2">
      <c r="A31" s="564"/>
      <c r="B31" s="925" t="s">
        <v>728</v>
      </c>
      <c r="C31" s="881"/>
      <c r="D31" s="882">
        <v>19878556.93</v>
      </c>
      <c r="E31" s="929">
        <f>D31</f>
        <v>19878556.93</v>
      </c>
      <c r="F31" s="883"/>
      <c r="G31" s="870">
        <v>3000</v>
      </c>
    </row>
    <row r="32" spans="1:8" x14ac:dyDescent="0.2">
      <c r="A32" s="564"/>
      <c r="B32" s="930" t="s">
        <v>326</v>
      </c>
      <c r="C32" s="930"/>
      <c r="D32" s="882">
        <v>1585662.59</v>
      </c>
      <c r="E32" s="929">
        <f>D32</f>
        <v>1585662.59</v>
      </c>
      <c r="F32" s="883"/>
    </row>
    <row r="33" spans="1:10" x14ac:dyDescent="0.2">
      <c r="A33" s="564"/>
      <c r="B33" s="931" t="s">
        <v>481</v>
      </c>
      <c r="C33" s="887"/>
      <c r="D33" s="882"/>
      <c r="E33" s="929">
        <f>SUM(D34:D37)</f>
        <v>3672337.06</v>
      </c>
      <c r="F33" s="883"/>
    </row>
    <row r="34" spans="1:10" x14ac:dyDescent="0.2">
      <c r="A34" s="564"/>
      <c r="B34" s="884"/>
      <c r="C34" s="886" t="s">
        <v>327</v>
      </c>
      <c r="D34" s="882">
        <v>267196.74</v>
      </c>
      <c r="E34" s="882"/>
      <c r="F34" s="883"/>
    </row>
    <row r="35" spans="1:10" x14ac:dyDescent="0.2">
      <c r="A35" s="564"/>
      <c r="B35" s="884"/>
      <c r="C35" s="886" t="s">
        <v>329</v>
      </c>
      <c r="D35" s="882">
        <v>7877.29</v>
      </c>
      <c r="E35" s="882"/>
      <c r="F35" s="883"/>
    </row>
    <row r="36" spans="1:10" x14ac:dyDescent="0.2">
      <c r="A36" s="564"/>
      <c r="B36" s="884"/>
      <c r="C36" s="886" t="s">
        <v>330</v>
      </c>
      <c r="D36" s="882">
        <v>3396648.64</v>
      </c>
      <c r="E36" s="882"/>
      <c r="F36" s="883"/>
    </row>
    <row r="37" spans="1:10" x14ac:dyDescent="0.2">
      <c r="A37" s="564"/>
      <c r="B37" s="884"/>
      <c r="C37" s="886" t="s">
        <v>133</v>
      </c>
      <c r="D37" s="882">
        <v>614.39</v>
      </c>
      <c r="E37" s="882"/>
      <c r="F37" s="883"/>
    </row>
    <row r="38" spans="1:10" x14ac:dyDescent="0.2">
      <c r="A38" s="564"/>
      <c r="B38" s="1110" t="s">
        <v>332</v>
      </c>
      <c r="C38" s="1111"/>
      <c r="D38" s="902">
        <v>28230.55</v>
      </c>
      <c r="E38" s="932">
        <f>SUM(D38)</f>
        <v>28230.55</v>
      </c>
      <c r="F38" s="892"/>
    </row>
    <row r="39" spans="1:10" x14ac:dyDescent="0.2">
      <c r="A39" s="564"/>
      <c r="B39" s="889" t="s">
        <v>367</v>
      </c>
      <c r="C39" s="890"/>
      <c r="D39" s="902"/>
      <c r="E39" s="886">
        <v>0</v>
      </c>
      <c r="F39" s="892"/>
    </row>
    <row r="40" spans="1:10" x14ac:dyDescent="0.2">
      <c r="A40" s="564"/>
      <c r="B40" s="1112" t="s">
        <v>824</v>
      </c>
      <c r="C40" s="1113"/>
      <c r="D40" s="882"/>
      <c r="E40" s="986">
        <v>-49325</v>
      </c>
      <c r="F40" s="939"/>
      <c r="H40" s="918" t="s">
        <v>825</v>
      </c>
    </row>
    <row r="41" spans="1:10" x14ac:dyDescent="0.2">
      <c r="A41" s="564"/>
      <c r="B41" s="1112" t="s">
        <v>828</v>
      </c>
      <c r="C41" s="1113"/>
      <c r="D41" s="882"/>
      <c r="E41" s="886">
        <v>-52400</v>
      </c>
      <c r="F41" s="939"/>
      <c r="H41" s="903" t="s">
        <v>825</v>
      </c>
    </row>
    <row r="42" spans="1:10" ht="13.5" thickBot="1" x14ac:dyDescent="0.25">
      <c r="A42" s="564"/>
      <c r="B42" s="1114" t="s">
        <v>829</v>
      </c>
      <c r="C42" s="1115"/>
      <c r="D42" s="882"/>
      <c r="E42" s="886">
        <v>-70800</v>
      </c>
      <c r="F42" s="939"/>
      <c r="H42" s="903"/>
    </row>
    <row r="43" spans="1:10" x14ac:dyDescent="0.2">
      <c r="A43" s="564"/>
      <c r="B43" s="886"/>
      <c r="C43" s="882"/>
      <c r="D43" s="882"/>
      <c r="E43" s="886"/>
      <c r="F43" s="939"/>
      <c r="H43" s="918">
        <f>49325+52400+70800</f>
        <v>172525</v>
      </c>
      <c r="I43" s="870" t="s">
        <v>833</v>
      </c>
    </row>
    <row r="44" spans="1:10" ht="13.5" thickBot="1" x14ac:dyDescent="0.25">
      <c r="A44" s="564"/>
      <c r="B44" s="963"/>
      <c r="C44" s="910"/>
      <c r="D44" s="900"/>
      <c r="E44" s="964"/>
      <c r="F44" s="957">
        <f>SUM(E29:E44)</f>
        <v>52537728.049999997</v>
      </c>
      <c r="H44" s="907">
        <f>F44+H43</f>
        <v>52710253.049999997</v>
      </c>
      <c r="I44" s="870" t="s">
        <v>827</v>
      </c>
      <c r="J44" s="965"/>
    </row>
    <row r="45" spans="1:10" x14ac:dyDescent="0.2">
      <c r="A45" s="966" t="s">
        <v>518</v>
      </c>
      <c r="B45" s="1106" t="s">
        <v>242</v>
      </c>
      <c r="C45" s="1107"/>
      <c r="D45" s="967"/>
      <c r="E45" s="961">
        <v>163689.10999999999</v>
      </c>
      <c r="F45" s="962"/>
    </row>
    <row r="46" spans="1:10" x14ac:dyDescent="0.2">
      <c r="A46" s="968" t="s">
        <v>588</v>
      </c>
      <c r="B46" s="950" t="s">
        <v>50</v>
      </c>
      <c r="C46" s="951"/>
      <c r="D46" s="909"/>
      <c r="E46" s="879">
        <v>17108.23</v>
      </c>
      <c r="F46" s="880"/>
    </row>
    <row r="47" spans="1:10" x14ac:dyDescent="0.2">
      <c r="A47" s="564"/>
      <c r="B47" s="925" t="s">
        <v>728</v>
      </c>
      <c r="C47" s="881"/>
      <c r="D47" s="882">
        <v>780576.76</v>
      </c>
      <c r="E47" s="929">
        <f>D47</f>
        <v>780576.76</v>
      </c>
      <c r="F47" s="883"/>
      <c r="G47" s="870">
        <v>3000</v>
      </c>
    </row>
    <row r="48" spans="1:10" x14ac:dyDescent="0.2">
      <c r="A48" s="564"/>
      <c r="B48" s="930" t="s">
        <v>326</v>
      </c>
      <c r="C48" s="930"/>
      <c r="D48" s="882">
        <v>77315.56</v>
      </c>
      <c r="E48" s="929">
        <f>D48</f>
        <v>77315.56</v>
      </c>
      <c r="F48" s="883"/>
    </row>
    <row r="49" spans="1:9" x14ac:dyDescent="0.2">
      <c r="A49" s="564"/>
      <c r="B49" s="931" t="s">
        <v>481</v>
      </c>
      <c r="C49" s="887"/>
      <c r="D49" s="882"/>
      <c r="E49" s="929">
        <f>SUM(D50:D54)</f>
        <v>369977.25</v>
      </c>
      <c r="F49" s="883"/>
    </row>
    <row r="50" spans="1:9" x14ac:dyDescent="0.2">
      <c r="A50" s="564"/>
      <c r="B50" s="884"/>
      <c r="C50" s="886" t="s">
        <v>327</v>
      </c>
      <c r="D50" s="882">
        <v>233227.91</v>
      </c>
      <c r="E50" s="882"/>
      <c r="F50" s="883"/>
    </row>
    <row r="51" spans="1:9" x14ac:dyDescent="0.2">
      <c r="A51" s="564"/>
      <c r="B51" s="884"/>
      <c r="C51" s="886" t="s">
        <v>328</v>
      </c>
      <c r="D51" s="882">
        <v>-332.92</v>
      </c>
      <c r="E51" s="882"/>
      <c r="F51" s="883"/>
      <c r="G51" s="870">
        <v>4001</v>
      </c>
    </row>
    <row r="52" spans="1:9" x14ac:dyDescent="0.2">
      <c r="A52" s="564"/>
      <c r="B52" s="884"/>
      <c r="C52" s="886" t="s">
        <v>329</v>
      </c>
      <c r="D52" s="882">
        <v>28208.9</v>
      </c>
      <c r="E52" s="882"/>
      <c r="F52" s="883"/>
    </row>
    <row r="53" spans="1:9" ht="12" customHeight="1" x14ac:dyDescent="0.2">
      <c r="A53" s="564"/>
      <c r="B53" s="884"/>
      <c r="C53" s="886" t="s">
        <v>331</v>
      </c>
      <c r="D53" s="882">
        <v>948</v>
      </c>
      <c r="E53" s="882"/>
      <c r="F53" s="883"/>
      <c r="G53" s="870">
        <v>4004</v>
      </c>
    </row>
    <row r="54" spans="1:9" ht="12" customHeight="1" x14ac:dyDescent="0.2">
      <c r="A54" s="564"/>
      <c r="B54" s="884"/>
      <c r="C54" s="886" t="s">
        <v>133</v>
      </c>
      <c r="D54" s="882">
        <v>107925.36</v>
      </c>
      <c r="E54" s="882"/>
      <c r="F54" s="883"/>
    </row>
    <row r="55" spans="1:9" x14ac:dyDescent="0.2">
      <c r="A55" s="564"/>
      <c r="B55" s="953" t="s">
        <v>332</v>
      </c>
      <c r="C55" s="890"/>
      <c r="D55" s="882">
        <v>13730.92</v>
      </c>
      <c r="E55" s="932">
        <f>SUM(D55)</f>
        <v>13730.92</v>
      </c>
      <c r="F55" s="892"/>
    </row>
    <row r="56" spans="1:9" x14ac:dyDescent="0.2">
      <c r="A56" s="564"/>
      <c r="B56" s="953"/>
      <c r="C56" s="890"/>
      <c r="D56" s="882"/>
      <c r="E56" s="932"/>
      <c r="F56" s="892"/>
    </row>
    <row r="57" spans="1:9" x14ac:dyDescent="0.2">
      <c r="A57" s="564"/>
      <c r="B57" s="1112" t="s">
        <v>831</v>
      </c>
      <c r="C57" s="1113"/>
      <c r="D57" s="902"/>
      <c r="E57" s="987">
        <f>-27004.92</f>
        <v>-27004.92</v>
      </c>
      <c r="F57" s="892"/>
    </row>
    <row r="58" spans="1:9" x14ac:dyDescent="0.2">
      <c r="A58" s="564"/>
      <c r="B58" s="1112" t="s">
        <v>832</v>
      </c>
      <c r="C58" s="1113"/>
      <c r="D58" s="902"/>
      <c r="E58" s="988">
        <v>-16764.689999999999</v>
      </c>
      <c r="F58" s="892"/>
      <c r="H58" s="918">
        <v>233094.16</v>
      </c>
      <c r="I58" s="870" t="s">
        <v>834</v>
      </c>
    </row>
    <row r="59" spans="1:9" x14ac:dyDescent="0.2">
      <c r="A59" s="564"/>
      <c r="B59" s="1112" t="s">
        <v>830</v>
      </c>
      <c r="C59" s="1113"/>
      <c r="D59" s="882"/>
      <c r="E59" s="986">
        <v>-40000</v>
      </c>
      <c r="F59" s="939"/>
      <c r="G59" s="870">
        <v>70200</v>
      </c>
      <c r="H59" s="885">
        <f>27004.92+16764.69+40000</f>
        <v>83769.61</v>
      </c>
      <c r="I59" s="870" t="s">
        <v>833</v>
      </c>
    </row>
    <row r="60" spans="1:9" ht="13.5" thickBot="1" x14ac:dyDescent="0.25">
      <c r="A60" s="564"/>
      <c r="B60" s="1114"/>
      <c r="C60" s="1115"/>
      <c r="D60" s="969"/>
      <c r="E60" s="970"/>
      <c r="F60" s="957">
        <f>SUM(E45:E60)</f>
        <v>1338628.22</v>
      </c>
      <c r="G60" s="870">
        <v>70200</v>
      </c>
      <c r="H60" s="870" t="s">
        <v>833</v>
      </c>
      <c r="I60" s="870" t="s">
        <v>826</v>
      </c>
    </row>
    <row r="61" spans="1:9" ht="13.15" customHeight="1" x14ac:dyDescent="0.2">
      <c r="A61" s="971" t="s">
        <v>567</v>
      </c>
      <c r="B61" s="1106" t="s">
        <v>242</v>
      </c>
      <c r="C61" s="1107"/>
      <c r="D61" s="967"/>
      <c r="E61" s="967">
        <v>1229733.74</v>
      </c>
      <c r="F61" s="962"/>
      <c r="H61" s="965"/>
    </row>
    <row r="62" spans="1:9" x14ac:dyDescent="0.2">
      <c r="A62" s="888"/>
      <c r="B62" s="950" t="s">
        <v>50</v>
      </c>
      <c r="C62" s="951"/>
      <c r="D62" s="909"/>
      <c r="E62" s="879">
        <v>43746.05</v>
      </c>
      <c r="F62" s="880"/>
    </row>
    <row r="63" spans="1:9" x14ac:dyDescent="0.2">
      <c r="A63" s="564"/>
      <c r="B63" s="925" t="s">
        <v>728</v>
      </c>
      <c r="C63" s="881"/>
      <c r="D63" s="882"/>
      <c r="E63" s="929">
        <v>87827.31</v>
      </c>
      <c r="F63" s="883"/>
    </row>
    <row r="64" spans="1:9" x14ac:dyDescent="0.2">
      <c r="A64" s="564"/>
      <c r="B64" s="930" t="s">
        <v>326</v>
      </c>
      <c r="C64" s="930"/>
      <c r="D64" s="882"/>
      <c r="E64" s="929">
        <v>343826.89</v>
      </c>
      <c r="F64" s="939"/>
      <c r="H64" s="918"/>
    </row>
    <row r="65" spans="1:8" x14ac:dyDescent="0.2">
      <c r="A65" s="564"/>
      <c r="B65" s="931" t="s">
        <v>481</v>
      </c>
      <c r="C65" s="887"/>
      <c r="D65" s="882"/>
      <c r="E65" s="929">
        <f>SUM(D66:D68)</f>
        <v>25097.260000000002</v>
      </c>
      <c r="F65" s="883"/>
    </row>
    <row r="66" spans="1:8" x14ac:dyDescent="0.2">
      <c r="A66" s="968"/>
      <c r="B66" s="884"/>
      <c r="C66" s="881" t="s">
        <v>327</v>
      </c>
      <c r="D66" s="882">
        <v>24694.52</v>
      </c>
      <c r="E66" s="882"/>
      <c r="F66" s="883"/>
      <c r="G66" s="870">
        <v>4000</v>
      </c>
    </row>
    <row r="67" spans="1:8" x14ac:dyDescent="0.2">
      <c r="A67" s="564"/>
      <c r="B67" s="884"/>
      <c r="C67" s="881" t="s">
        <v>329</v>
      </c>
      <c r="D67" s="882">
        <v>363.36</v>
      </c>
      <c r="E67" s="882"/>
      <c r="F67" s="883"/>
      <c r="G67" s="870">
        <v>4002</v>
      </c>
    </row>
    <row r="68" spans="1:8" x14ac:dyDescent="0.2">
      <c r="A68" s="564"/>
      <c r="B68" s="889"/>
      <c r="C68" s="989" t="s">
        <v>133</v>
      </c>
      <c r="D68" s="882">
        <v>39.380000000000003</v>
      </c>
      <c r="E68" s="891"/>
      <c r="F68" s="883"/>
      <c r="G68" s="870">
        <v>4005</v>
      </c>
    </row>
    <row r="69" spans="1:8" x14ac:dyDescent="0.2">
      <c r="A69" s="564"/>
      <c r="B69" s="953" t="s">
        <v>332</v>
      </c>
      <c r="C69" s="890"/>
      <c r="D69" s="882">
        <v>0</v>
      </c>
      <c r="E69" s="932">
        <f>SUM(D69)</f>
        <v>0</v>
      </c>
      <c r="F69" s="883"/>
    </row>
    <row r="70" spans="1:8" ht="13.5" thickBot="1" x14ac:dyDescent="0.25">
      <c r="A70" s="888"/>
      <c r="B70" s="894"/>
      <c r="C70" s="895"/>
      <c r="D70" s="896"/>
      <c r="E70" s="897"/>
      <c r="F70" s="957">
        <f>SUM(E61:E69)</f>
        <v>1730231.2500000002</v>
      </c>
      <c r="H70" s="898">
        <f>F70-1730231.25</f>
        <v>0</v>
      </c>
    </row>
    <row r="71" spans="1:8" ht="13.15" customHeight="1" x14ac:dyDescent="0.2">
      <c r="A71" s="966" t="s">
        <v>336</v>
      </c>
      <c r="B71" s="1106" t="s">
        <v>242</v>
      </c>
      <c r="C71" s="1107"/>
      <c r="D71" s="967"/>
      <c r="E71" s="967">
        <v>982378.46</v>
      </c>
      <c r="F71" s="962"/>
      <c r="H71" s="965"/>
    </row>
    <row r="72" spans="1:8" x14ac:dyDescent="0.2">
      <c r="A72" s="888"/>
      <c r="B72" s="950" t="s">
        <v>50</v>
      </c>
      <c r="C72" s="951"/>
      <c r="D72" s="909"/>
      <c r="E72" s="879">
        <v>655.4</v>
      </c>
      <c r="F72" s="880"/>
    </row>
    <row r="73" spans="1:8" x14ac:dyDescent="0.2">
      <c r="A73" s="564"/>
      <c r="B73" s="925" t="s">
        <v>728</v>
      </c>
      <c r="C73" s="881"/>
      <c r="D73" s="882"/>
      <c r="E73" s="929">
        <v>8549.09</v>
      </c>
      <c r="F73" s="883"/>
    </row>
    <row r="74" spans="1:8" x14ac:dyDescent="0.2">
      <c r="A74" s="564"/>
      <c r="B74" s="930" t="s">
        <v>326</v>
      </c>
      <c r="C74" s="930"/>
      <c r="D74" s="882"/>
      <c r="E74" s="929">
        <v>19064.91</v>
      </c>
      <c r="F74" s="939"/>
      <c r="H74" s="918"/>
    </row>
    <row r="75" spans="1:8" x14ac:dyDescent="0.2">
      <c r="A75" s="564"/>
      <c r="B75" s="931" t="s">
        <v>481</v>
      </c>
      <c r="C75" s="887"/>
      <c r="D75" s="882"/>
      <c r="E75" s="929">
        <f>SUM(D76:D78)</f>
        <v>6263.21</v>
      </c>
      <c r="F75" s="883"/>
    </row>
    <row r="76" spans="1:8" x14ac:dyDescent="0.2">
      <c r="A76" s="968"/>
      <c r="B76" s="884"/>
      <c r="C76" s="881" t="s">
        <v>327</v>
      </c>
      <c r="D76" s="882">
        <v>6263.21</v>
      </c>
      <c r="E76" s="882"/>
      <c r="F76" s="883"/>
      <c r="G76" s="870">
        <v>4000</v>
      </c>
    </row>
    <row r="77" spans="1:8" x14ac:dyDescent="0.2">
      <c r="A77" s="564"/>
      <c r="B77" s="884"/>
      <c r="C77" s="881" t="s">
        <v>329</v>
      </c>
      <c r="D77" s="882">
        <v>0</v>
      </c>
      <c r="E77" s="882"/>
      <c r="F77" s="883"/>
      <c r="G77" s="870">
        <v>4002</v>
      </c>
    </row>
    <row r="78" spans="1:8" x14ac:dyDescent="0.2">
      <c r="A78" s="564"/>
      <c r="B78" s="889"/>
      <c r="C78" s="989" t="s">
        <v>133</v>
      </c>
      <c r="D78" s="882">
        <v>0</v>
      </c>
      <c r="E78" s="891"/>
      <c r="F78" s="883"/>
      <c r="G78" s="870">
        <v>4005</v>
      </c>
    </row>
    <row r="79" spans="1:8" x14ac:dyDescent="0.2">
      <c r="A79" s="564"/>
      <c r="B79" s="953" t="s">
        <v>332</v>
      </c>
      <c r="C79" s="890"/>
      <c r="D79" s="882">
        <v>0</v>
      </c>
      <c r="E79" s="932">
        <f>SUM(D79)</f>
        <v>0</v>
      </c>
      <c r="F79" s="883"/>
    </row>
    <row r="80" spans="1:8" ht="13.5" thickBot="1" x14ac:dyDescent="0.25">
      <c r="A80" s="893"/>
      <c r="B80" s="894"/>
      <c r="C80" s="895"/>
      <c r="D80" s="896"/>
      <c r="E80" s="897"/>
      <c r="F80" s="957">
        <f>SUM(E71:E79)</f>
        <v>1016911.07</v>
      </c>
      <c r="H80" s="898">
        <f>F80-1016911.07</f>
        <v>0</v>
      </c>
    </row>
    <row r="81" spans="1:9" ht="13.15" customHeight="1" x14ac:dyDescent="0.2">
      <c r="A81" s="949" t="s">
        <v>55</v>
      </c>
      <c r="B81" s="1106" t="s">
        <v>242</v>
      </c>
      <c r="C81" s="1107"/>
      <c r="D81" s="967"/>
      <c r="E81" s="961">
        <v>2116040.86</v>
      </c>
      <c r="F81" s="962"/>
    </row>
    <row r="82" spans="1:9" x14ac:dyDescent="0.2">
      <c r="A82" s="564"/>
      <c r="B82" s="950" t="s">
        <v>50</v>
      </c>
      <c r="C82" s="951"/>
      <c r="D82" s="909"/>
      <c r="E82" s="879">
        <v>120962.12</v>
      </c>
      <c r="F82" s="880"/>
    </row>
    <row r="83" spans="1:9" x14ac:dyDescent="0.2">
      <c r="A83" s="564"/>
      <c r="B83" s="925" t="s">
        <v>728</v>
      </c>
      <c r="C83" s="881"/>
      <c r="D83" s="882"/>
      <c r="E83" s="929">
        <v>106181.48</v>
      </c>
      <c r="F83" s="883"/>
    </row>
    <row r="84" spans="1:9" x14ac:dyDescent="0.2">
      <c r="A84" s="564"/>
      <c r="B84" s="930" t="s">
        <v>326</v>
      </c>
      <c r="C84" s="881"/>
      <c r="D84" s="882"/>
      <c r="E84" s="929">
        <v>202368.35</v>
      </c>
      <c r="F84" s="883"/>
    </row>
    <row r="85" spans="1:9" x14ac:dyDescent="0.2">
      <c r="A85" s="564"/>
      <c r="B85" s="931" t="s">
        <v>481</v>
      </c>
      <c r="C85" s="881"/>
      <c r="D85" s="882"/>
      <c r="E85" s="929">
        <f>SUM(D86:D90)</f>
        <v>46631.47</v>
      </c>
      <c r="F85" s="883"/>
    </row>
    <row r="86" spans="1:9" x14ac:dyDescent="0.2">
      <c r="A86" s="564"/>
      <c r="B86" s="884"/>
      <c r="C86" s="881" t="s">
        <v>327</v>
      </c>
      <c r="D86" s="882">
        <v>3609.33</v>
      </c>
      <c r="E86" s="882"/>
      <c r="F86" s="883"/>
    </row>
    <row r="87" spans="1:9" x14ac:dyDescent="0.2">
      <c r="A87" s="564"/>
      <c r="B87" s="884"/>
      <c r="C87" s="881" t="s">
        <v>329</v>
      </c>
      <c r="D87" s="882">
        <v>97.06</v>
      </c>
      <c r="E87" s="882"/>
      <c r="F87" s="883"/>
    </row>
    <row r="88" spans="1:9" x14ac:dyDescent="0.2">
      <c r="A88" s="564"/>
      <c r="B88" s="884"/>
      <c r="C88" s="989" t="s">
        <v>835</v>
      </c>
      <c r="D88" s="882">
        <v>2866.58</v>
      </c>
      <c r="E88" s="882"/>
      <c r="F88" s="883"/>
    </row>
    <row r="89" spans="1:9" x14ac:dyDescent="0.2">
      <c r="A89" s="564"/>
      <c r="B89" s="884"/>
      <c r="C89" s="989" t="s">
        <v>331</v>
      </c>
      <c r="D89" s="882">
        <v>39956.379999999997</v>
      </c>
      <c r="E89" s="882"/>
      <c r="F89" s="883"/>
    </row>
    <row r="90" spans="1:9" x14ac:dyDescent="0.2">
      <c r="A90" s="564"/>
      <c r="B90" s="884"/>
      <c r="C90" s="989" t="s">
        <v>133</v>
      </c>
      <c r="D90" s="882">
        <v>102.12</v>
      </c>
      <c r="E90" s="882"/>
      <c r="F90" s="883"/>
    </row>
    <row r="91" spans="1:9" x14ac:dyDescent="0.2">
      <c r="A91" s="564"/>
      <c r="B91" s="953" t="s">
        <v>332</v>
      </c>
      <c r="C91" s="890"/>
      <c r="D91" s="882">
        <v>6129</v>
      </c>
      <c r="E91" s="932">
        <f>SUM(D91)</f>
        <v>6129</v>
      </c>
      <c r="F91" s="883"/>
      <c r="H91" s="918">
        <v>140000</v>
      </c>
      <c r="I91" s="870" t="s">
        <v>836</v>
      </c>
    </row>
    <row r="92" spans="1:9" ht="13.5" thickBot="1" x14ac:dyDescent="0.25">
      <c r="A92" s="893"/>
      <c r="B92" s="1108" t="s">
        <v>245</v>
      </c>
      <c r="C92" s="1109"/>
      <c r="D92" s="897"/>
      <c r="E92" s="972">
        <v>-140000</v>
      </c>
      <c r="F92" s="957">
        <f>SUM(E81:E92)</f>
        <v>2458313.2800000003</v>
      </c>
      <c r="H92" s="990">
        <f>F92-2598313.28+H91</f>
        <v>4.6566128730773926E-10</v>
      </c>
    </row>
    <row r="93" spans="1:9" ht="13.15" customHeight="1" x14ac:dyDescent="0.2">
      <c r="A93" s="973" t="s">
        <v>337</v>
      </c>
      <c r="B93" s="1106" t="s">
        <v>242</v>
      </c>
      <c r="C93" s="1107"/>
      <c r="D93" s="967"/>
      <c r="E93" s="908">
        <v>0</v>
      </c>
      <c r="F93" s="962"/>
      <c r="G93" s="870">
        <v>1000</v>
      </c>
    </row>
    <row r="94" spans="1:9" x14ac:dyDescent="0.2">
      <c r="A94" s="564"/>
      <c r="B94" s="950" t="s">
        <v>50</v>
      </c>
      <c r="C94" s="951"/>
      <c r="D94" s="909"/>
      <c r="E94" s="879">
        <v>755257.34</v>
      </c>
      <c r="F94" s="880"/>
      <c r="G94" s="870">
        <v>2000</v>
      </c>
    </row>
    <row r="95" spans="1:9" x14ac:dyDescent="0.2">
      <c r="A95" s="564"/>
      <c r="B95" s="925" t="s">
        <v>728</v>
      </c>
      <c r="C95" s="881"/>
      <c r="D95" s="882"/>
      <c r="E95" s="882">
        <v>28182.16</v>
      </c>
      <c r="F95" s="883"/>
      <c r="G95" s="870">
        <v>3000</v>
      </c>
    </row>
    <row r="96" spans="1:9" x14ac:dyDescent="0.2">
      <c r="A96" s="564"/>
      <c r="B96" s="930" t="s">
        <v>326</v>
      </c>
      <c r="C96" s="930"/>
      <c r="D96" s="882">
        <v>0</v>
      </c>
      <c r="E96" s="929">
        <f>SUM(D96)</f>
        <v>0</v>
      </c>
      <c r="F96" s="883"/>
    </row>
    <row r="97" spans="1:9" x14ac:dyDescent="0.2">
      <c r="A97" s="888"/>
      <c r="B97" s="953" t="s">
        <v>332</v>
      </c>
      <c r="C97" s="991"/>
      <c r="D97" s="882">
        <v>168</v>
      </c>
      <c r="E97" s="932">
        <f>D97</f>
        <v>168</v>
      </c>
      <c r="F97" s="883"/>
    </row>
    <row r="98" spans="1:9" ht="13.5" thickBot="1" x14ac:dyDescent="0.25">
      <c r="A98" s="893"/>
      <c r="B98" s="894"/>
      <c r="C98" s="895"/>
      <c r="D98" s="896"/>
      <c r="E98" s="897"/>
      <c r="F98" s="957">
        <f>SUM(E94:E98)</f>
        <v>783607.5</v>
      </c>
      <c r="H98" s="898">
        <f>F98-783607.5</f>
        <v>0</v>
      </c>
    </row>
    <row r="99" spans="1:9" ht="13.9" customHeight="1" x14ac:dyDescent="0.2">
      <c r="A99" s="973" t="s">
        <v>838</v>
      </c>
      <c r="B99" s="1106" t="s">
        <v>242</v>
      </c>
      <c r="C99" s="1107"/>
      <c r="D99" s="967">
        <v>0</v>
      </c>
      <c r="E99" s="908">
        <f>D99</f>
        <v>0</v>
      </c>
      <c r="F99" s="962"/>
    </row>
    <row r="100" spans="1:9" ht="12.75" customHeight="1" x14ac:dyDescent="0.2">
      <c r="A100" s="968" t="s">
        <v>837</v>
      </c>
      <c r="B100" s="950" t="s">
        <v>50</v>
      </c>
      <c r="C100" s="881"/>
      <c r="D100" s="882">
        <v>1083.77</v>
      </c>
      <c r="E100" s="929">
        <f>D100</f>
        <v>1083.77</v>
      </c>
      <c r="F100" s="883"/>
    </row>
    <row r="101" spans="1:9" ht="12.75" customHeight="1" x14ac:dyDescent="0.2">
      <c r="A101" s="564"/>
      <c r="B101" s="925" t="s">
        <v>728</v>
      </c>
      <c r="C101" s="930"/>
      <c r="D101" s="882">
        <v>8</v>
      </c>
      <c r="E101" s="929">
        <f>D101</f>
        <v>8</v>
      </c>
      <c r="F101" s="883"/>
      <c r="H101" s="885"/>
    </row>
    <row r="102" spans="1:9" ht="12.75" customHeight="1" x14ac:dyDescent="0.2">
      <c r="A102" s="564"/>
      <c r="B102" s="930" t="s">
        <v>326</v>
      </c>
      <c r="C102" s="890"/>
      <c r="D102" s="882">
        <v>426287.6</v>
      </c>
      <c r="E102" s="932">
        <f>D102</f>
        <v>426287.6</v>
      </c>
      <c r="F102" s="892"/>
    </row>
    <row r="103" spans="1:9" ht="12.75" customHeight="1" x14ac:dyDescent="0.2">
      <c r="A103" s="901"/>
      <c r="B103" s="953" t="s">
        <v>332</v>
      </c>
      <c r="C103" s="890"/>
      <c r="D103" s="891">
        <v>0</v>
      </c>
      <c r="E103" s="932">
        <f>D103</f>
        <v>0</v>
      </c>
      <c r="F103" s="892"/>
    </row>
    <row r="104" spans="1:9" ht="13.5" customHeight="1" thickBot="1" x14ac:dyDescent="0.25">
      <c r="A104" s="893"/>
      <c r="B104" s="1108"/>
      <c r="C104" s="1109"/>
      <c r="D104" s="897"/>
      <c r="E104" s="972"/>
      <c r="F104" s="992">
        <f>SUM(E99:E104)</f>
        <v>427379.37</v>
      </c>
      <c r="H104" s="898">
        <f>F104-427379.37</f>
        <v>0</v>
      </c>
    </row>
    <row r="105" spans="1:9" x14ac:dyDescent="0.2">
      <c r="A105" s="973" t="s">
        <v>429</v>
      </c>
      <c r="B105" s="1106"/>
      <c r="C105" s="1107"/>
      <c r="D105" s="974"/>
      <c r="E105" s="975">
        <v>0</v>
      </c>
      <c r="F105" s="962"/>
    </row>
    <row r="106" spans="1:9" x14ac:dyDescent="0.2">
      <c r="A106" s="564"/>
      <c r="B106" s="952" t="s">
        <v>134</v>
      </c>
      <c r="C106" s="881"/>
      <c r="D106" s="883"/>
      <c r="E106" s="939">
        <f>SUM(D107:D111)</f>
        <v>0</v>
      </c>
      <c r="F106" s="883"/>
    </row>
    <row r="107" spans="1:9" x14ac:dyDescent="0.2">
      <c r="A107" s="968"/>
      <c r="B107" s="884"/>
      <c r="C107" s="881" t="s">
        <v>321</v>
      </c>
      <c r="D107" s="883"/>
      <c r="E107" s="883"/>
      <c r="F107" s="883"/>
    </row>
    <row r="108" spans="1:9" x14ac:dyDescent="0.2">
      <c r="A108" s="968"/>
      <c r="B108" s="884"/>
      <c r="C108" s="881" t="s">
        <v>51</v>
      </c>
      <c r="D108" s="883">
        <v>0</v>
      </c>
      <c r="E108" s="883"/>
      <c r="F108" s="883"/>
    </row>
    <row r="109" spans="1:9" ht="12.75" customHeight="1" x14ac:dyDescent="0.2">
      <c r="A109" s="564"/>
      <c r="B109" s="884"/>
      <c r="C109" s="881" t="s">
        <v>324</v>
      </c>
      <c r="D109" s="882">
        <v>0</v>
      </c>
      <c r="E109" s="882"/>
      <c r="F109" s="883"/>
    </row>
    <row r="110" spans="1:9" ht="12.75" customHeight="1" x14ac:dyDescent="0.2">
      <c r="A110" s="564"/>
      <c r="B110" s="884"/>
      <c r="C110" s="881" t="s">
        <v>325</v>
      </c>
      <c r="D110" s="882">
        <v>0</v>
      </c>
      <c r="E110" s="882"/>
      <c r="F110" s="883"/>
    </row>
    <row r="111" spans="1:9" x14ac:dyDescent="0.2">
      <c r="A111" s="564"/>
      <c r="B111" s="884"/>
      <c r="C111" s="881" t="s">
        <v>482</v>
      </c>
      <c r="D111" s="882">
        <v>0</v>
      </c>
      <c r="E111" s="883"/>
      <c r="F111" s="883"/>
    </row>
    <row r="112" spans="1:9" ht="13.5" thickBot="1" x14ac:dyDescent="0.25">
      <c r="A112" s="893"/>
      <c r="B112" s="894"/>
      <c r="C112" s="895"/>
      <c r="D112" s="896"/>
      <c r="E112" s="897"/>
      <c r="F112" s="993">
        <f>SUM(E106:E112)</f>
        <v>0</v>
      </c>
      <c r="H112" s="918">
        <f>H91+H59+H43</f>
        <v>396294.61</v>
      </c>
      <c r="I112" s="870" t="s">
        <v>841</v>
      </c>
    </row>
    <row r="113" spans="1:9" ht="13.5" thickBot="1" x14ac:dyDescent="0.25">
      <c r="A113" s="976" t="s">
        <v>844</v>
      </c>
      <c r="B113" s="977"/>
      <c r="F113" s="918">
        <f>-'Sched-C'!$D$24</f>
        <v>-22259630.369999997</v>
      </c>
      <c r="H113" s="995">
        <f>F112+F104+F98+F92+F80+F70+F60+F44+F28+F17</f>
        <v>60819535.129999995</v>
      </c>
      <c r="I113" s="870" t="s">
        <v>845</v>
      </c>
    </row>
    <row r="114" spans="1:9" s="853" customFormat="1" ht="21.75" customHeight="1" thickBot="1" x14ac:dyDescent="0.25">
      <c r="A114" s="978"/>
      <c r="B114" s="979" t="s">
        <v>6</v>
      </c>
      <c r="C114" s="980"/>
      <c r="D114" s="981"/>
      <c r="E114" s="982"/>
      <c r="F114" s="983">
        <f>SUM(F3:F113)</f>
        <v>38559904.759999998</v>
      </c>
      <c r="H114" s="994">
        <f>H112+H113</f>
        <v>61215829.739999995</v>
      </c>
    </row>
    <row r="115" spans="1:9" ht="13.5" thickTop="1" x14ac:dyDescent="0.2">
      <c r="F115" s="885"/>
      <c r="H115" s="996">
        <v>61215829.740000002</v>
      </c>
      <c r="I115" s="870" t="s">
        <v>842</v>
      </c>
    </row>
    <row r="116" spans="1:9" x14ac:dyDescent="0.2">
      <c r="A116" s="613" t="s">
        <v>850</v>
      </c>
      <c r="H116" s="997">
        <f>H114-H115</f>
        <v>0</v>
      </c>
      <c r="I116" s="998" t="s">
        <v>843</v>
      </c>
    </row>
    <row r="117" spans="1:9" x14ac:dyDescent="0.2">
      <c r="A117" s="984" t="s">
        <v>846</v>
      </c>
      <c r="H117" s="885"/>
    </row>
    <row r="118" spans="1:9" x14ac:dyDescent="0.2">
      <c r="A118" s="985"/>
    </row>
  </sheetData>
  <dataConsolidate/>
  <mergeCells count="23">
    <mergeCell ref="A1:F1"/>
    <mergeCell ref="D2:E2"/>
    <mergeCell ref="B60:C60"/>
    <mergeCell ref="B18:C18"/>
    <mergeCell ref="B29:C29"/>
    <mergeCell ref="B45:C45"/>
    <mergeCell ref="B2:C2"/>
    <mergeCell ref="B3:C3"/>
    <mergeCell ref="B57:C57"/>
    <mergeCell ref="B58:C58"/>
    <mergeCell ref="B71:C71"/>
    <mergeCell ref="B105:C105"/>
    <mergeCell ref="B61:C61"/>
    <mergeCell ref="B104:C104"/>
    <mergeCell ref="B38:C38"/>
    <mergeCell ref="B81:C81"/>
    <mergeCell ref="B92:C92"/>
    <mergeCell ref="B93:C93"/>
    <mergeCell ref="B99:C99"/>
    <mergeCell ref="B59:C59"/>
    <mergeCell ref="B41:C41"/>
    <mergeCell ref="B40:C40"/>
    <mergeCell ref="B42:C42"/>
  </mergeCells>
  <phoneticPr fontId="19" type="noConversion"/>
  <printOptions horizontalCentered="1"/>
  <pageMargins left="0" right="0" top="1.25" bottom="1" header="0.33" footer="0.5"/>
  <pageSetup scale="98" fitToHeight="0"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E15"/>
  <sheetViews>
    <sheetView showGridLines="0" workbookViewId="0">
      <selection activeCell="A8" sqref="A8"/>
    </sheetView>
  </sheetViews>
  <sheetFormatPr defaultColWidth="9.140625" defaultRowHeight="12.75" x14ac:dyDescent="0.2"/>
  <cols>
    <col min="1" max="1" width="31" style="180" customWidth="1"/>
    <col min="2" max="2" width="12" style="180" customWidth="1"/>
    <col min="3" max="3" width="18.140625" style="180" customWidth="1"/>
    <col min="4" max="4" width="19.140625" style="180" bestFit="1" customWidth="1"/>
    <col min="5" max="5" width="19.85546875" style="180" customWidth="1"/>
    <col min="6" max="16384" width="9.140625" style="180"/>
  </cols>
  <sheetData>
    <row r="1" spans="1:5" ht="52.5" customHeight="1" thickBot="1" x14ac:dyDescent="0.25">
      <c r="A1" s="1125" t="s">
        <v>135</v>
      </c>
      <c r="B1" s="1125"/>
      <c r="C1" s="1125"/>
      <c r="D1" s="1125"/>
      <c r="E1" s="1125"/>
    </row>
    <row r="2" spans="1:5" ht="48" thickBot="1" x14ac:dyDescent="0.25">
      <c r="A2" s="346" t="s">
        <v>125</v>
      </c>
      <c r="B2" s="371" t="s">
        <v>852</v>
      </c>
      <c r="C2" s="347" t="s">
        <v>160</v>
      </c>
      <c r="D2" s="347" t="s">
        <v>124</v>
      </c>
      <c r="E2" s="347" t="s">
        <v>126</v>
      </c>
    </row>
    <row r="3" spans="1:5" ht="48.75" customHeight="1" thickTop="1" thickBot="1" x14ac:dyDescent="0.25">
      <c r="A3" s="348" t="s">
        <v>909</v>
      </c>
      <c r="B3" s="349" t="s">
        <v>910</v>
      </c>
      <c r="C3" s="350">
        <f>'Summary-Sched-E'!C11</f>
        <v>11391231.469999999</v>
      </c>
      <c r="D3" s="351">
        <f>'COST ALLOCATION'!H6</f>
        <v>0.8295949662221096</v>
      </c>
      <c r="E3" s="352">
        <f>C3*D3</f>
        <v>9450108.2865828816</v>
      </c>
    </row>
    <row r="4" spans="1:5" ht="36" customHeight="1" thickBot="1" x14ac:dyDescent="0.25">
      <c r="A4" s="353" t="s">
        <v>5</v>
      </c>
      <c r="B4" s="354"/>
      <c r="C4" s="355"/>
      <c r="D4" s="356" t="s">
        <v>0</v>
      </c>
      <c r="E4" s="357">
        <f>SUM(E3:E3)</f>
        <v>9450108.2865828816</v>
      </c>
    </row>
    <row r="5" spans="1:5" s="362" customFormat="1" ht="36" customHeight="1" thickBot="1" x14ac:dyDescent="0.35">
      <c r="A5" s="358" t="s">
        <v>48</v>
      </c>
      <c r="B5" s="359"/>
      <c r="C5" s="360"/>
      <c r="D5" s="361"/>
      <c r="E5" s="1017">
        <f>SUM(E4:E4)</f>
        <v>9450108.2865828816</v>
      </c>
    </row>
    <row r="6" spans="1:5" s="362" customFormat="1" ht="36" customHeight="1" thickTop="1" x14ac:dyDescent="0.3">
      <c r="A6" s="1012"/>
      <c r="B6" s="1012"/>
      <c r="C6" s="1013"/>
      <c r="D6" s="1014"/>
      <c r="E6" s="1016"/>
    </row>
    <row r="7" spans="1:5" s="362" customFormat="1" ht="36" customHeight="1" x14ac:dyDescent="0.3">
      <c r="A7" s="1015" t="s">
        <v>911</v>
      </c>
      <c r="B7" s="1012"/>
      <c r="C7" s="1013"/>
      <c r="D7" s="1014"/>
      <c r="E7" s="1016"/>
    </row>
    <row r="8" spans="1:5" ht="36" customHeight="1" x14ac:dyDescent="0.2">
      <c r="A8" s="343" t="s">
        <v>912</v>
      </c>
      <c r="C8" s="264"/>
    </row>
    <row r="9" spans="1:5" ht="36" customHeight="1" x14ac:dyDescent="0.2"/>
    <row r="10" spans="1:5" ht="36" customHeight="1" x14ac:dyDescent="0.2"/>
    <row r="11" spans="1:5" ht="36" customHeight="1" x14ac:dyDescent="0.2"/>
    <row r="12" spans="1:5" ht="36" customHeight="1" x14ac:dyDescent="0.2"/>
    <row r="13" spans="1:5" ht="48" customHeight="1" x14ac:dyDescent="0.2"/>
    <row r="14" spans="1:5" ht="29.25" customHeight="1" x14ac:dyDescent="0.2"/>
    <row r="15" spans="1:5" ht="34.5" customHeight="1" x14ac:dyDescent="0.2"/>
  </sheetData>
  <mergeCells count="1">
    <mergeCell ref="A1:E1"/>
  </mergeCells>
  <phoneticPr fontId="19" type="noConversion"/>
  <printOptions horizontalCentered="1"/>
  <pageMargins left="0.25" right="0.25" top="0.97" bottom="1" header="0.33" footer="0.5"/>
  <pageSetup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2:E17"/>
  <sheetViews>
    <sheetView showGridLines="0" workbookViewId="0">
      <selection activeCell="D16" sqref="D16"/>
    </sheetView>
  </sheetViews>
  <sheetFormatPr defaultColWidth="9.140625" defaultRowHeight="15.75" x14ac:dyDescent="0.25"/>
  <cols>
    <col min="1" max="1" width="17.42578125" style="195" bestFit="1" customWidth="1"/>
    <col min="2" max="2" width="15.140625" style="195" customWidth="1"/>
    <col min="3" max="3" width="31" style="195" customWidth="1"/>
    <col min="4" max="16384" width="9.140625" style="195"/>
  </cols>
  <sheetData>
    <row r="2" spans="1:5" ht="18.75" customHeight="1" x14ac:dyDescent="0.25">
      <c r="A2" s="370" t="s">
        <v>352</v>
      </c>
      <c r="B2" s="371" t="s">
        <v>852</v>
      </c>
      <c r="C2" s="372" t="s">
        <v>851</v>
      </c>
    </row>
    <row r="3" spans="1:5" x14ac:dyDescent="0.25">
      <c r="A3" s="273" t="s">
        <v>353</v>
      </c>
      <c r="B3" s="363" t="s">
        <v>853</v>
      </c>
      <c r="C3" s="364">
        <v>1446644.56</v>
      </c>
      <c r="E3" s="195" t="s">
        <v>860</v>
      </c>
    </row>
    <row r="4" spans="1:5" x14ac:dyDescent="0.25">
      <c r="A4" s="273" t="s">
        <v>355</v>
      </c>
      <c r="B4" s="365" t="s">
        <v>854</v>
      </c>
      <c r="C4" s="364">
        <v>4103274.36</v>
      </c>
    </row>
    <row r="5" spans="1:5" x14ac:dyDescent="0.25">
      <c r="A5" s="273" t="s">
        <v>356</v>
      </c>
      <c r="B5" s="365" t="s">
        <v>855</v>
      </c>
      <c r="C5" s="364">
        <v>2471719.88</v>
      </c>
    </row>
    <row r="6" spans="1:5" x14ac:dyDescent="0.25">
      <c r="A6" s="273" t="s">
        <v>358</v>
      </c>
      <c r="B6" s="365" t="s">
        <v>856</v>
      </c>
      <c r="C6" s="364">
        <v>335919.47</v>
      </c>
    </row>
    <row r="7" spans="1:5" x14ac:dyDescent="0.25">
      <c r="A7" s="273" t="s">
        <v>357</v>
      </c>
      <c r="B7" s="365" t="s">
        <v>857</v>
      </c>
      <c r="C7" s="364">
        <v>362051.45</v>
      </c>
    </row>
    <row r="8" spans="1:5" x14ac:dyDescent="0.25">
      <c r="A8" s="273" t="s">
        <v>354</v>
      </c>
      <c r="B8" s="365" t="s">
        <v>858</v>
      </c>
      <c r="C8" s="364">
        <v>1652699.75</v>
      </c>
    </row>
    <row r="9" spans="1:5" x14ac:dyDescent="0.25">
      <c r="A9" s="273" t="s">
        <v>418</v>
      </c>
      <c r="B9" s="365"/>
      <c r="C9" s="364"/>
    </row>
    <row r="10" spans="1:5" x14ac:dyDescent="0.25">
      <c r="A10" s="366" t="s">
        <v>70</v>
      </c>
      <c r="B10" s="367" t="s">
        <v>859</v>
      </c>
      <c r="C10" s="999">
        <v>1018922</v>
      </c>
    </row>
    <row r="11" spans="1:5" s="239" customFormat="1" ht="19.5" customHeight="1" x14ac:dyDescent="0.25">
      <c r="B11" s="368" t="s">
        <v>27</v>
      </c>
      <c r="C11" s="1000">
        <f>SUM(C3:C10)</f>
        <v>11391231.469999999</v>
      </c>
    </row>
    <row r="16" spans="1:5" x14ac:dyDescent="0.25">
      <c r="A16" s="224"/>
      <c r="C16" s="369"/>
    </row>
    <row r="17" spans="1:1" x14ac:dyDescent="0.25">
      <c r="A17" s="343" t="s">
        <v>861</v>
      </c>
    </row>
  </sheetData>
  <phoneticPr fontId="0" type="noConversion"/>
  <printOptions horizontalCentered="1"/>
  <pageMargins left="0.75" right="0.75" top="1.25" bottom="1" header="0.33" footer="0.5"/>
  <pageSetup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45"/>
  <sheetViews>
    <sheetView showGridLines="0" topLeftCell="A19" workbookViewId="0">
      <selection sqref="A1:B1"/>
    </sheetView>
  </sheetViews>
  <sheetFormatPr defaultColWidth="9.140625" defaultRowHeight="12.75" x14ac:dyDescent="0.2"/>
  <cols>
    <col min="1" max="1" width="31.28515625" style="180" customWidth="1"/>
    <col min="2" max="2" width="17.5703125" style="180" customWidth="1"/>
    <col min="3" max="3" width="12.5703125" style="180" bestFit="1" customWidth="1"/>
    <col min="4" max="4" width="14" style="180" customWidth="1"/>
    <col min="5" max="16384" width="9.140625" style="180"/>
  </cols>
  <sheetData>
    <row r="1" spans="1:5" ht="15.75" x14ac:dyDescent="0.25">
      <c r="A1" s="1129" t="s">
        <v>127</v>
      </c>
      <c r="B1" s="1129"/>
      <c r="C1" s="373"/>
      <c r="D1" s="1126" t="s">
        <v>426</v>
      </c>
      <c r="E1" s="1126"/>
    </row>
    <row r="2" spans="1:5" ht="19.5" customHeight="1" thickBot="1" x14ac:dyDescent="0.25">
      <c r="A2" s="1130" t="s">
        <v>128</v>
      </c>
      <c r="B2" s="1130"/>
      <c r="C2" s="374"/>
    </row>
    <row r="3" spans="1:5" ht="39.75" thickTop="1" thickBot="1" x14ac:dyDescent="0.25">
      <c r="A3" s="341" t="s">
        <v>56</v>
      </c>
      <c r="B3" s="381" t="s">
        <v>57</v>
      </c>
      <c r="C3" s="381" t="s">
        <v>58</v>
      </c>
    </row>
    <row r="4" spans="1:5" ht="13.5" thickTop="1" x14ac:dyDescent="0.2">
      <c r="A4" s="265" t="s">
        <v>317</v>
      </c>
      <c r="B4" s="375">
        <f>'Property Inventory'!D30</f>
        <v>1982828.95</v>
      </c>
      <c r="C4" s="375">
        <f>B4*0.06666</f>
        <v>132175.37780699998</v>
      </c>
    </row>
    <row r="5" spans="1:5" x14ac:dyDescent="0.2">
      <c r="A5" s="265" t="s">
        <v>7</v>
      </c>
      <c r="B5" s="375">
        <f>'Property Inventory'!D21</f>
        <v>217067</v>
      </c>
      <c r="C5" s="375">
        <f>B5*0.06666</f>
        <v>14469.68622</v>
      </c>
    </row>
    <row r="6" spans="1:5" x14ac:dyDescent="0.2">
      <c r="A6" s="265" t="s">
        <v>14</v>
      </c>
      <c r="B6" s="375">
        <f>'Property Inventory'!D29</f>
        <v>295858</v>
      </c>
      <c r="C6" s="375">
        <f t="shared" ref="C6:C16" si="0">B6*0.06666</f>
        <v>19721.89428</v>
      </c>
    </row>
    <row r="7" spans="1:5" x14ac:dyDescent="0.2">
      <c r="A7" s="265" t="s">
        <v>25</v>
      </c>
      <c r="B7" s="375">
        <f>'Property Inventory'!D20</f>
        <v>423273.64</v>
      </c>
      <c r="C7" s="375">
        <f t="shared" si="0"/>
        <v>28215.420842399999</v>
      </c>
    </row>
    <row r="8" spans="1:5" x14ac:dyDescent="0.2">
      <c r="A8" s="265" t="s">
        <v>478</v>
      </c>
      <c r="B8" s="375">
        <f>'Property Inventory'!D33</f>
        <v>1400183</v>
      </c>
      <c r="C8" s="375">
        <f>B8*0.06666</f>
        <v>93336.198779999992</v>
      </c>
    </row>
    <row r="9" spans="1:5" x14ac:dyDescent="0.2">
      <c r="A9" s="265" t="s">
        <v>16</v>
      </c>
      <c r="B9" s="375">
        <f>'Property Inventory'!D42</f>
        <v>83614</v>
      </c>
      <c r="C9" s="375">
        <f t="shared" si="0"/>
        <v>5573.7092400000001</v>
      </c>
    </row>
    <row r="10" spans="1:5" x14ac:dyDescent="0.2">
      <c r="A10" s="265" t="s">
        <v>243</v>
      </c>
      <c r="B10" s="375">
        <f>'Property Inventory'!D41</f>
        <v>697651</v>
      </c>
      <c r="C10" s="375">
        <f t="shared" si="0"/>
        <v>46505.415659999999</v>
      </c>
    </row>
    <row r="11" spans="1:5" x14ac:dyDescent="0.2">
      <c r="A11" s="265" t="s">
        <v>18</v>
      </c>
      <c r="B11" s="375">
        <f>'Property Inventory'!D28</f>
        <v>91523</v>
      </c>
      <c r="C11" s="375">
        <f t="shared" si="0"/>
        <v>6100.9231799999998</v>
      </c>
    </row>
    <row r="12" spans="1:5" x14ac:dyDescent="0.2">
      <c r="A12" s="265" t="s">
        <v>19</v>
      </c>
      <c r="B12" s="375">
        <f>'Property Inventory'!D27</f>
        <v>970070</v>
      </c>
      <c r="C12" s="375">
        <f t="shared" si="0"/>
        <v>64664.866199999997</v>
      </c>
    </row>
    <row r="13" spans="1:5" x14ac:dyDescent="0.2">
      <c r="A13" s="265" t="s">
        <v>335</v>
      </c>
      <c r="B13" s="375">
        <f>'Property Inventory'!D47</f>
        <v>519421</v>
      </c>
      <c r="C13" s="375">
        <f t="shared" si="0"/>
        <v>34624.603859999996</v>
      </c>
    </row>
    <row r="14" spans="1:5" x14ac:dyDescent="0.2">
      <c r="A14" s="265" t="s">
        <v>20</v>
      </c>
      <c r="B14" s="375">
        <f>'Property Inventory'!D32</f>
        <v>1462092</v>
      </c>
      <c r="C14" s="375">
        <f t="shared" si="0"/>
        <v>97463.052719999992</v>
      </c>
    </row>
    <row r="15" spans="1:5" x14ac:dyDescent="0.2">
      <c r="A15" s="265" t="s">
        <v>26</v>
      </c>
      <c r="B15" s="375">
        <f>'Property Inventory'!D31</f>
        <v>880516</v>
      </c>
      <c r="C15" s="375">
        <f t="shared" si="0"/>
        <v>58695.196559999997</v>
      </c>
    </row>
    <row r="16" spans="1:5" x14ac:dyDescent="0.2">
      <c r="A16" s="265" t="s">
        <v>21</v>
      </c>
      <c r="B16" s="376">
        <f>'Property Inventory'!D22</f>
        <v>157726.14000000001</v>
      </c>
      <c r="C16" s="375">
        <f t="shared" si="0"/>
        <v>10514.0244924</v>
      </c>
    </row>
    <row r="17" spans="1:5" ht="13.5" thickBot="1" x14ac:dyDescent="0.25">
      <c r="A17" s="265"/>
      <c r="B17" s="375"/>
      <c r="C17" s="375" t="s">
        <v>0</v>
      </c>
    </row>
    <row r="18" spans="1:5" ht="20.25" customHeight="1" thickTop="1" thickBot="1" x14ac:dyDescent="0.25">
      <c r="A18" s="377" t="s">
        <v>131</v>
      </c>
      <c r="B18" s="1003">
        <f>SUM(B4:B17)</f>
        <v>9181823.7300000004</v>
      </c>
      <c r="C18" s="1004">
        <f>SUM(C4:C17)</f>
        <v>612060.36984179984</v>
      </c>
    </row>
    <row r="19" spans="1:5" ht="13.5" thickTop="1" x14ac:dyDescent="0.2">
      <c r="B19" s="269"/>
      <c r="C19" s="269"/>
    </row>
    <row r="20" spans="1:5" x14ac:dyDescent="0.2">
      <c r="B20" s="269"/>
      <c r="C20" s="269"/>
      <c r="D20" s="269"/>
    </row>
    <row r="21" spans="1:5" x14ac:dyDescent="0.2">
      <c r="B21" s="269"/>
      <c r="C21" s="269"/>
      <c r="D21" s="378"/>
    </row>
    <row r="22" spans="1:5" ht="15.75" x14ac:dyDescent="0.25">
      <c r="A22" s="1126" t="s">
        <v>129</v>
      </c>
      <c r="B22" s="1126"/>
      <c r="C22" s="1126"/>
      <c r="D22" s="1127" t="s">
        <v>427</v>
      </c>
      <c r="E22" s="1127"/>
    </row>
    <row r="23" spans="1:5" ht="16.5" thickBot="1" x14ac:dyDescent="0.3">
      <c r="A23" s="1128" t="s">
        <v>615</v>
      </c>
      <c r="B23" s="1128"/>
      <c r="C23" s="1128"/>
      <c r="D23" s="379"/>
    </row>
    <row r="24" spans="1:5" s="383" customFormat="1" ht="39.75" thickTop="1" thickBot="1" x14ac:dyDescent="0.25">
      <c r="A24" s="341" t="s">
        <v>56</v>
      </c>
      <c r="B24" s="382" t="s">
        <v>224</v>
      </c>
      <c r="C24" s="382" t="s">
        <v>59</v>
      </c>
      <c r="D24" s="382" t="s">
        <v>60</v>
      </c>
    </row>
    <row r="25" spans="1:5" ht="13.5" thickTop="1" x14ac:dyDescent="0.2">
      <c r="A25" s="265" t="s">
        <v>428</v>
      </c>
      <c r="B25" s="375">
        <v>36522437</v>
      </c>
      <c r="C25" s="375">
        <v>0</v>
      </c>
      <c r="D25" s="375">
        <f>B25*0.02</f>
        <v>730448.74</v>
      </c>
    </row>
    <row r="26" spans="1:5" x14ac:dyDescent="0.2">
      <c r="A26" s="265" t="s">
        <v>29</v>
      </c>
      <c r="B26" s="375">
        <v>16192923</v>
      </c>
      <c r="C26" s="375">
        <v>0</v>
      </c>
      <c r="D26" s="375">
        <f>B26*0.02</f>
        <v>323858.46000000002</v>
      </c>
    </row>
    <row r="27" spans="1:5" x14ac:dyDescent="0.2">
      <c r="A27" s="265" t="s">
        <v>14</v>
      </c>
      <c r="B27" s="375">
        <v>45066600</v>
      </c>
      <c r="C27" s="375">
        <v>0</v>
      </c>
      <c r="D27" s="375">
        <f t="shared" ref="D27:D36" si="1">B27*0.02</f>
        <v>901332</v>
      </c>
      <c r="E27" s="327"/>
    </row>
    <row r="28" spans="1:5" x14ac:dyDescent="0.2">
      <c r="A28" s="265" t="s">
        <v>25</v>
      </c>
      <c r="B28" s="375">
        <v>34112840</v>
      </c>
      <c r="C28" s="375">
        <v>0</v>
      </c>
      <c r="D28" s="375">
        <f t="shared" si="1"/>
        <v>682256.8</v>
      </c>
    </row>
    <row r="29" spans="1:5" x14ac:dyDescent="0.2">
      <c r="A29" s="265" t="s">
        <v>16</v>
      </c>
      <c r="B29" s="375">
        <v>7691306</v>
      </c>
      <c r="C29" s="375">
        <v>0</v>
      </c>
      <c r="D29" s="375">
        <f t="shared" si="1"/>
        <v>153826.12</v>
      </c>
    </row>
    <row r="30" spans="1:5" x14ac:dyDescent="0.2">
      <c r="A30" s="265" t="s">
        <v>17</v>
      </c>
      <c r="B30" s="375">
        <v>28845762</v>
      </c>
      <c r="C30" s="375">
        <v>0</v>
      </c>
      <c r="D30" s="375">
        <f t="shared" si="1"/>
        <v>576915.24</v>
      </c>
    </row>
    <row r="31" spans="1:5" x14ac:dyDescent="0.2">
      <c r="A31" s="265" t="s">
        <v>18</v>
      </c>
      <c r="B31" s="375">
        <v>10392719</v>
      </c>
      <c r="C31" s="375">
        <v>0</v>
      </c>
      <c r="D31" s="375">
        <f t="shared" si="1"/>
        <v>207854.38</v>
      </c>
    </row>
    <row r="32" spans="1:5" x14ac:dyDescent="0.2">
      <c r="A32" s="265" t="s">
        <v>19</v>
      </c>
      <c r="B32" s="375">
        <v>41211974</v>
      </c>
      <c r="C32" s="375">
        <v>0</v>
      </c>
      <c r="D32" s="375">
        <f t="shared" si="1"/>
        <v>824239.48</v>
      </c>
    </row>
    <row r="33" spans="1:4" x14ac:dyDescent="0.2">
      <c r="A33" s="265" t="s">
        <v>335</v>
      </c>
      <c r="B33" s="375">
        <v>12269054</v>
      </c>
      <c r="C33" s="375">
        <v>0</v>
      </c>
      <c r="D33" s="375">
        <f t="shared" si="1"/>
        <v>245381.08000000002</v>
      </c>
    </row>
    <row r="34" spans="1:4" x14ac:dyDescent="0.2">
      <c r="A34" s="265" t="s">
        <v>20</v>
      </c>
      <c r="B34" s="375">
        <v>78360986</v>
      </c>
      <c r="C34" s="375">
        <v>0</v>
      </c>
      <c r="D34" s="375">
        <f t="shared" si="1"/>
        <v>1567219.72</v>
      </c>
    </row>
    <row r="35" spans="1:4" x14ac:dyDescent="0.2">
      <c r="A35" s="265" t="s">
        <v>26</v>
      </c>
      <c r="B35" s="375">
        <v>51709708</v>
      </c>
      <c r="C35" s="375">
        <v>0</v>
      </c>
      <c r="D35" s="375">
        <f t="shared" si="1"/>
        <v>1034194.16</v>
      </c>
    </row>
    <row r="36" spans="1:4" x14ac:dyDescent="0.2">
      <c r="A36" s="265" t="s">
        <v>30</v>
      </c>
      <c r="B36" s="375">
        <v>12275277</v>
      </c>
      <c r="C36" s="375">
        <v>0</v>
      </c>
      <c r="D36" s="375">
        <f t="shared" si="1"/>
        <v>245505.54</v>
      </c>
    </row>
    <row r="37" spans="1:4" ht="13.5" thickBot="1" x14ac:dyDescent="0.25">
      <c r="A37" s="265"/>
      <c r="B37" s="375"/>
      <c r="C37" s="375"/>
      <c r="D37" s="375"/>
    </row>
    <row r="38" spans="1:4" ht="14.25" thickTop="1" thickBot="1" x14ac:dyDescent="0.25">
      <c r="A38" s="377" t="s">
        <v>130</v>
      </c>
      <c r="B38" s="1003">
        <f>SUM(B25:B37)</f>
        <v>374651586</v>
      </c>
      <c r="C38" s="380">
        <f>SUM(C25:C37)</f>
        <v>0</v>
      </c>
      <c r="D38" s="1004">
        <f>SUM(D25:D37)</f>
        <v>7493031.7200000007</v>
      </c>
    </row>
    <row r="39" spans="1:4" ht="30" customHeight="1" thickTop="1" thickBot="1" x14ac:dyDescent="0.25">
      <c r="A39" s="231"/>
      <c r="B39" s="269"/>
      <c r="C39" s="269"/>
      <c r="D39" s="269"/>
    </row>
    <row r="40" spans="1:4" s="387" customFormat="1" ht="26.25" thickBot="1" x14ac:dyDescent="0.25">
      <c r="A40" s="654" t="s">
        <v>564</v>
      </c>
      <c r="B40" s="384" t="s">
        <v>132</v>
      </c>
      <c r="C40" s="385"/>
      <c r="D40" s="386">
        <f>C18+D38</f>
        <v>8105092.0898418007</v>
      </c>
    </row>
    <row r="41" spans="1:4" ht="13.5" thickTop="1" x14ac:dyDescent="0.2">
      <c r="B41" s="269"/>
      <c r="C41" s="269"/>
      <c r="D41" s="378"/>
    </row>
    <row r="42" spans="1:4" x14ac:dyDescent="0.2">
      <c r="A42" s="343" t="s">
        <v>864</v>
      </c>
    </row>
    <row r="44" spans="1:4" x14ac:dyDescent="0.2">
      <c r="A44" s="264"/>
    </row>
    <row r="45" spans="1:4" x14ac:dyDescent="0.2">
      <c r="A45" s="270"/>
    </row>
  </sheetData>
  <mergeCells count="6">
    <mergeCell ref="D1:E1"/>
    <mergeCell ref="D22:E22"/>
    <mergeCell ref="A23:C23"/>
    <mergeCell ref="A22:C22"/>
    <mergeCell ref="A1:B1"/>
    <mergeCell ref="A2:B2"/>
  </mergeCells>
  <phoneticPr fontId="19" type="noConversion"/>
  <printOptions horizontalCentered="1" verticalCentered="1"/>
  <pageMargins left="0.75" right="0.75" top="1.25" bottom="1" header="0.33" footer="0.5"/>
  <pageSetup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BD60"/>
  <sheetViews>
    <sheetView showGridLines="0" workbookViewId="0">
      <pane ySplit="2" topLeftCell="A3" activePane="bottomLeft" state="frozen"/>
      <selection activeCell="B35" sqref="B35"/>
      <selection pane="bottomLeft" sqref="A1:G1"/>
    </sheetView>
  </sheetViews>
  <sheetFormatPr defaultColWidth="9.140625" defaultRowHeight="15.75" x14ac:dyDescent="0.25"/>
  <cols>
    <col min="1" max="1" width="10.7109375" style="195" customWidth="1"/>
    <col min="2" max="2" width="31.42578125" style="195" customWidth="1"/>
    <col min="3" max="3" width="11" style="232" customWidth="1"/>
    <col min="4" max="4" width="17.7109375" style="195" customWidth="1"/>
    <col min="5" max="5" width="12.85546875" style="195" customWidth="1"/>
    <col min="6" max="6" width="15.42578125" style="195" customWidth="1"/>
    <col min="7" max="7" width="17.28515625" style="195" customWidth="1"/>
    <col min="8" max="8" width="14.85546875" style="195" bestFit="1" customWidth="1"/>
    <col min="9" max="16384" width="9.140625" style="195"/>
  </cols>
  <sheetData>
    <row r="1" spans="1:13" s="239" customFormat="1" ht="41.25" customHeight="1" thickBot="1" x14ac:dyDescent="0.3">
      <c r="A1" s="1087" t="s">
        <v>136</v>
      </c>
      <c r="B1" s="1087"/>
      <c r="C1" s="1087"/>
      <c r="D1" s="1087"/>
      <c r="E1" s="1087"/>
      <c r="F1" s="1087"/>
      <c r="G1" s="1087"/>
    </row>
    <row r="2" spans="1:13" s="248" customFormat="1" ht="30.75" customHeight="1" thickTop="1" thickBot="1" x14ac:dyDescent="0.25">
      <c r="A2" s="338" t="s">
        <v>87</v>
      </c>
      <c r="B2" s="337" t="s">
        <v>73</v>
      </c>
      <c r="C2" s="338" t="s">
        <v>704</v>
      </c>
      <c r="D2" s="338" t="s">
        <v>693</v>
      </c>
      <c r="E2" s="338" t="s">
        <v>694</v>
      </c>
      <c r="F2" s="338" t="s">
        <v>695</v>
      </c>
      <c r="G2" s="337" t="s">
        <v>6</v>
      </c>
    </row>
    <row r="3" spans="1:13" ht="16.5" thickTop="1" x14ac:dyDescent="0.25">
      <c r="A3" s="262">
        <v>3</v>
      </c>
      <c r="B3" s="183" t="s">
        <v>420</v>
      </c>
      <c r="C3" s="262">
        <v>1000</v>
      </c>
      <c r="D3" s="191">
        <v>35637</v>
      </c>
      <c r="E3" s="191"/>
      <c r="F3" s="393">
        <f>9001+2289</f>
        <v>11290</v>
      </c>
      <c r="G3" s="394">
        <f>SUM(D3:F3)</f>
        <v>46927</v>
      </c>
      <c r="H3" s="245"/>
      <c r="I3" s="245"/>
      <c r="J3" s="245"/>
      <c r="K3" s="245"/>
      <c r="L3" s="245"/>
      <c r="M3" s="245"/>
    </row>
    <row r="4" spans="1:13" x14ac:dyDescent="0.25">
      <c r="A4" s="262" t="s">
        <v>499</v>
      </c>
      <c r="B4" s="183" t="s">
        <v>70</v>
      </c>
      <c r="C4" s="262">
        <v>3000</v>
      </c>
      <c r="D4" s="191">
        <v>11932</v>
      </c>
      <c r="E4" s="191"/>
      <c r="F4" s="393">
        <v>4433</v>
      </c>
      <c r="G4" s="394">
        <f>SUM(D4:F4)</f>
        <v>16365</v>
      </c>
      <c r="H4" s="245"/>
      <c r="I4" s="245"/>
      <c r="J4" s="245"/>
      <c r="K4" s="245"/>
      <c r="L4" s="245"/>
      <c r="M4" s="245"/>
    </row>
    <row r="5" spans="1:13" x14ac:dyDescent="0.25">
      <c r="A5" s="262"/>
      <c r="B5" s="183" t="s">
        <v>419</v>
      </c>
      <c r="C5" s="262">
        <v>2250</v>
      </c>
      <c r="D5" s="191">
        <v>64042</v>
      </c>
      <c r="E5" s="191"/>
      <c r="F5" s="393">
        <v>4615</v>
      </c>
      <c r="G5" s="394">
        <f t="shared" ref="G5:G50" si="0">SUM(D5:F5)</f>
        <v>68657</v>
      </c>
      <c r="H5" s="245"/>
      <c r="I5" s="245"/>
      <c r="J5" s="245"/>
      <c r="K5" s="245"/>
      <c r="L5" s="245"/>
      <c r="M5" s="245"/>
    </row>
    <row r="6" spans="1:13" x14ac:dyDescent="0.25">
      <c r="A6" s="262"/>
      <c r="B6" s="183" t="s">
        <v>351</v>
      </c>
      <c r="C6" s="262">
        <v>2230</v>
      </c>
      <c r="D6" s="191">
        <v>5450</v>
      </c>
      <c r="E6" s="191"/>
      <c r="F6" s="393">
        <v>0</v>
      </c>
      <c r="G6" s="394">
        <f t="shared" si="0"/>
        <v>5450</v>
      </c>
      <c r="H6" s="245"/>
      <c r="I6" s="245"/>
      <c r="J6" s="245"/>
      <c r="K6" s="245"/>
      <c r="L6" s="245"/>
      <c r="M6" s="245"/>
    </row>
    <row r="7" spans="1:13" x14ac:dyDescent="0.25">
      <c r="A7" s="262">
        <v>1</v>
      </c>
      <c r="B7" s="183" t="s">
        <v>659</v>
      </c>
      <c r="C7" s="262">
        <v>1100</v>
      </c>
      <c r="D7" s="191">
        <v>1344355</v>
      </c>
      <c r="E7" s="191"/>
      <c r="F7" s="393">
        <f>7754+5543</f>
        <v>13297</v>
      </c>
      <c r="G7" s="394">
        <f t="shared" si="0"/>
        <v>1357652</v>
      </c>
      <c r="H7" s="245"/>
      <c r="I7" s="245"/>
      <c r="J7" s="245"/>
      <c r="K7" s="245"/>
      <c r="L7" s="245"/>
      <c r="M7" s="245"/>
    </row>
    <row r="8" spans="1:13" x14ac:dyDescent="0.25">
      <c r="A8" s="262"/>
      <c r="B8" s="183" t="s">
        <v>334</v>
      </c>
      <c r="C8" s="262">
        <v>1300</v>
      </c>
      <c r="D8" s="191">
        <v>22779</v>
      </c>
      <c r="E8" s="191"/>
      <c r="F8" s="393">
        <v>0</v>
      </c>
      <c r="G8" s="394">
        <f t="shared" si="0"/>
        <v>22779</v>
      </c>
      <c r="H8" s="245"/>
      <c r="I8" s="245"/>
      <c r="J8" s="245"/>
      <c r="K8" s="245"/>
      <c r="L8" s="245"/>
      <c r="M8" s="245"/>
    </row>
    <row r="9" spans="1:13" x14ac:dyDescent="0.25">
      <c r="A9" s="262">
        <v>4</v>
      </c>
      <c r="B9" s="183" t="s">
        <v>90</v>
      </c>
      <c r="C9" s="262">
        <v>2260</v>
      </c>
      <c r="D9" s="191">
        <v>241583</v>
      </c>
      <c r="E9" s="191"/>
      <c r="F9" s="393">
        <v>14456</v>
      </c>
      <c r="G9" s="394">
        <f t="shared" si="0"/>
        <v>256039</v>
      </c>
      <c r="H9" s="245"/>
      <c r="I9" s="245"/>
      <c r="J9" s="245"/>
      <c r="K9" s="245"/>
      <c r="L9" s="245"/>
      <c r="M9" s="245"/>
    </row>
    <row r="10" spans="1:13" x14ac:dyDescent="0.25">
      <c r="A10" s="262"/>
      <c r="B10" s="183" t="s">
        <v>862</v>
      </c>
      <c r="C10" s="262">
        <v>2300</v>
      </c>
      <c r="D10" s="191">
        <v>8512</v>
      </c>
      <c r="E10" s="191"/>
      <c r="F10" s="393">
        <v>2812</v>
      </c>
      <c r="G10" s="394">
        <f t="shared" si="0"/>
        <v>11324</v>
      </c>
      <c r="H10" s="245"/>
      <c r="I10" s="245"/>
      <c r="J10" s="245"/>
      <c r="K10" s="245"/>
      <c r="L10" s="245"/>
      <c r="M10" s="245"/>
    </row>
    <row r="11" spans="1:13" x14ac:dyDescent="0.25">
      <c r="A11" s="262"/>
      <c r="B11" s="183" t="s">
        <v>501</v>
      </c>
      <c r="C11" s="262">
        <v>20661367</v>
      </c>
      <c r="D11" s="191"/>
      <c r="E11" s="191"/>
      <c r="F11" s="393">
        <v>308</v>
      </c>
      <c r="G11" s="394">
        <f t="shared" si="0"/>
        <v>308</v>
      </c>
      <c r="H11" s="245"/>
      <c r="I11" s="245"/>
      <c r="J11" s="245"/>
      <c r="K11" s="245"/>
      <c r="L11" s="245"/>
      <c r="M11" s="245"/>
    </row>
    <row r="12" spans="1:13" x14ac:dyDescent="0.25">
      <c r="A12" s="262">
        <v>7</v>
      </c>
      <c r="B12" s="183" t="s">
        <v>55</v>
      </c>
      <c r="C12" s="262">
        <v>2210</v>
      </c>
      <c r="D12" s="191">
        <v>25582</v>
      </c>
      <c r="E12" s="191"/>
      <c r="F12" s="393">
        <v>66831</v>
      </c>
      <c r="G12" s="394">
        <f t="shared" si="0"/>
        <v>92413</v>
      </c>
      <c r="H12" s="245"/>
      <c r="I12" s="245"/>
      <c r="J12" s="245"/>
      <c r="K12" s="245"/>
      <c r="L12" s="245"/>
      <c r="M12" s="245"/>
    </row>
    <row r="13" spans="1:13" x14ac:dyDescent="0.25">
      <c r="A13" s="719"/>
      <c r="B13" s="183" t="s">
        <v>336</v>
      </c>
      <c r="C13" s="262">
        <v>20661382</v>
      </c>
      <c r="D13" s="191"/>
      <c r="E13" s="191"/>
      <c r="F13" s="393">
        <v>5797</v>
      </c>
      <c r="G13" s="394">
        <f t="shared" si="0"/>
        <v>5797</v>
      </c>
      <c r="H13" s="245"/>
      <c r="I13" s="245"/>
      <c r="J13" s="245"/>
      <c r="K13" s="245"/>
      <c r="L13" s="245"/>
      <c r="M13" s="245"/>
    </row>
    <row r="14" spans="1:13" x14ac:dyDescent="0.25">
      <c r="A14" s="262"/>
      <c r="B14" s="183" t="s">
        <v>147</v>
      </c>
      <c r="C14" s="262">
        <v>20661383</v>
      </c>
      <c r="D14" s="191"/>
      <c r="E14" s="191"/>
      <c r="F14" s="393">
        <v>24947</v>
      </c>
      <c r="G14" s="394">
        <f t="shared" si="0"/>
        <v>24947</v>
      </c>
      <c r="H14" s="245"/>
      <c r="I14" s="245"/>
      <c r="J14" s="245"/>
      <c r="K14" s="245"/>
      <c r="L14" s="245"/>
      <c r="M14" s="245"/>
    </row>
    <row r="15" spans="1:13" x14ac:dyDescent="0.25">
      <c r="A15" s="262" t="s">
        <v>500</v>
      </c>
      <c r="B15" s="183" t="s">
        <v>563</v>
      </c>
      <c r="C15" s="262">
        <v>20661420</v>
      </c>
      <c r="D15" s="191"/>
      <c r="E15" s="191"/>
      <c r="F15" s="393">
        <v>11073</v>
      </c>
      <c r="G15" s="394">
        <f t="shared" si="0"/>
        <v>11073</v>
      </c>
      <c r="H15" s="245"/>
      <c r="I15" s="245"/>
      <c r="J15" s="245"/>
      <c r="K15" s="245"/>
      <c r="L15" s="245"/>
      <c r="M15" s="245"/>
    </row>
    <row r="16" spans="1:13" x14ac:dyDescent="0.25">
      <c r="A16" s="262">
        <v>37</v>
      </c>
      <c r="B16" s="183" t="s">
        <v>63</v>
      </c>
      <c r="C16" s="262">
        <v>2220</v>
      </c>
      <c r="D16" s="191">
        <v>31189</v>
      </c>
      <c r="E16" s="191"/>
      <c r="F16" s="393">
        <v>0</v>
      </c>
      <c r="G16" s="394">
        <f t="shared" si="0"/>
        <v>31189</v>
      </c>
      <c r="H16" s="245"/>
      <c r="I16" s="245"/>
      <c r="J16" s="245"/>
      <c r="K16" s="245"/>
      <c r="L16" s="245"/>
      <c r="M16" s="245"/>
    </row>
    <row r="17" spans="1:13" x14ac:dyDescent="0.25">
      <c r="A17" s="262"/>
      <c r="B17" s="183" t="s">
        <v>711</v>
      </c>
      <c r="C17" s="262">
        <v>4100</v>
      </c>
      <c r="D17" s="191">
        <v>27202.57</v>
      </c>
      <c r="E17" s="191"/>
      <c r="F17" s="393">
        <v>5533</v>
      </c>
      <c r="G17" s="394">
        <f t="shared" si="0"/>
        <v>32735.57</v>
      </c>
      <c r="H17" s="245"/>
      <c r="I17" s="245"/>
      <c r="J17" s="245"/>
      <c r="K17" s="245"/>
      <c r="L17" s="245"/>
      <c r="M17" s="245"/>
    </row>
    <row r="18" spans="1:13" x14ac:dyDescent="0.25">
      <c r="A18" s="262"/>
      <c r="B18" s="183" t="s">
        <v>658</v>
      </c>
      <c r="C18" s="262">
        <v>1200</v>
      </c>
      <c r="D18" s="191">
        <v>486947</v>
      </c>
      <c r="E18" s="191"/>
      <c r="F18" s="393">
        <v>806</v>
      </c>
      <c r="G18" s="394">
        <f t="shared" si="0"/>
        <v>487753</v>
      </c>
      <c r="H18" s="245"/>
      <c r="I18" s="245"/>
      <c r="J18" s="245"/>
      <c r="K18" s="245"/>
      <c r="L18" s="245"/>
      <c r="M18" s="245"/>
    </row>
    <row r="19" spans="1:13" x14ac:dyDescent="0.25">
      <c r="A19" s="262"/>
      <c r="B19" s="183" t="s">
        <v>421</v>
      </c>
      <c r="C19" s="262">
        <v>2000</v>
      </c>
      <c r="D19" s="191">
        <v>13181</v>
      </c>
      <c r="E19" s="191"/>
      <c r="F19" s="393">
        <v>9211</v>
      </c>
      <c r="G19" s="394">
        <f t="shared" si="0"/>
        <v>22392</v>
      </c>
      <c r="H19" s="245"/>
      <c r="I19" s="245"/>
      <c r="J19" s="245"/>
      <c r="K19" s="245"/>
      <c r="L19" s="245"/>
      <c r="M19" s="245"/>
    </row>
    <row r="20" spans="1:13" x14ac:dyDescent="0.25">
      <c r="A20" s="262">
        <v>14</v>
      </c>
      <c r="B20" s="183" t="s">
        <v>65</v>
      </c>
      <c r="C20" s="262">
        <v>2103</v>
      </c>
      <c r="D20" s="191">
        <v>423273.64</v>
      </c>
      <c r="E20" s="191"/>
      <c r="F20" s="393">
        <v>25363</v>
      </c>
      <c r="G20" s="394">
        <f t="shared" si="0"/>
        <v>448636.64</v>
      </c>
      <c r="H20" s="245"/>
      <c r="I20" s="245"/>
      <c r="J20" s="245"/>
      <c r="K20" s="245"/>
      <c r="L20" s="245"/>
      <c r="M20" s="245"/>
    </row>
    <row r="21" spans="1:13" x14ac:dyDescent="0.25">
      <c r="A21" s="262">
        <v>15</v>
      </c>
      <c r="B21" s="183" t="s">
        <v>91</v>
      </c>
      <c r="C21" s="262">
        <v>2101</v>
      </c>
      <c r="D21" s="191">
        <v>217067</v>
      </c>
      <c r="E21" s="191"/>
      <c r="F21" s="393">
        <v>43431</v>
      </c>
      <c r="G21" s="394">
        <f t="shared" si="0"/>
        <v>260498</v>
      </c>
      <c r="H21" s="245"/>
      <c r="I21" s="245"/>
      <c r="J21" s="245"/>
      <c r="K21" s="245"/>
      <c r="L21" s="245"/>
      <c r="M21" s="245"/>
    </row>
    <row r="22" spans="1:13" x14ac:dyDescent="0.25">
      <c r="A22" s="262">
        <v>18</v>
      </c>
      <c r="B22" s="183" t="s">
        <v>92</v>
      </c>
      <c r="C22" s="262">
        <v>2110</v>
      </c>
      <c r="D22" s="191">
        <v>157726.14000000001</v>
      </c>
      <c r="E22" s="191"/>
      <c r="F22" s="393">
        <v>29639</v>
      </c>
      <c r="G22" s="394">
        <f t="shared" si="0"/>
        <v>187365.14</v>
      </c>
      <c r="H22" s="245"/>
      <c r="I22" s="245"/>
      <c r="J22" s="245"/>
      <c r="K22" s="245"/>
      <c r="L22" s="245"/>
      <c r="M22" s="245"/>
    </row>
    <row r="23" spans="1:13" x14ac:dyDescent="0.25">
      <c r="A23" s="262" t="s">
        <v>496</v>
      </c>
      <c r="B23" s="183" t="s">
        <v>101</v>
      </c>
      <c r="C23" s="262">
        <v>2441</v>
      </c>
      <c r="D23" s="191">
        <v>107990</v>
      </c>
      <c r="E23" s="191"/>
      <c r="F23" s="393">
        <v>13411</v>
      </c>
      <c r="G23" s="394">
        <f t="shared" si="0"/>
        <v>121401</v>
      </c>
      <c r="H23" s="245"/>
      <c r="I23" s="245"/>
      <c r="J23" s="245"/>
      <c r="K23" s="245"/>
      <c r="L23" s="245"/>
      <c r="M23" s="245"/>
    </row>
    <row r="24" spans="1:13" x14ac:dyDescent="0.25">
      <c r="A24" s="262" t="s">
        <v>587</v>
      </c>
      <c r="B24" s="183" t="s">
        <v>103</v>
      </c>
      <c r="C24" s="262">
        <v>2442</v>
      </c>
      <c r="D24" s="191">
        <v>10549</v>
      </c>
      <c r="E24" s="191"/>
      <c r="F24" s="393">
        <v>6067</v>
      </c>
      <c r="G24" s="394">
        <f t="shared" si="0"/>
        <v>16616</v>
      </c>
      <c r="H24" s="245"/>
      <c r="I24" s="245"/>
      <c r="J24" s="245"/>
      <c r="K24" s="245"/>
      <c r="L24" s="245"/>
      <c r="M24" s="245"/>
    </row>
    <row r="25" spans="1:13" x14ac:dyDescent="0.25">
      <c r="A25" s="262" t="s">
        <v>497</v>
      </c>
      <c r="B25" s="183" t="s">
        <v>104</v>
      </c>
      <c r="C25" s="262">
        <v>2443</v>
      </c>
      <c r="D25" s="191">
        <v>27400</v>
      </c>
      <c r="E25" s="191"/>
      <c r="F25" s="393">
        <v>2938</v>
      </c>
      <c r="G25" s="394">
        <f t="shared" si="0"/>
        <v>30338</v>
      </c>
      <c r="H25" s="245"/>
      <c r="I25" s="245"/>
      <c r="J25" s="245"/>
      <c r="K25" s="245"/>
      <c r="L25" s="245"/>
      <c r="M25" s="245"/>
    </row>
    <row r="26" spans="1:13" x14ac:dyDescent="0.25">
      <c r="A26" s="262" t="s">
        <v>498</v>
      </c>
      <c r="B26" s="183" t="s">
        <v>105</v>
      </c>
      <c r="C26" s="262">
        <v>2444</v>
      </c>
      <c r="D26" s="191">
        <v>4115</v>
      </c>
      <c r="E26" s="191"/>
      <c r="F26" s="393">
        <v>5023</v>
      </c>
      <c r="G26" s="394">
        <f t="shared" si="0"/>
        <v>9138</v>
      </c>
      <c r="H26" s="245"/>
      <c r="I26" s="245"/>
      <c r="J26" s="245"/>
      <c r="K26" s="245"/>
      <c r="L26" s="245"/>
      <c r="M26" s="245"/>
    </row>
    <row r="27" spans="1:13" x14ac:dyDescent="0.25">
      <c r="A27" s="262">
        <v>13</v>
      </c>
      <c r="B27" s="183" t="s">
        <v>68</v>
      </c>
      <c r="C27" s="262">
        <v>2107</v>
      </c>
      <c r="D27" s="191">
        <v>970070</v>
      </c>
      <c r="E27" s="191"/>
      <c r="F27" s="393">
        <v>263430</v>
      </c>
      <c r="G27" s="394">
        <f t="shared" si="0"/>
        <v>1233500</v>
      </c>
      <c r="H27" s="245"/>
      <c r="I27" s="245"/>
      <c r="J27" s="245"/>
      <c r="K27" s="245"/>
      <c r="L27" s="245"/>
      <c r="M27" s="245"/>
    </row>
    <row r="28" spans="1:13" x14ac:dyDescent="0.25">
      <c r="A28" s="262">
        <v>10</v>
      </c>
      <c r="B28" s="183" t="s">
        <v>707</v>
      </c>
      <c r="C28" s="262">
        <v>2106</v>
      </c>
      <c r="D28" s="191">
        <v>91523</v>
      </c>
      <c r="E28" s="191"/>
      <c r="F28" s="393">
        <v>17749</v>
      </c>
      <c r="G28" s="394">
        <f t="shared" si="0"/>
        <v>109272</v>
      </c>
      <c r="H28" s="245"/>
      <c r="I28" s="245"/>
      <c r="J28" s="245"/>
      <c r="K28" s="245"/>
      <c r="L28" s="245"/>
      <c r="M28" s="245"/>
    </row>
    <row r="29" spans="1:13" x14ac:dyDescent="0.25">
      <c r="A29" s="262">
        <v>11</v>
      </c>
      <c r="B29" s="183" t="s">
        <v>137</v>
      </c>
      <c r="C29" s="262">
        <v>2102</v>
      </c>
      <c r="D29" s="191">
        <v>295858</v>
      </c>
      <c r="E29" s="191"/>
      <c r="F29" s="393">
        <v>87241</v>
      </c>
      <c r="G29" s="394">
        <f t="shared" si="0"/>
        <v>383099</v>
      </c>
      <c r="H29" s="245"/>
      <c r="I29" s="245"/>
      <c r="J29" s="245"/>
      <c r="K29" s="245"/>
      <c r="L29" s="245"/>
      <c r="M29" s="245"/>
    </row>
    <row r="30" spans="1:13" x14ac:dyDescent="0.25">
      <c r="A30" s="395" t="s">
        <v>422</v>
      </c>
      <c r="B30" s="183" t="s">
        <v>423</v>
      </c>
      <c r="C30" s="262">
        <v>2100</v>
      </c>
      <c r="D30" s="191">
        <v>1982828.95</v>
      </c>
      <c r="E30" s="191"/>
      <c r="F30" s="393">
        <v>43358</v>
      </c>
      <c r="G30" s="394">
        <f t="shared" si="0"/>
        <v>2026186.95</v>
      </c>
      <c r="H30" s="245"/>
      <c r="I30" s="245"/>
      <c r="J30" s="245"/>
      <c r="K30" s="245"/>
      <c r="L30" s="245"/>
      <c r="M30" s="245"/>
    </row>
    <row r="31" spans="1:13" x14ac:dyDescent="0.25">
      <c r="A31" s="262">
        <v>30</v>
      </c>
      <c r="B31" s="183" t="s">
        <v>706</v>
      </c>
      <c r="C31" s="262">
        <v>2109</v>
      </c>
      <c r="D31" s="191">
        <v>880516</v>
      </c>
      <c r="E31" s="191"/>
      <c r="F31" s="393">
        <v>137606</v>
      </c>
      <c r="G31" s="394">
        <f t="shared" si="0"/>
        <v>1018122</v>
      </c>
      <c r="H31" s="245"/>
      <c r="I31" s="245"/>
      <c r="J31" s="245"/>
      <c r="K31" s="245"/>
      <c r="L31" s="245"/>
      <c r="M31" s="245"/>
    </row>
    <row r="32" spans="1:13" x14ac:dyDescent="0.25">
      <c r="A32" s="262">
        <v>16</v>
      </c>
      <c r="B32" s="183" t="s">
        <v>69</v>
      </c>
      <c r="C32" s="262">
        <v>2108</v>
      </c>
      <c r="D32" s="191">
        <v>1462092</v>
      </c>
      <c r="E32" s="191"/>
      <c r="F32" s="393">
        <v>222986</v>
      </c>
      <c r="G32" s="394">
        <f t="shared" si="0"/>
        <v>1685078</v>
      </c>
      <c r="H32" s="245"/>
      <c r="I32" s="245"/>
      <c r="J32" s="245"/>
      <c r="K32" s="245"/>
      <c r="L32" s="245"/>
      <c r="M32" s="245"/>
    </row>
    <row r="33" spans="1:13" x14ac:dyDescent="0.25">
      <c r="A33" s="262">
        <v>39</v>
      </c>
      <c r="B33" s="183" t="s">
        <v>484</v>
      </c>
      <c r="C33" s="262">
        <v>2112</v>
      </c>
      <c r="D33" s="191">
        <v>1400183</v>
      </c>
      <c r="E33" s="191"/>
      <c r="F33" s="393">
        <f>321179+7178</f>
        <v>328357</v>
      </c>
      <c r="G33" s="394">
        <f t="shared" si="0"/>
        <v>1728540</v>
      </c>
      <c r="H33" s="245"/>
      <c r="I33" s="245"/>
      <c r="J33" s="245"/>
      <c r="K33" s="245"/>
      <c r="L33" s="245"/>
      <c r="M33" s="245"/>
    </row>
    <row r="34" spans="1:13" x14ac:dyDescent="0.25">
      <c r="A34" s="262"/>
      <c r="B34" s="183" t="s">
        <v>709</v>
      </c>
      <c r="C34" s="262">
        <v>2420</v>
      </c>
      <c r="D34" s="191">
        <v>709.07</v>
      </c>
      <c r="E34" s="191"/>
      <c r="F34" s="393">
        <v>0</v>
      </c>
      <c r="G34" s="394">
        <f t="shared" si="0"/>
        <v>709.07</v>
      </c>
      <c r="H34" s="245"/>
      <c r="I34" s="245"/>
      <c r="J34" s="245"/>
      <c r="K34" s="245"/>
      <c r="L34" s="245"/>
      <c r="M34" s="245"/>
    </row>
    <row r="35" spans="1:13" x14ac:dyDescent="0.25">
      <c r="A35" s="262" t="s">
        <v>93</v>
      </c>
      <c r="B35" s="183" t="s">
        <v>94</v>
      </c>
      <c r="C35" s="262">
        <v>2421</v>
      </c>
      <c r="D35" s="191">
        <v>443800</v>
      </c>
      <c r="E35" s="191"/>
      <c r="F35" s="393">
        <v>39582</v>
      </c>
      <c r="G35" s="394">
        <f t="shared" si="0"/>
        <v>483382</v>
      </c>
      <c r="H35" s="245"/>
      <c r="I35" s="245"/>
      <c r="J35" s="245"/>
      <c r="K35" s="245"/>
      <c r="L35" s="245"/>
      <c r="M35" s="245"/>
    </row>
    <row r="36" spans="1:13" x14ac:dyDescent="0.25">
      <c r="A36" s="262" t="s">
        <v>490</v>
      </c>
      <c r="B36" s="183" t="s">
        <v>96</v>
      </c>
      <c r="C36" s="262">
        <v>2422</v>
      </c>
      <c r="D36" s="191">
        <v>34749</v>
      </c>
      <c r="E36" s="191"/>
      <c r="F36" s="393">
        <v>10412</v>
      </c>
      <c r="G36" s="394">
        <f t="shared" si="0"/>
        <v>45161</v>
      </c>
      <c r="H36" s="245"/>
      <c r="I36" s="245"/>
      <c r="J36" s="245"/>
      <c r="K36" s="245"/>
      <c r="L36" s="245"/>
      <c r="M36" s="245"/>
    </row>
    <row r="37" spans="1:13" x14ac:dyDescent="0.25">
      <c r="A37" s="262" t="s">
        <v>489</v>
      </c>
      <c r="B37" s="183" t="s">
        <v>95</v>
      </c>
      <c r="C37" s="262"/>
      <c r="D37" s="191"/>
      <c r="E37" s="191"/>
      <c r="F37" s="393">
        <v>2945</v>
      </c>
      <c r="G37" s="394">
        <f t="shared" si="0"/>
        <v>2945</v>
      </c>
      <c r="H37" s="245"/>
      <c r="I37" s="245"/>
      <c r="J37" s="245"/>
      <c r="K37" s="245"/>
      <c r="L37" s="245"/>
      <c r="M37" s="245"/>
    </row>
    <row r="38" spans="1:13" x14ac:dyDescent="0.25">
      <c r="A38" s="262" t="s">
        <v>491</v>
      </c>
      <c r="B38" s="183" t="s">
        <v>338</v>
      </c>
      <c r="C38" s="262">
        <v>2424</v>
      </c>
      <c r="D38" s="191">
        <v>66032</v>
      </c>
      <c r="E38" s="191"/>
      <c r="F38" s="393">
        <v>22817</v>
      </c>
      <c r="G38" s="394">
        <f t="shared" si="0"/>
        <v>88849</v>
      </c>
      <c r="H38" s="245"/>
      <c r="I38" s="245"/>
      <c r="J38" s="245"/>
      <c r="K38" s="245"/>
      <c r="L38" s="245"/>
      <c r="M38" s="245"/>
    </row>
    <row r="39" spans="1:13" x14ac:dyDescent="0.25">
      <c r="A39" s="262" t="s">
        <v>492</v>
      </c>
      <c r="B39" s="183" t="s">
        <v>97</v>
      </c>
      <c r="C39" s="262">
        <v>2425</v>
      </c>
      <c r="D39" s="191">
        <v>31845</v>
      </c>
      <c r="E39" s="191"/>
      <c r="F39" s="393">
        <v>3642</v>
      </c>
      <c r="G39" s="394">
        <f t="shared" si="0"/>
        <v>35487</v>
      </c>
      <c r="H39" s="245"/>
      <c r="I39" s="245"/>
      <c r="J39" s="245"/>
      <c r="K39" s="245"/>
      <c r="L39" s="245"/>
      <c r="M39" s="245"/>
    </row>
    <row r="40" spans="1:13" x14ac:dyDescent="0.25">
      <c r="A40" s="262" t="s">
        <v>424</v>
      </c>
      <c r="B40" s="183" t="s">
        <v>102</v>
      </c>
      <c r="C40" s="262">
        <v>2426</v>
      </c>
      <c r="D40" s="191">
        <v>38553</v>
      </c>
      <c r="E40" s="191"/>
      <c r="F40" s="393">
        <v>9385</v>
      </c>
      <c r="G40" s="394">
        <f t="shared" si="0"/>
        <v>47938</v>
      </c>
      <c r="H40" s="245"/>
      <c r="I40" s="245"/>
      <c r="J40" s="245"/>
      <c r="K40" s="245"/>
      <c r="L40" s="245"/>
      <c r="M40" s="245"/>
    </row>
    <row r="41" spans="1:13" x14ac:dyDescent="0.25">
      <c r="A41" s="262">
        <v>6</v>
      </c>
      <c r="B41" s="183" t="s">
        <v>67</v>
      </c>
      <c r="C41" s="262">
        <v>2105</v>
      </c>
      <c r="D41" s="191">
        <v>697651</v>
      </c>
      <c r="E41" s="191"/>
      <c r="F41" s="393">
        <v>34859</v>
      </c>
      <c r="G41" s="394">
        <f t="shared" si="0"/>
        <v>732510</v>
      </c>
      <c r="H41" s="245"/>
      <c r="I41" s="245"/>
      <c r="J41" s="245"/>
      <c r="K41" s="245"/>
      <c r="L41" s="245"/>
      <c r="M41" s="245"/>
    </row>
    <row r="42" spans="1:13" x14ac:dyDescent="0.25">
      <c r="A42" s="262">
        <v>5</v>
      </c>
      <c r="B42" s="183" t="s">
        <v>66</v>
      </c>
      <c r="C42" s="262">
        <v>2104</v>
      </c>
      <c r="D42" s="191">
        <v>83614</v>
      </c>
      <c r="E42" s="191"/>
      <c r="F42" s="393">
        <v>12928</v>
      </c>
      <c r="G42" s="394">
        <f t="shared" si="0"/>
        <v>96542</v>
      </c>
      <c r="H42" s="245"/>
      <c r="I42" s="245"/>
      <c r="J42" s="245"/>
      <c r="K42" s="245"/>
      <c r="L42" s="245"/>
      <c r="M42" s="245"/>
    </row>
    <row r="43" spans="1:13" x14ac:dyDescent="0.25">
      <c r="A43" s="262" t="s">
        <v>493</v>
      </c>
      <c r="B43" s="183" t="s">
        <v>98</v>
      </c>
      <c r="C43" s="262">
        <v>2445</v>
      </c>
      <c r="D43" s="191">
        <v>60370</v>
      </c>
      <c r="E43" s="191"/>
      <c r="F43" s="393">
        <v>2377</v>
      </c>
      <c r="G43" s="394">
        <f t="shared" si="0"/>
        <v>62747</v>
      </c>
      <c r="H43" s="245"/>
      <c r="I43" s="245"/>
      <c r="J43" s="245"/>
      <c r="K43" s="245"/>
      <c r="L43" s="245"/>
      <c r="M43" s="245"/>
    </row>
    <row r="44" spans="1:13" x14ac:dyDescent="0.25">
      <c r="A44" s="262" t="s">
        <v>494</v>
      </c>
      <c r="B44" s="183" t="s">
        <v>99</v>
      </c>
      <c r="C44" s="262">
        <v>2446</v>
      </c>
      <c r="D44" s="191">
        <v>31871.14</v>
      </c>
      <c r="E44" s="191"/>
      <c r="F44" s="393">
        <v>2377</v>
      </c>
      <c r="G44" s="394">
        <f t="shared" si="0"/>
        <v>34248.14</v>
      </c>
      <c r="H44" s="245"/>
      <c r="I44" s="245"/>
      <c r="J44" s="245"/>
      <c r="K44" s="245"/>
      <c r="L44" s="245"/>
      <c r="M44" s="245"/>
    </row>
    <row r="45" spans="1:13" x14ac:dyDescent="0.25">
      <c r="A45" s="262" t="s">
        <v>495</v>
      </c>
      <c r="B45" s="183" t="s">
        <v>100</v>
      </c>
      <c r="C45" s="262">
        <v>2447</v>
      </c>
      <c r="D45" s="191">
        <v>35771</v>
      </c>
      <c r="E45" s="191"/>
      <c r="F45" s="393">
        <v>2488</v>
      </c>
      <c r="G45" s="394">
        <f t="shared" si="0"/>
        <v>38259</v>
      </c>
      <c r="H45" s="245"/>
      <c r="I45" s="245"/>
      <c r="J45" s="245"/>
      <c r="K45" s="245"/>
      <c r="L45" s="245"/>
      <c r="M45" s="245"/>
    </row>
    <row r="46" spans="1:13" x14ac:dyDescent="0.25">
      <c r="A46" s="262"/>
      <c r="B46" s="183" t="s">
        <v>340</v>
      </c>
      <c r="C46" s="262">
        <v>2400</v>
      </c>
      <c r="D46" s="191">
        <v>9518</v>
      </c>
      <c r="E46" s="191"/>
      <c r="F46" s="393">
        <v>3195</v>
      </c>
      <c r="G46" s="394">
        <f t="shared" si="0"/>
        <v>12713</v>
      </c>
      <c r="H46" s="245"/>
      <c r="I46" s="245"/>
      <c r="J46" s="245"/>
      <c r="K46" s="245"/>
      <c r="L46" s="245"/>
      <c r="M46" s="245"/>
    </row>
    <row r="47" spans="1:13" x14ac:dyDescent="0.25">
      <c r="A47" s="262">
        <v>31</v>
      </c>
      <c r="B47" s="183" t="s">
        <v>708</v>
      </c>
      <c r="C47" s="262">
        <v>2111</v>
      </c>
      <c r="D47" s="191">
        <v>519421</v>
      </c>
      <c r="E47" s="191"/>
      <c r="F47" s="393">
        <v>63398</v>
      </c>
      <c r="G47" s="394">
        <f t="shared" si="0"/>
        <v>582819</v>
      </c>
      <c r="H47" s="245"/>
      <c r="I47" s="245"/>
      <c r="J47" s="245"/>
      <c r="K47" s="245"/>
      <c r="L47" s="245"/>
      <c r="M47" s="245"/>
    </row>
    <row r="48" spans="1:13" x14ac:dyDescent="0.25">
      <c r="A48" s="262"/>
      <c r="B48" s="183" t="s">
        <v>705</v>
      </c>
      <c r="C48" s="262">
        <v>1500</v>
      </c>
      <c r="D48" s="191">
        <v>5775.64</v>
      </c>
      <c r="E48" s="191"/>
      <c r="F48" s="393">
        <v>0</v>
      </c>
      <c r="G48" s="394">
        <f t="shared" si="0"/>
        <v>5775.64</v>
      </c>
      <c r="H48" s="245"/>
      <c r="I48" s="245"/>
      <c r="J48" s="245"/>
      <c r="K48" s="245"/>
      <c r="L48" s="245"/>
      <c r="M48" s="245"/>
    </row>
    <row r="49" spans="1:56" x14ac:dyDescent="0.25">
      <c r="A49" s="262"/>
      <c r="B49" s="183" t="s">
        <v>710</v>
      </c>
      <c r="C49" s="262">
        <v>2440</v>
      </c>
      <c r="D49" s="191">
        <v>1714</v>
      </c>
      <c r="E49" s="191"/>
      <c r="F49" s="393">
        <v>0</v>
      </c>
      <c r="G49" s="394">
        <f t="shared" si="0"/>
        <v>1714</v>
      </c>
      <c r="H49" s="245"/>
      <c r="I49" s="245"/>
      <c r="J49" s="245"/>
      <c r="K49" s="245"/>
      <c r="L49" s="245"/>
      <c r="M49" s="245"/>
    </row>
    <row r="50" spans="1:56" x14ac:dyDescent="0.25">
      <c r="A50" s="262" t="s">
        <v>425</v>
      </c>
      <c r="B50" s="183" t="s">
        <v>712</v>
      </c>
      <c r="C50" s="262"/>
      <c r="D50" s="191"/>
      <c r="E50" s="191"/>
      <c r="F50" s="393"/>
      <c r="G50" s="394">
        <f t="shared" si="0"/>
        <v>0</v>
      </c>
      <c r="H50" s="245"/>
      <c r="I50" s="245"/>
      <c r="J50" s="245"/>
      <c r="K50" s="245"/>
      <c r="L50" s="245"/>
      <c r="M50" s="245"/>
    </row>
    <row r="51" spans="1:56" x14ac:dyDescent="0.25">
      <c r="A51" s="262">
        <v>38</v>
      </c>
      <c r="B51" s="183" t="s">
        <v>339</v>
      </c>
      <c r="C51" s="262"/>
      <c r="D51" s="191"/>
      <c r="E51" s="191"/>
      <c r="F51" s="393"/>
      <c r="G51" s="394">
        <f t="shared" ref="G51" si="1">SUM(D51:F51)</f>
        <v>0</v>
      </c>
      <c r="H51" s="245"/>
      <c r="I51" s="245"/>
      <c r="J51" s="245"/>
      <c r="K51" s="245"/>
      <c r="L51" s="245"/>
      <c r="M51" s="245"/>
    </row>
    <row r="52" spans="1:56" ht="16.5" thickBot="1" x14ac:dyDescent="0.3">
      <c r="A52" s="262" t="s">
        <v>88</v>
      </c>
      <c r="B52" s="183" t="s">
        <v>89</v>
      </c>
      <c r="C52" s="262"/>
      <c r="D52" s="191"/>
      <c r="E52" s="191"/>
      <c r="F52" s="393"/>
      <c r="G52" s="394">
        <f t="shared" ref="G52" si="2">SUM(D52:F52)</f>
        <v>0</v>
      </c>
      <c r="H52" s="245"/>
      <c r="I52" s="245"/>
      <c r="J52" s="245"/>
      <c r="K52" s="245"/>
      <c r="L52" s="245"/>
      <c r="M52" s="245"/>
    </row>
    <row r="53" spans="1:56" s="239" customFormat="1" ht="21.75" customHeight="1" thickTop="1" thickBot="1" x14ac:dyDescent="0.3">
      <c r="A53" s="396" t="s">
        <v>48</v>
      </c>
      <c r="B53" s="396" t="s">
        <v>0</v>
      </c>
      <c r="C53" s="396"/>
      <c r="D53" s="1001">
        <f>SUM(D3:D52)</f>
        <v>12410977.150000002</v>
      </c>
      <c r="E53" s="397">
        <f>SUM(E3:E52)</f>
        <v>0</v>
      </c>
      <c r="F53" s="1002">
        <f>SUM(F3:F52)</f>
        <v>1612413</v>
      </c>
      <c r="G53" s="398">
        <f>SUM(G3:G52)</f>
        <v>14023390.150000002</v>
      </c>
      <c r="H53" s="399"/>
      <c r="I53" s="399"/>
      <c r="J53" s="399"/>
      <c r="K53" s="399"/>
      <c r="L53" s="399"/>
      <c r="M53" s="399"/>
      <c r="N53" s="344"/>
      <c r="O53" s="344"/>
      <c r="P53" s="344"/>
      <c r="Q53" s="344"/>
      <c r="R53" s="344"/>
      <c r="S53" s="344"/>
      <c r="T53" s="344"/>
      <c r="U53" s="344"/>
      <c r="V53" s="344"/>
      <c r="W53" s="344"/>
      <c r="X53" s="344"/>
      <c r="Y53" s="344"/>
      <c r="Z53" s="344"/>
      <c r="AA53" s="344"/>
      <c r="AB53" s="344"/>
      <c r="AC53" s="344"/>
      <c r="AD53" s="344"/>
      <c r="AE53" s="344"/>
      <c r="AF53" s="344"/>
      <c r="AG53" s="344"/>
      <c r="AH53" s="344"/>
      <c r="AI53" s="344"/>
      <c r="AJ53" s="344"/>
      <c r="AK53" s="344"/>
      <c r="AL53" s="344"/>
      <c r="AM53" s="344"/>
      <c r="AN53" s="344"/>
      <c r="AO53" s="344"/>
      <c r="AP53" s="344"/>
      <c r="AQ53" s="344"/>
      <c r="AR53" s="344"/>
      <c r="AS53" s="344"/>
      <c r="AT53" s="344"/>
      <c r="AU53" s="344"/>
      <c r="AV53" s="344"/>
      <c r="AW53" s="344"/>
      <c r="AX53" s="344"/>
      <c r="AY53" s="344"/>
      <c r="AZ53" s="344"/>
      <c r="BA53" s="344"/>
      <c r="BB53" s="344"/>
      <c r="BC53" s="344"/>
      <c r="BD53" s="344"/>
    </row>
    <row r="54" spans="1:56" ht="16.5" thickTop="1" x14ac:dyDescent="0.25">
      <c r="A54" s="232"/>
      <c r="D54" s="400"/>
      <c r="E54" s="401"/>
      <c r="F54" s="400"/>
      <c r="G54" s="245"/>
      <c r="H54" s="245"/>
      <c r="I54" s="245"/>
      <c r="J54" s="245"/>
      <c r="K54" s="245"/>
      <c r="L54" s="245"/>
      <c r="M54" s="245"/>
    </row>
    <row r="55" spans="1:56" s="180" customFormat="1" ht="12.75" x14ac:dyDescent="0.2">
      <c r="A55" s="264"/>
      <c r="C55" s="822"/>
      <c r="D55" s="269">
        <v>12410977.15</v>
      </c>
      <c r="E55" s="392"/>
      <c r="F55" s="391">
        <v>1612413</v>
      </c>
      <c r="G55" s="227"/>
      <c r="H55" s="227"/>
      <c r="I55" s="227"/>
      <c r="J55" s="227"/>
      <c r="K55" s="227"/>
      <c r="L55" s="227"/>
      <c r="M55" s="227"/>
    </row>
    <row r="56" spans="1:56" x14ac:dyDescent="0.25">
      <c r="A56" s="232"/>
      <c r="E56" s="401"/>
      <c r="F56" s="400">
        <f>F53-F55</f>
        <v>0</v>
      </c>
      <c r="G56" s="245"/>
      <c r="H56" s="245"/>
      <c r="I56" s="245"/>
      <c r="J56" s="245"/>
      <c r="K56" s="245"/>
      <c r="L56" s="245"/>
      <c r="M56" s="245"/>
    </row>
    <row r="57" spans="1:56" x14ac:dyDescent="0.25">
      <c r="A57" s="240" t="s">
        <v>863</v>
      </c>
      <c r="E57" s="720"/>
      <c r="F57" s="400"/>
      <c r="G57" s="245"/>
      <c r="H57" s="245"/>
      <c r="I57" s="245"/>
      <c r="J57" s="245"/>
      <c r="K57" s="245"/>
      <c r="L57" s="245"/>
      <c r="M57" s="245"/>
    </row>
    <row r="58" spans="1:56" x14ac:dyDescent="0.25">
      <c r="D58" s="400"/>
      <c r="E58" s="721"/>
      <c r="F58" s="400"/>
    </row>
    <row r="59" spans="1:56" x14ac:dyDescent="0.25">
      <c r="F59" s="400"/>
    </row>
    <row r="60" spans="1:56" x14ac:dyDescent="0.25">
      <c r="E60" s="245"/>
      <c r="F60" s="400"/>
    </row>
  </sheetData>
  <autoFilter ref="A2:G55" xr:uid="{00000000-0009-0000-0000-00000A000000}"/>
  <mergeCells count="1">
    <mergeCell ref="A1:G1"/>
  </mergeCells>
  <phoneticPr fontId="19" type="noConversion"/>
  <printOptions horizontalCentered="1"/>
  <pageMargins left="0" right="0" top="1.25" bottom="1" header="0.33" footer="0.5"/>
  <pageSetup scale="90" fitToHeight="0" orientation="portrait" r:id="rId1"/>
  <headerFooter alignWithMargins="0">
    <oddHeader>&amp;C&amp;"Arial,Bold"&amp;12DEPARTMENT OF CORRECTIONS
 COST OF CARE Year 2017
(Based on Fiscal Year 2016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BE40"/>
  <sheetViews>
    <sheetView showGridLines="0" workbookViewId="0">
      <pane xSplit="1" ySplit="2" topLeftCell="B21" activePane="bottomRight" state="frozen"/>
      <selection activeCell="B35" sqref="B35"/>
      <selection pane="topRight" activeCell="B35" sqref="B35"/>
      <selection pane="bottomLeft" activeCell="B35" sqref="B35"/>
      <selection pane="bottomRight" activeCell="H13" sqref="H13"/>
    </sheetView>
  </sheetViews>
  <sheetFormatPr defaultColWidth="9.140625" defaultRowHeight="12.75" x14ac:dyDescent="0.2"/>
  <cols>
    <col min="1" max="1" width="31.85546875" style="180" customWidth="1"/>
    <col min="2" max="2" width="12.7109375" style="180" customWidth="1"/>
    <col min="3" max="3" width="10.85546875" style="180" customWidth="1"/>
    <col min="4" max="4" width="17.28515625" style="318" customWidth="1"/>
    <col min="5" max="5" width="16" style="180" customWidth="1"/>
    <col min="6" max="6" width="17.5703125" style="180" bestFit="1" customWidth="1"/>
    <col min="7" max="7" width="12" style="264" bestFit="1" customWidth="1"/>
    <col min="8" max="9" width="9.140625" style="180"/>
    <col min="10" max="10" width="12" style="180" bestFit="1" customWidth="1"/>
    <col min="11" max="16384" width="9.140625" style="180"/>
  </cols>
  <sheetData>
    <row r="1" spans="1:8" ht="28.5" customHeight="1" thickBot="1" x14ac:dyDescent="0.25">
      <c r="A1" s="1087" t="s">
        <v>251</v>
      </c>
      <c r="B1" s="1087"/>
      <c r="C1" s="1087"/>
      <c r="D1" s="1087"/>
      <c r="E1" s="1087"/>
      <c r="F1" s="1087"/>
    </row>
    <row r="2" spans="1:8" ht="33" thickTop="1" thickBot="1" x14ac:dyDescent="0.25">
      <c r="A2" s="337" t="s">
        <v>73</v>
      </c>
      <c r="B2" s="337" t="s">
        <v>867</v>
      </c>
      <c r="C2" s="337" t="s">
        <v>868</v>
      </c>
      <c r="D2" s="402" t="s">
        <v>74</v>
      </c>
      <c r="E2" s="338" t="s">
        <v>75</v>
      </c>
      <c r="F2" s="337" t="s">
        <v>27</v>
      </c>
      <c r="G2" s="1005" t="s">
        <v>870</v>
      </c>
    </row>
    <row r="3" spans="1:8" ht="15.75" customHeight="1" thickTop="1" x14ac:dyDescent="0.25">
      <c r="A3" s="183" t="s">
        <v>64</v>
      </c>
      <c r="B3" s="262"/>
      <c r="C3" s="262"/>
      <c r="D3" s="197">
        <v>0</v>
      </c>
      <c r="E3" s="192"/>
      <c r="F3" s="192">
        <f>SUM(D3:E3)</f>
        <v>0</v>
      </c>
    </row>
    <row r="4" spans="1:8" ht="15.75" customHeight="1" x14ac:dyDescent="0.25">
      <c r="A4" s="183" t="s">
        <v>70</v>
      </c>
      <c r="B4" s="262"/>
      <c r="C4" s="262"/>
      <c r="D4" s="197">
        <v>0</v>
      </c>
      <c r="E4" s="192"/>
      <c r="F4" s="192">
        <f t="shared" ref="F4:F30" si="0">SUM(D4:E4)</f>
        <v>0</v>
      </c>
    </row>
    <row r="5" spans="1:8" ht="15.75" customHeight="1" x14ac:dyDescent="0.25">
      <c r="A5" s="183" t="s">
        <v>71</v>
      </c>
      <c r="B5" s="262"/>
      <c r="C5" s="262"/>
      <c r="D5" s="197">
        <v>0</v>
      </c>
      <c r="E5" s="192"/>
      <c r="F5" s="192">
        <f t="shared" si="0"/>
        <v>0</v>
      </c>
    </row>
    <row r="6" spans="1:8" ht="15.75" x14ac:dyDescent="0.25">
      <c r="A6" s="183" t="s">
        <v>519</v>
      </c>
      <c r="B6" s="262"/>
      <c r="C6" s="262"/>
      <c r="D6" s="197">
        <v>0</v>
      </c>
      <c r="E6" s="192"/>
      <c r="F6" s="192">
        <f t="shared" si="0"/>
        <v>0</v>
      </c>
    </row>
    <row r="7" spans="1:8" ht="15.75" x14ac:dyDescent="0.25">
      <c r="A7" s="183" t="s">
        <v>76</v>
      </c>
      <c r="B7" s="262"/>
      <c r="C7" s="262"/>
      <c r="D7" s="197">
        <v>0</v>
      </c>
      <c r="E7" s="192"/>
      <c r="F7" s="192">
        <f t="shared" si="0"/>
        <v>0</v>
      </c>
    </row>
    <row r="8" spans="1:8" ht="15.75" x14ac:dyDescent="0.25">
      <c r="A8" s="183" t="s">
        <v>77</v>
      </c>
      <c r="B8" s="262"/>
      <c r="C8" s="262"/>
      <c r="D8" s="197">
        <v>0</v>
      </c>
      <c r="E8" s="192"/>
      <c r="F8" s="192">
        <f t="shared" si="0"/>
        <v>0</v>
      </c>
    </row>
    <row r="9" spans="1:8" ht="15.75" x14ac:dyDescent="0.25">
      <c r="A9" s="183" t="s">
        <v>865</v>
      </c>
      <c r="B9" s="262" t="s">
        <v>866</v>
      </c>
      <c r="C9" s="262" t="s">
        <v>871</v>
      </c>
      <c r="D9" s="197">
        <f>-'Sched-D2'!E40</f>
        <v>49325</v>
      </c>
      <c r="E9" s="192"/>
      <c r="F9" s="319">
        <f>SUM(D9:E9)</f>
        <v>49325</v>
      </c>
      <c r="G9" s="264">
        <v>5002</v>
      </c>
    </row>
    <row r="10" spans="1:8" ht="15.75" x14ac:dyDescent="0.25">
      <c r="A10" s="183" t="s">
        <v>865</v>
      </c>
      <c r="B10" s="262" t="s">
        <v>866</v>
      </c>
      <c r="C10" s="262" t="s">
        <v>871</v>
      </c>
      <c r="D10" s="197">
        <f>-'Sched-D2'!E42</f>
        <v>70800</v>
      </c>
      <c r="E10" s="192"/>
      <c r="F10" s="319">
        <f>SUM(D10:E10)</f>
        <v>70800</v>
      </c>
      <c r="G10" s="264">
        <v>5007</v>
      </c>
    </row>
    <row r="11" spans="1:8" ht="15.75" x14ac:dyDescent="0.25">
      <c r="A11" s="183" t="s">
        <v>865</v>
      </c>
      <c r="B11" s="262" t="s">
        <v>866</v>
      </c>
      <c r="C11" s="262" t="s">
        <v>869</v>
      </c>
      <c r="D11" s="197">
        <f>-'Sched-D2'!E41</f>
        <v>52400</v>
      </c>
      <c r="E11" s="192"/>
      <c r="F11" s="319">
        <f>SUM(D11:E11)</f>
        <v>52400</v>
      </c>
      <c r="G11" s="264">
        <v>5007</v>
      </c>
    </row>
    <row r="12" spans="1:8" ht="15.75" x14ac:dyDescent="0.25">
      <c r="A12" s="183" t="s">
        <v>872</v>
      </c>
      <c r="B12" s="262" t="s">
        <v>873</v>
      </c>
      <c r="C12" s="262" t="s">
        <v>874</v>
      </c>
      <c r="D12" s="197">
        <f>-'Sched-D2'!E57-'Sched-D2'!E58-'Sched-D2'!E59</f>
        <v>83769.61</v>
      </c>
      <c r="E12" s="192"/>
      <c r="F12" s="319">
        <f t="shared" si="0"/>
        <v>83769.61</v>
      </c>
      <c r="G12" s="264">
        <v>5007</v>
      </c>
      <c r="H12" s="180" t="s">
        <v>882</v>
      </c>
    </row>
    <row r="13" spans="1:8" ht="15.75" x14ac:dyDescent="0.25">
      <c r="A13" s="183" t="s">
        <v>71</v>
      </c>
      <c r="B13" s="262"/>
      <c r="C13" s="262"/>
      <c r="D13" s="197">
        <v>0</v>
      </c>
      <c r="E13" s="192"/>
      <c r="F13" s="192">
        <f t="shared" si="0"/>
        <v>0</v>
      </c>
      <c r="G13" s="1006"/>
    </row>
    <row r="14" spans="1:8" ht="15.75" x14ac:dyDescent="0.25">
      <c r="A14" s="183" t="s">
        <v>78</v>
      </c>
      <c r="B14" s="262"/>
      <c r="C14" s="262"/>
      <c r="D14" s="197">
        <v>0</v>
      </c>
      <c r="E14" s="192"/>
      <c r="F14" s="192">
        <f t="shared" si="0"/>
        <v>0</v>
      </c>
    </row>
    <row r="15" spans="1:8" ht="15.75" x14ac:dyDescent="0.25">
      <c r="A15" s="183" t="s">
        <v>55</v>
      </c>
      <c r="B15" s="262" t="s">
        <v>875</v>
      </c>
      <c r="C15" s="262" t="s">
        <v>876</v>
      </c>
      <c r="D15" s="197">
        <f>-'Sched-D2'!E92</f>
        <v>140000</v>
      </c>
      <c r="E15" s="192"/>
      <c r="F15" s="319">
        <f t="shared" si="0"/>
        <v>140000</v>
      </c>
    </row>
    <row r="16" spans="1:8" ht="15.75" x14ac:dyDescent="0.25">
      <c r="A16" s="183" t="s">
        <v>63</v>
      </c>
      <c r="B16" s="262"/>
      <c r="C16" s="262"/>
      <c r="D16" s="197">
        <v>0</v>
      </c>
      <c r="E16" s="192"/>
      <c r="F16" s="192">
        <f t="shared" si="0"/>
        <v>0</v>
      </c>
    </row>
    <row r="17" spans="1:57" ht="15.75" x14ac:dyDescent="0.25">
      <c r="A17" s="183" t="s">
        <v>317</v>
      </c>
      <c r="B17" s="262"/>
      <c r="C17" s="262"/>
      <c r="D17" s="197"/>
      <c r="E17" s="192"/>
      <c r="F17" s="192"/>
    </row>
    <row r="18" spans="1:57" ht="15.75" x14ac:dyDescent="0.25">
      <c r="A18" s="183" t="s">
        <v>79</v>
      </c>
      <c r="B18" s="262" t="s">
        <v>875</v>
      </c>
      <c r="C18" s="262" t="s">
        <v>877</v>
      </c>
      <c r="D18" s="197">
        <f>-'Sched-D1'!D47</f>
        <v>24327.27</v>
      </c>
      <c r="E18" s="192"/>
      <c r="F18" s="319">
        <f t="shared" si="0"/>
        <v>24327.27</v>
      </c>
      <c r="G18" s="264">
        <v>5007</v>
      </c>
    </row>
    <row r="19" spans="1:57" ht="15.75" x14ac:dyDescent="0.25">
      <c r="A19" s="183" t="s">
        <v>80</v>
      </c>
      <c r="B19" s="262"/>
      <c r="C19" s="262"/>
      <c r="D19" s="197">
        <v>0</v>
      </c>
      <c r="E19" s="192"/>
      <c r="F19" s="192">
        <f t="shared" si="0"/>
        <v>0</v>
      </c>
    </row>
    <row r="20" spans="1:57" ht="15.75" x14ac:dyDescent="0.25">
      <c r="A20" s="183" t="s">
        <v>25</v>
      </c>
      <c r="B20" s="262"/>
      <c r="C20" s="262"/>
      <c r="D20" s="197">
        <v>0</v>
      </c>
      <c r="E20" s="192"/>
      <c r="F20" s="192">
        <f t="shared" si="0"/>
        <v>0</v>
      </c>
    </row>
    <row r="21" spans="1:57" ht="15.75" x14ac:dyDescent="0.25">
      <c r="A21" s="183" t="s">
        <v>478</v>
      </c>
      <c r="B21" s="262" t="s">
        <v>875</v>
      </c>
      <c r="C21" s="262" t="s">
        <v>878</v>
      </c>
      <c r="D21" s="197">
        <f>-'Sched-D2'!E104</f>
        <v>0</v>
      </c>
      <c r="E21" s="192"/>
      <c r="F21" s="403">
        <f t="shared" si="0"/>
        <v>0</v>
      </c>
    </row>
    <row r="22" spans="1:57" ht="15.75" x14ac:dyDescent="0.25">
      <c r="A22" s="183" t="s">
        <v>16</v>
      </c>
      <c r="B22" s="262"/>
      <c r="C22" s="262"/>
      <c r="D22" s="197">
        <v>0</v>
      </c>
      <c r="E22" s="192"/>
      <c r="F22" s="192">
        <f t="shared" si="0"/>
        <v>0</v>
      </c>
    </row>
    <row r="23" spans="1:57" ht="15.75" x14ac:dyDescent="0.25">
      <c r="A23" s="183" t="s">
        <v>17</v>
      </c>
      <c r="B23" s="262" t="s">
        <v>875</v>
      </c>
      <c r="C23" s="262" t="s">
        <v>879</v>
      </c>
      <c r="D23" s="197">
        <f>-'Sched-D1'!D298</f>
        <v>302902.03000000003</v>
      </c>
      <c r="E23" s="192"/>
      <c r="F23" s="319">
        <f t="shared" si="0"/>
        <v>302902.03000000003</v>
      </c>
    </row>
    <row r="24" spans="1:57" ht="15.75" x14ac:dyDescent="0.25">
      <c r="A24" s="183" t="s">
        <v>18</v>
      </c>
      <c r="B24" s="262"/>
      <c r="C24" s="262"/>
      <c r="D24" s="197">
        <v>0</v>
      </c>
      <c r="E24" s="192"/>
      <c r="F24" s="192">
        <f t="shared" si="0"/>
        <v>0</v>
      </c>
    </row>
    <row r="25" spans="1:57" ht="15.75" x14ac:dyDescent="0.25">
      <c r="A25" s="183" t="s">
        <v>19</v>
      </c>
      <c r="B25" s="262"/>
      <c r="C25" s="262"/>
      <c r="D25" s="197">
        <v>0</v>
      </c>
      <c r="E25" s="192"/>
      <c r="F25" s="192">
        <f t="shared" si="0"/>
        <v>0</v>
      </c>
    </row>
    <row r="26" spans="1:57" ht="15.75" x14ac:dyDescent="0.25">
      <c r="A26" s="183" t="s">
        <v>20</v>
      </c>
      <c r="B26" s="262"/>
      <c r="C26" s="262"/>
      <c r="D26" s="197">
        <v>0</v>
      </c>
      <c r="E26" s="192"/>
      <c r="F26" s="192">
        <f t="shared" si="0"/>
        <v>0</v>
      </c>
    </row>
    <row r="27" spans="1:57" ht="15.75" x14ac:dyDescent="0.25">
      <c r="A27" s="183" t="s">
        <v>26</v>
      </c>
      <c r="B27" s="262"/>
      <c r="C27" s="262"/>
      <c r="D27" s="197">
        <v>0</v>
      </c>
      <c r="E27" s="192"/>
      <c r="F27" s="192">
        <f t="shared" si="0"/>
        <v>0</v>
      </c>
    </row>
    <row r="28" spans="1:57" ht="15.75" x14ac:dyDescent="0.25">
      <c r="A28" s="183" t="s">
        <v>81</v>
      </c>
      <c r="B28" s="262" t="s">
        <v>875</v>
      </c>
      <c r="C28" s="262" t="s">
        <v>880</v>
      </c>
      <c r="D28" s="197">
        <f>-'Sched-D1'!D556</f>
        <v>45274.68</v>
      </c>
      <c r="E28" s="192"/>
      <c r="F28" s="319">
        <f t="shared" si="0"/>
        <v>45274.68</v>
      </c>
      <c r="G28" s="264">
        <v>5007</v>
      </c>
      <c r="J28" s="227"/>
    </row>
    <row r="29" spans="1:57" ht="15.75" x14ac:dyDescent="0.25">
      <c r="A29" s="183" t="s">
        <v>82</v>
      </c>
      <c r="B29" s="262"/>
      <c r="C29" s="262"/>
      <c r="D29" s="197">
        <v>0</v>
      </c>
      <c r="E29" s="192"/>
      <c r="F29" s="192">
        <f t="shared" si="0"/>
        <v>0</v>
      </c>
    </row>
    <row r="30" spans="1:57" ht="16.5" thickBot="1" x14ac:dyDescent="0.3">
      <c r="A30" s="183" t="s">
        <v>83</v>
      </c>
      <c r="B30" s="262"/>
      <c r="C30" s="262"/>
      <c r="D30" s="197">
        <v>0</v>
      </c>
      <c r="E30" s="192"/>
      <c r="F30" s="192">
        <f t="shared" si="0"/>
        <v>0</v>
      </c>
    </row>
    <row r="31" spans="1:57" s="230" customFormat="1" ht="21.75" customHeight="1" thickTop="1" thickBot="1" x14ac:dyDescent="0.3">
      <c r="A31" s="396" t="s">
        <v>61</v>
      </c>
      <c r="B31" s="396"/>
      <c r="C31" s="396"/>
      <c r="D31" s="404">
        <f>SUM(D3:D30)</f>
        <v>768798.59000000008</v>
      </c>
      <c r="E31" s="405">
        <f>SUM(E3:E30)</f>
        <v>0</v>
      </c>
      <c r="F31" s="1008">
        <f>SUM(F3:F30)</f>
        <v>768798.59000000008</v>
      </c>
      <c r="G31" s="1007"/>
      <c r="H31" s="390"/>
      <c r="I31" s="390"/>
      <c r="J31" s="390"/>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0"/>
      <c r="AM31" s="390"/>
      <c r="AN31" s="390"/>
      <c r="AO31" s="390"/>
      <c r="AP31" s="390"/>
      <c r="AQ31" s="390"/>
      <c r="AR31" s="390"/>
      <c r="AS31" s="390"/>
      <c r="AT31" s="390"/>
      <c r="AU31" s="390"/>
      <c r="AV31" s="390"/>
      <c r="AW31" s="390"/>
      <c r="AX31" s="390"/>
      <c r="AY31" s="390"/>
      <c r="AZ31" s="390"/>
      <c r="BA31" s="390"/>
      <c r="BB31" s="390"/>
      <c r="BC31" s="390"/>
      <c r="BD31" s="390"/>
      <c r="BE31" s="390"/>
    </row>
    <row r="32" spans="1:57" ht="13.5" thickTop="1" x14ac:dyDescent="0.2"/>
    <row r="33" spans="1:7" x14ac:dyDescent="0.2">
      <c r="A33" s="343" t="s">
        <v>881</v>
      </c>
    </row>
    <row r="34" spans="1:7" x14ac:dyDescent="0.2">
      <c r="F34" s="180">
        <v>2859227.66</v>
      </c>
      <c r="G34" s="264" t="s">
        <v>666</v>
      </c>
    </row>
    <row r="35" spans="1:7" x14ac:dyDescent="0.2">
      <c r="F35" s="180">
        <v>-400566</v>
      </c>
      <c r="G35" s="264" t="s">
        <v>667</v>
      </c>
    </row>
    <row r="36" spans="1:7" x14ac:dyDescent="0.2">
      <c r="F36" s="180">
        <v>-1394590.02</v>
      </c>
      <c r="G36" s="264" t="s">
        <v>668</v>
      </c>
    </row>
    <row r="37" spans="1:7" x14ac:dyDescent="0.2">
      <c r="F37" s="180">
        <f>SUM(F34:F36)</f>
        <v>1064071.6400000001</v>
      </c>
      <c r="G37" s="264" t="s">
        <v>5</v>
      </c>
    </row>
    <row r="38" spans="1:7" x14ac:dyDescent="0.2">
      <c r="F38" s="227">
        <f>F37-F31</f>
        <v>295273.05000000005</v>
      </c>
      <c r="G38" s="264" t="s">
        <v>669</v>
      </c>
    </row>
    <row r="39" spans="1:7" x14ac:dyDescent="0.2">
      <c r="F39" s="180">
        <v>-170000</v>
      </c>
      <c r="G39" s="264" t="s">
        <v>670</v>
      </c>
    </row>
    <row r="40" spans="1:7" x14ac:dyDescent="0.2">
      <c r="F40" s="227">
        <f>F39+F38</f>
        <v>125273.05000000005</v>
      </c>
    </row>
  </sheetData>
  <mergeCells count="1">
    <mergeCell ref="A1:F1"/>
  </mergeCells>
  <phoneticPr fontId="19" type="noConversion"/>
  <printOptions horizontalCentered="1"/>
  <pageMargins left="0.75" right="0.75" top="1.25" bottom="1" header="0.33" footer="0.5"/>
  <pageSetup scale="85" orientation="portrait" r:id="rId1"/>
  <headerFooter alignWithMargins="0">
    <oddHeader>&amp;C&amp;"Arial,Bold"&amp;12DEPARTMENT OF CORRECTIONS
 COST OF CARE Year 2017
(Based on Fiscal Year 2016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R70"/>
  <sheetViews>
    <sheetView showGridLines="0" workbookViewId="0">
      <selection activeCell="A5" sqref="A5"/>
    </sheetView>
  </sheetViews>
  <sheetFormatPr defaultColWidth="9.140625" defaultRowHeight="12.75" x14ac:dyDescent="0.2"/>
  <cols>
    <col min="1" max="2" width="3.7109375" style="180" customWidth="1"/>
    <col min="3" max="3" width="8.5703125" style="180" customWidth="1"/>
    <col min="4" max="4" width="32.7109375" style="180" customWidth="1"/>
    <col min="5" max="5" width="11.7109375" style="264" customWidth="1"/>
    <col min="6" max="6" width="16.28515625" style="180" customWidth="1"/>
    <col min="7" max="7" width="16.42578125" style="180" customWidth="1"/>
    <col min="8" max="8" width="11.42578125" style="180" customWidth="1"/>
    <col min="9" max="9" width="15.42578125" style="180" customWidth="1"/>
    <col min="10" max="10" width="16.140625" style="180" customWidth="1"/>
    <col min="11" max="11" width="16.140625" style="180" bestFit="1" customWidth="1"/>
    <col min="12" max="12" width="14" style="180" customWidth="1"/>
    <col min="13" max="13" width="16" style="180" bestFit="1" customWidth="1"/>
    <col min="14" max="14" width="15" style="180" bestFit="1" customWidth="1"/>
    <col min="15" max="15" width="18.28515625" style="180" customWidth="1"/>
    <col min="16" max="16" width="1.5703125" style="180" customWidth="1"/>
    <col min="17" max="17" width="16.5703125" style="180" customWidth="1"/>
    <col min="18" max="18" width="25.5703125" style="180" customWidth="1"/>
    <col min="19" max="16384" width="9.140625" style="180"/>
  </cols>
  <sheetData>
    <row r="1" spans="1:18" ht="21" customHeight="1" thickBot="1" x14ac:dyDescent="0.25">
      <c r="A1" s="1131" t="s">
        <v>246</v>
      </c>
      <c r="B1" s="1131"/>
      <c r="C1" s="1131"/>
      <c r="D1" s="1131"/>
      <c r="E1" s="1131"/>
      <c r="F1" s="1131"/>
      <c r="G1" s="1131"/>
      <c r="H1" s="1131"/>
      <c r="I1" s="1131"/>
      <c r="J1" s="1131"/>
      <c r="M1" s="227"/>
    </row>
    <row r="2" spans="1:18" ht="24.75" customHeight="1" thickBot="1" x14ac:dyDescent="0.25">
      <c r="A2" s="1137" t="s">
        <v>161</v>
      </c>
      <c r="B2" s="1138"/>
      <c r="C2" s="1138"/>
      <c r="D2" s="445"/>
      <c r="E2" s="446" t="s">
        <v>852</v>
      </c>
      <c r="F2" s="1136" t="s">
        <v>247</v>
      </c>
      <c r="G2" s="1136"/>
      <c r="H2" s="447" t="s">
        <v>138</v>
      </c>
      <c r="I2" s="461" t="s">
        <v>163</v>
      </c>
      <c r="J2" s="448" t="s">
        <v>139</v>
      </c>
      <c r="M2" s="439"/>
    </row>
    <row r="3" spans="1:18" x14ac:dyDescent="0.2">
      <c r="A3" s="1029" t="s">
        <v>933</v>
      </c>
      <c r="B3" s="440"/>
      <c r="C3" s="441"/>
      <c r="D3" s="442"/>
      <c r="E3" s="443"/>
      <c r="F3" s="444"/>
      <c r="G3" s="444"/>
      <c r="H3" s="449"/>
      <c r="I3" s="753" t="s">
        <v>48</v>
      </c>
      <c r="J3" s="450"/>
      <c r="M3" s="227"/>
    </row>
    <row r="4" spans="1:18" x14ac:dyDescent="0.2">
      <c r="A4" s="406"/>
      <c r="B4" s="609" t="s">
        <v>946</v>
      </c>
      <c r="C4" s="408"/>
      <c r="D4" s="409"/>
      <c r="E4" s="426" t="s">
        <v>853</v>
      </c>
      <c r="F4" s="425">
        <v>-172159.61</v>
      </c>
      <c r="G4" s="411"/>
      <c r="H4" s="413"/>
      <c r="I4" s="420">
        <f>'Sched-E'!C3</f>
        <v>11391231.469999999</v>
      </c>
      <c r="J4" s="412"/>
      <c r="K4" s="230" t="s">
        <v>908</v>
      </c>
      <c r="M4" s="227"/>
      <c r="N4" s="227"/>
      <c r="O4" s="227"/>
      <c r="Q4" s="227"/>
      <c r="R4" s="227"/>
    </row>
    <row r="5" spans="1:18" x14ac:dyDescent="0.2">
      <c r="A5" s="1029" t="s">
        <v>934</v>
      </c>
      <c r="B5" s="407"/>
      <c r="C5" s="408"/>
      <c r="D5" s="409"/>
      <c r="E5" s="411"/>
      <c r="F5" s="411"/>
      <c r="G5" s="411"/>
      <c r="H5" s="413"/>
      <c r="I5" s="1032" t="s">
        <v>159</v>
      </c>
      <c r="J5" s="412"/>
      <c r="M5" s="227"/>
      <c r="N5" s="227"/>
      <c r="O5" s="227"/>
      <c r="Q5" s="227"/>
      <c r="R5" s="227"/>
    </row>
    <row r="6" spans="1:18" x14ac:dyDescent="0.2">
      <c r="A6" s="406"/>
      <c r="B6" s="407"/>
      <c r="C6" s="408"/>
      <c r="D6" s="409"/>
      <c r="E6" s="411"/>
      <c r="F6" s="411"/>
      <c r="G6" s="411"/>
      <c r="H6" s="414">
        <f>G7/$G$35</f>
        <v>0.8295949662221096</v>
      </c>
      <c r="I6" s="415">
        <f>SUM($I$4*H6)</f>
        <v>9450108.2865828816</v>
      </c>
      <c r="J6" s="412"/>
      <c r="K6" s="416"/>
      <c r="M6" s="227"/>
      <c r="N6" s="227"/>
      <c r="O6" s="227"/>
      <c r="Q6" s="227"/>
      <c r="R6" s="227"/>
    </row>
    <row r="7" spans="1:18" x14ac:dyDescent="0.2">
      <c r="A7" s="417"/>
      <c r="B7" s="418" t="s">
        <v>106</v>
      </c>
      <c r="C7" s="342"/>
      <c r="D7" s="266"/>
      <c r="E7" s="388"/>
      <c r="F7" s="265"/>
      <c r="G7" s="419">
        <f>SUM(F4:F28)</f>
        <v>253436546.33984178</v>
      </c>
      <c r="H7" s="265"/>
      <c r="I7" s="265"/>
      <c r="J7" s="420">
        <f>SUM(I6+G7)</f>
        <v>262886654.62642467</v>
      </c>
      <c r="K7" s="416"/>
      <c r="M7" s="227"/>
      <c r="N7" s="227"/>
      <c r="O7" s="227"/>
      <c r="Q7" s="227"/>
      <c r="R7" s="227"/>
    </row>
    <row r="8" spans="1:18" x14ac:dyDescent="0.2">
      <c r="A8" s="417"/>
      <c r="B8" s="418"/>
      <c r="C8" s="609" t="s">
        <v>935</v>
      </c>
      <c r="D8" s="421"/>
      <c r="E8" s="410"/>
      <c r="F8" s="422">
        <f>'Sched-B1'!E17+'Sched-D1'!F658+302902.03+33023.1+69601.95</f>
        <v>185322699.97</v>
      </c>
      <c r="G8" s="419"/>
      <c r="H8" s="423"/>
      <c r="I8" s="424"/>
      <c r="J8" s="420"/>
      <c r="K8" s="1011" t="s">
        <v>885</v>
      </c>
      <c r="M8" s="227"/>
      <c r="N8" s="227"/>
      <c r="O8" s="227"/>
      <c r="Q8" s="227"/>
      <c r="R8" s="227"/>
    </row>
    <row r="9" spans="1:18" x14ac:dyDescent="0.2">
      <c r="A9" s="417"/>
      <c r="B9" s="418"/>
      <c r="C9" s="1132" t="s">
        <v>951</v>
      </c>
      <c r="D9" s="1133"/>
      <c r="E9" s="388" t="s">
        <v>879</v>
      </c>
      <c r="F9" s="425">
        <f>'Sched-D1'!D298</f>
        <v>-302902.03000000003</v>
      </c>
      <c r="G9" s="419"/>
      <c r="H9" s="423"/>
      <c r="I9" s="423"/>
      <c r="J9" s="420"/>
      <c r="L9" s="583"/>
      <c r="M9" s="227"/>
      <c r="N9" s="227"/>
      <c r="O9" s="227"/>
      <c r="Q9" s="227"/>
      <c r="R9" s="227"/>
    </row>
    <row r="10" spans="1:18" x14ac:dyDescent="0.2">
      <c r="A10" s="417"/>
      <c r="B10" s="418"/>
      <c r="C10" s="1132" t="s">
        <v>952</v>
      </c>
      <c r="D10" s="1133"/>
      <c r="E10" s="388" t="s">
        <v>883</v>
      </c>
      <c r="F10" s="425">
        <v>-33023.1</v>
      </c>
      <c r="G10" s="419"/>
      <c r="H10" s="423"/>
      <c r="I10" s="415"/>
      <c r="J10" s="420"/>
      <c r="K10" s="583"/>
      <c r="L10" s="583"/>
      <c r="M10" s="227"/>
      <c r="N10" s="227"/>
      <c r="O10" s="227"/>
      <c r="Q10" s="227"/>
      <c r="R10" s="227"/>
    </row>
    <row r="11" spans="1:18" x14ac:dyDescent="0.2">
      <c r="A11" s="417"/>
      <c r="B11" s="418"/>
      <c r="C11" s="1132" t="s">
        <v>927</v>
      </c>
      <c r="D11" s="1133"/>
      <c r="E11" s="388" t="s">
        <v>884</v>
      </c>
      <c r="F11" s="425">
        <f>'Sched-D1'!D47+'Sched-D1'!D556</f>
        <v>-69601.95</v>
      </c>
      <c r="G11" s="419"/>
      <c r="H11" s="423"/>
      <c r="I11" s="415"/>
      <c r="J11" s="420"/>
      <c r="K11" s="583"/>
      <c r="L11" s="583"/>
      <c r="M11" s="227"/>
      <c r="N11" s="227"/>
      <c r="O11" s="227"/>
      <c r="Q11" s="227"/>
      <c r="R11" s="227"/>
    </row>
    <row r="12" spans="1:18" x14ac:dyDescent="0.2">
      <c r="A12" s="417"/>
      <c r="B12" s="342"/>
      <c r="C12" s="609" t="s">
        <v>936</v>
      </c>
      <c r="D12" s="421"/>
      <c r="E12" s="426" t="s">
        <v>886</v>
      </c>
      <c r="F12" s="422">
        <f>'Sched-D2'!F28</f>
        <v>526736.39</v>
      </c>
      <c r="G12" s="419"/>
      <c r="H12" s="423"/>
      <c r="I12" s="424"/>
      <c r="J12" s="420"/>
      <c r="K12" s="583"/>
      <c r="L12" s="583"/>
      <c r="M12" s="227"/>
      <c r="N12" s="227"/>
      <c r="O12" s="227"/>
      <c r="Q12" s="227"/>
      <c r="R12" s="227"/>
    </row>
    <row r="13" spans="1:18" x14ac:dyDescent="0.2">
      <c r="A13" s="417"/>
      <c r="B13" s="609" t="s">
        <v>938</v>
      </c>
      <c r="D13" s="421"/>
      <c r="E13" s="1009" t="s">
        <v>866</v>
      </c>
      <c r="F13" s="422">
        <f>'Sched-D2'!F44+49325+52400+70800</f>
        <v>52710253.049999997</v>
      </c>
      <c r="G13" s="419"/>
      <c r="H13" s="423"/>
      <c r="I13" s="424"/>
      <c r="J13" s="420"/>
      <c r="L13" s="583"/>
      <c r="M13" s="227"/>
      <c r="N13" s="227"/>
      <c r="O13" s="227"/>
      <c r="Q13" s="227"/>
      <c r="R13" s="227"/>
    </row>
    <row r="14" spans="1:18" x14ac:dyDescent="0.2">
      <c r="A14" s="417"/>
      <c r="B14" s="418"/>
      <c r="C14" s="1132" t="s">
        <v>824</v>
      </c>
      <c r="D14" s="1133"/>
      <c r="E14" s="388" t="s">
        <v>871</v>
      </c>
      <c r="F14" s="425">
        <f>'Sched-D2'!E40</f>
        <v>-49325</v>
      </c>
      <c r="G14" s="419"/>
      <c r="H14" s="423"/>
      <c r="I14" s="424"/>
      <c r="J14" s="420"/>
      <c r="L14" s="583"/>
      <c r="M14" s="227"/>
      <c r="N14" s="227"/>
      <c r="O14" s="227"/>
      <c r="Q14" s="227"/>
      <c r="R14" s="227"/>
    </row>
    <row r="15" spans="1:18" x14ac:dyDescent="0.2">
      <c r="A15" s="417"/>
      <c r="B15" s="418"/>
      <c r="C15" s="1132" t="s">
        <v>828</v>
      </c>
      <c r="D15" s="1133"/>
      <c r="E15" s="388" t="s">
        <v>869</v>
      </c>
      <c r="F15" s="425">
        <f>'Sched-D2'!E41</f>
        <v>-52400</v>
      </c>
      <c r="G15" s="419"/>
      <c r="H15" s="423"/>
      <c r="I15" s="424"/>
      <c r="J15" s="420"/>
      <c r="L15" s="583"/>
      <c r="M15" s="227"/>
      <c r="N15" s="227"/>
      <c r="O15" s="227"/>
      <c r="Q15" s="227"/>
      <c r="R15" s="227"/>
    </row>
    <row r="16" spans="1:18" x14ac:dyDescent="0.2">
      <c r="A16" s="417"/>
      <c r="B16" s="418"/>
      <c r="C16" s="1132" t="s">
        <v>953</v>
      </c>
      <c r="D16" s="1133"/>
      <c r="E16" s="388" t="s">
        <v>871</v>
      </c>
      <c r="F16" s="425">
        <f>'Sched-D2'!E42</f>
        <v>-70800</v>
      </c>
      <c r="G16" s="419"/>
      <c r="H16" s="423"/>
      <c r="I16" s="424"/>
      <c r="J16" s="420"/>
      <c r="L16" s="583"/>
      <c r="M16" s="227"/>
      <c r="N16" s="227"/>
      <c r="O16" s="227"/>
      <c r="Q16" s="227"/>
      <c r="R16" s="227"/>
    </row>
    <row r="17" spans="1:18" x14ac:dyDescent="0.2">
      <c r="A17" s="417"/>
      <c r="B17" s="609" t="s">
        <v>937</v>
      </c>
      <c r="D17" s="421"/>
      <c r="E17" s="1009" t="s">
        <v>907</v>
      </c>
      <c r="F17" s="422">
        <f>'Sched-D2'!F60+40000+27004.92+16764.69</f>
        <v>1422397.8299999998</v>
      </c>
      <c r="G17" s="419"/>
      <c r="H17" s="423"/>
      <c r="I17" s="424"/>
      <c r="J17" s="420"/>
      <c r="K17" s="230" t="s">
        <v>922</v>
      </c>
      <c r="L17" s="583"/>
      <c r="M17" s="227"/>
      <c r="N17" s="227"/>
      <c r="O17" s="227"/>
      <c r="Q17" s="227"/>
      <c r="R17" s="227"/>
    </row>
    <row r="18" spans="1:18" x14ac:dyDescent="0.2">
      <c r="A18" s="417"/>
      <c r="B18" s="418"/>
      <c r="C18" s="1132" t="s">
        <v>954</v>
      </c>
      <c r="D18" s="1133"/>
      <c r="E18" s="388" t="s">
        <v>874</v>
      </c>
      <c r="F18" s="425">
        <f>'Sched-D2'!E57+'Sched-D2'!E58+'Sched-D2'!E59</f>
        <v>-83769.61</v>
      </c>
      <c r="G18" s="419"/>
      <c r="H18" s="423"/>
      <c r="I18" s="424"/>
      <c r="J18" s="420"/>
      <c r="L18" s="583"/>
      <c r="M18" s="227"/>
      <c r="N18" s="227"/>
      <c r="O18" s="227"/>
      <c r="Q18" s="227"/>
      <c r="R18" s="227"/>
    </row>
    <row r="19" spans="1:18" x14ac:dyDescent="0.2">
      <c r="A19" s="417"/>
      <c r="B19" s="418"/>
      <c r="C19" s="1132" t="s">
        <v>955</v>
      </c>
      <c r="D19" s="1133"/>
      <c r="E19" s="388" t="s">
        <v>929</v>
      </c>
      <c r="F19" s="425">
        <f>-175972.16-57122</f>
        <v>-233094.16</v>
      </c>
      <c r="G19" s="419"/>
      <c r="H19" s="423"/>
      <c r="I19" s="424"/>
      <c r="J19" s="420"/>
      <c r="K19" s="230" t="s">
        <v>930</v>
      </c>
      <c r="L19" s="583"/>
      <c r="M19" s="227"/>
      <c r="N19" s="227"/>
      <c r="O19" s="227"/>
      <c r="Q19" s="227"/>
      <c r="R19" s="227"/>
    </row>
    <row r="20" spans="1:18" x14ac:dyDescent="0.2">
      <c r="A20" s="417"/>
      <c r="B20" s="407" t="s">
        <v>53</v>
      </c>
      <c r="D20" s="421"/>
      <c r="E20" s="388" t="s">
        <v>888</v>
      </c>
      <c r="F20" s="422">
        <f>'Sched-D2'!F70</f>
        <v>1730231.2500000002</v>
      </c>
      <c r="G20" s="419"/>
      <c r="H20" s="423"/>
      <c r="I20" s="424"/>
      <c r="J20" s="420"/>
      <c r="L20" s="583"/>
      <c r="M20" s="227"/>
      <c r="N20" s="227"/>
      <c r="O20" s="227"/>
      <c r="P20" s="227"/>
      <c r="Q20" s="227"/>
      <c r="R20" s="227"/>
    </row>
    <row r="21" spans="1:18" x14ac:dyDescent="0.2">
      <c r="A21" s="417"/>
      <c r="B21" s="418"/>
      <c r="C21" s="1132" t="s">
        <v>956</v>
      </c>
      <c r="D21" s="1133"/>
      <c r="E21" s="410"/>
      <c r="F21" s="425">
        <v>0</v>
      </c>
      <c r="G21" s="419"/>
      <c r="H21" s="423"/>
      <c r="I21" s="424"/>
      <c r="J21" s="420"/>
      <c r="K21" s="230" t="s">
        <v>887</v>
      </c>
      <c r="L21" s="583"/>
      <c r="M21" s="227"/>
      <c r="N21" s="227"/>
      <c r="O21" s="227"/>
      <c r="Q21" s="227"/>
      <c r="R21" s="227"/>
    </row>
    <row r="22" spans="1:18" x14ac:dyDescent="0.2">
      <c r="A22" s="417"/>
      <c r="B22" s="421" t="s">
        <v>483</v>
      </c>
      <c r="C22" s="581"/>
      <c r="E22" s="388" t="s">
        <v>889</v>
      </c>
      <c r="F22" s="425">
        <f>'Sched-D2'!F17</f>
        <v>0</v>
      </c>
      <c r="G22" s="419"/>
      <c r="H22" s="419"/>
      <c r="I22" s="419"/>
      <c r="J22" s="427"/>
      <c r="L22" s="583"/>
      <c r="Q22" s="227"/>
      <c r="R22" s="227"/>
    </row>
    <row r="23" spans="1:18" x14ac:dyDescent="0.2">
      <c r="A23" s="417"/>
      <c r="B23" s="609" t="s">
        <v>336</v>
      </c>
      <c r="C23" s="342"/>
      <c r="D23" s="421"/>
      <c r="E23" s="388" t="s">
        <v>890</v>
      </c>
      <c r="F23" s="422">
        <f>'Sched-D2'!F80</f>
        <v>1016911.07</v>
      </c>
      <c r="G23" s="419"/>
      <c r="H23" s="423"/>
      <c r="I23" s="424"/>
      <c r="J23" s="420"/>
      <c r="L23" s="583"/>
      <c r="M23" s="227"/>
      <c r="N23" s="227"/>
    </row>
    <row r="24" spans="1:18" x14ac:dyDescent="0.2">
      <c r="A24" s="417"/>
      <c r="B24" s="609" t="s">
        <v>948</v>
      </c>
      <c r="D24" s="421"/>
      <c r="E24" s="388" t="s">
        <v>876</v>
      </c>
      <c r="F24" s="422">
        <f>'Sched-D2'!F92+140000</f>
        <v>2598313.2800000003</v>
      </c>
      <c r="G24" s="419"/>
      <c r="H24" s="423"/>
      <c r="I24" s="424"/>
      <c r="J24" s="420"/>
      <c r="K24" s="1011" t="s">
        <v>891</v>
      </c>
      <c r="L24" s="583"/>
      <c r="M24" s="227"/>
      <c r="N24" s="227"/>
    </row>
    <row r="25" spans="1:18" x14ac:dyDescent="0.2">
      <c r="A25" s="417"/>
      <c r="B25" s="342"/>
      <c r="C25" s="1026" t="s">
        <v>957</v>
      </c>
      <c r="D25" s="421"/>
      <c r="E25" s="388"/>
      <c r="F25" s="425">
        <f>'Sched-D2'!E92</f>
        <v>-140000</v>
      </c>
      <c r="G25" s="419"/>
      <c r="H25" s="423"/>
      <c r="I25" s="424"/>
      <c r="J25" s="420"/>
      <c r="L25" s="583"/>
    </row>
    <row r="26" spans="1:18" x14ac:dyDescent="0.2">
      <c r="A26" s="417"/>
      <c r="B26" s="407" t="s">
        <v>337</v>
      </c>
      <c r="C26" s="407"/>
      <c r="D26" s="421"/>
      <c r="E26" s="388" t="s">
        <v>892</v>
      </c>
      <c r="F26" s="425">
        <f>'Sched-D2'!F98</f>
        <v>783607.5</v>
      </c>
      <c r="G26" s="419"/>
      <c r="H26" s="423"/>
      <c r="I26" s="424"/>
      <c r="J26" s="420"/>
      <c r="L26" s="583"/>
    </row>
    <row r="27" spans="1:18" x14ac:dyDescent="0.2">
      <c r="A27" s="417"/>
      <c r="B27" s="609" t="s">
        <v>947</v>
      </c>
      <c r="C27" s="342"/>
      <c r="D27" s="421"/>
      <c r="E27" s="388" t="s">
        <v>893</v>
      </c>
      <c r="F27" s="425">
        <f>'Sched-D2'!F104</f>
        <v>427379.37</v>
      </c>
      <c r="G27" s="419"/>
      <c r="H27" s="423"/>
      <c r="I27" s="424"/>
      <c r="J27" s="420"/>
      <c r="K27" s="583"/>
      <c r="L27" s="583"/>
    </row>
    <row r="28" spans="1:18" x14ac:dyDescent="0.2">
      <c r="A28" s="417"/>
      <c r="B28" s="609" t="s">
        <v>931</v>
      </c>
      <c r="C28" s="342"/>
      <c r="D28" s="421"/>
      <c r="E28" s="410"/>
      <c r="F28" s="422">
        <f>'Sched-F-G'!D40</f>
        <v>8105092.0898418007</v>
      </c>
      <c r="G28" s="419"/>
      <c r="H28" s="423"/>
      <c r="I28" s="424"/>
      <c r="J28" s="420"/>
      <c r="K28" s="583"/>
    </row>
    <row r="29" spans="1:18" x14ac:dyDescent="0.2">
      <c r="A29" s="417"/>
      <c r="B29" s="609" t="s">
        <v>939</v>
      </c>
      <c r="C29" s="1033"/>
      <c r="D29" s="266"/>
      <c r="E29" s="388" t="s">
        <v>895</v>
      </c>
      <c r="F29" s="419"/>
      <c r="G29" s="419">
        <v>6967712.0999999996</v>
      </c>
      <c r="H29" s="414">
        <f>G29/$G$35</f>
        <v>2.2807992642441457E-2</v>
      </c>
      <c r="I29" s="424">
        <f>$I$4*H29</f>
        <v>259811.12355610754</v>
      </c>
      <c r="J29" s="420">
        <f>SUM(I29+G29)</f>
        <v>7227523.2235561069</v>
      </c>
    </row>
    <row r="30" spans="1:18" x14ac:dyDescent="0.2">
      <c r="A30" s="417"/>
      <c r="B30" s="609" t="s">
        <v>940</v>
      </c>
      <c r="C30" s="342"/>
      <c r="D30" s="266"/>
      <c r="E30" s="388" t="s">
        <v>896</v>
      </c>
      <c r="F30" s="428"/>
      <c r="G30" s="419">
        <v>808559.35</v>
      </c>
      <c r="H30" s="414">
        <f t="shared" ref="H30:H34" si="0">G30/$G$35</f>
        <v>2.6467246983091115E-3</v>
      </c>
      <c r="I30" s="424">
        <f t="shared" ref="I30:I34" si="1">$I$4*H30</f>
        <v>30149.453675805005</v>
      </c>
      <c r="J30" s="420">
        <f t="shared" ref="J30:J34" si="2">SUM(I30+G30)</f>
        <v>838708.80367580499</v>
      </c>
      <c r="K30" s="583"/>
    </row>
    <row r="31" spans="1:18" x14ac:dyDescent="0.2">
      <c r="A31" s="417"/>
      <c r="B31" s="609" t="s">
        <v>941</v>
      </c>
      <c r="C31" s="1033"/>
      <c r="D31" s="266"/>
      <c r="E31" s="388" t="s">
        <v>897</v>
      </c>
      <c r="F31" s="428"/>
      <c r="G31" s="419">
        <v>16879061.170000002</v>
      </c>
      <c r="H31" s="414">
        <f t="shared" si="0"/>
        <v>5.5251637474613702E-2</v>
      </c>
      <c r="I31" s="424">
        <f t="shared" si="1"/>
        <v>629384.1915698509</v>
      </c>
      <c r="J31" s="420">
        <f t="shared" si="2"/>
        <v>17508445.361569852</v>
      </c>
      <c r="K31" s="1010" t="s">
        <v>887</v>
      </c>
      <c r="L31" s="230" t="s">
        <v>894</v>
      </c>
    </row>
    <row r="32" spans="1:18" x14ac:dyDescent="0.2">
      <c r="A32" s="417"/>
      <c r="B32" s="609" t="s">
        <v>942</v>
      </c>
      <c r="C32" s="342"/>
      <c r="D32" s="266"/>
      <c r="E32" s="388" t="s">
        <v>898</v>
      </c>
      <c r="F32" s="419"/>
      <c r="G32" s="419">
        <v>294871.2</v>
      </c>
      <c r="H32" s="414">
        <f t="shared" si="0"/>
        <v>9.6522647083364477E-4</v>
      </c>
      <c r="I32" s="424">
        <f t="shared" si="1"/>
        <v>10995.118150237251</v>
      </c>
      <c r="J32" s="420">
        <f t="shared" si="2"/>
        <v>305866.31815023726</v>
      </c>
    </row>
    <row r="33" spans="1:12" x14ac:dyDescent="0.2">
      <c r="A33" s="417"/>
      <c r="B33" s="609" t="s">
        <v>147</v>
      </c>
      <c r="C33" s="342"/>
      <c r="D33" s="266"/>
      <c r="E33" s="388" t="s">
        <v>899</v>
      </c>
      <c r="F33" s="419"/>
      <c r="G33" s="419">
        <v>3261526.96</v>
      </c>
      <c r="H33" s="414">
        <f t="shared" si="0"/>
        <v>1.0676227984047224E-2</v>
      </c>
      <c r="I33" s="424">
        <f t="shared" si="1"/>
        <v>121615.38419277339</v>
      </c>
      <c r="J33" s="420">
        <f>SUM(I33+G33)</f>
        <v>3383142.3441927736</v>
      </c>
      <c r="K33" s="1010" t="s">
        <v>887</v>
      </c>
      <c r="L33" s="230" t="s">
        <v>923</v>
      </c>
    </row>
    <row r="34" spans="1:12" ht="13.5" thickBot="1" x14ac:dyDescent="0.25">
      <c r="A34" s="417"/>
      <c r="B34" s="609" t="s">
        <v>288</v>
      </c>
      <c r="D34" s="266"/>
      <c r="E34" s="388" t="s">
        <v>900</v>
      </c>
      <c r="F34" s="419"/>
      <c r="G34" s="419">
        <v>23846038.370000001</v>
      </c>
      <c r="H34" s="414">
        <f t="shared" si="0"/>
        <v>7.8057224507645295E-2</v>
      </c>
      <c r="I34" s="424">
        <f t="shared" si="1"/>
        <v>889167.91227234423</v>
      </c>
      <c r="J34" s="420">
        <f t="shared" si="2"/>
        <v>24735206.282272346</v>
      </c>
    </row>
    <row r="35" spans="1:12" s="230" customFormat="1" ht="16.5" customHeight="1" thickBot="1" x14ac:dyDescent="0.25">
      <c r="A35" s="1134" t="s">
        <v>943</v>
      </c>
      <c r="B35" s="1135"/>
      <c r="C35" s="1135"/>
      <c r="D35" s="455"/>
      <c r="E35" s="456"/>
      <c r="F35" s="457"/>
      <c r="G35" s="457">
        <f>SUM(G3:G34)</f>
        <v>305494315.48984176</v>
      </c>
      <c r="H35" s="458">
        <f>SUM(H3:H34)</f>
        <v>1</v>
      </c>
      <c r="I35" s="459">
        <f>SUM(I6:I34)</f>
        <v>11391231.470000001</v>
      </c>
      <c r="J35" s="740">
        <f>SUM(J7:J34)</f>
        <v>316885546.95984185</v>
      </c>
      <c r="K35" s="460"/>
      <c r="L35" s="584"/>
    </row>
    <row r="36" spans="1:12" ht="16.5" thickTop="1" x14ac:dyDescent="0.25">
      <c r="A36" s="417"/>
      <c r="B36" s="342"/>
      <c r="C36" s="237" t="s">
        <v>949</v>
      </c>
      <c r="D36" s="421"/>
      <c r="E36" s="410"/>
      <c r="F36" s="267"/>
      <c r="G36" s="388"/>
      <c r="H36" s="414"/>
      <c r="I36" s="267"/>
      <c r="J36" s="427"/>
    </row>
    <row r="37" spans="1:12" x14ac:dyDescent="0.2">
      <c r="A37" s="417"/>
      <c r="B37" s="342"/>
      <c r="C37" s="609" t="s">
        <v>950</v>
      </c>
      <c r="D37" s="421"/>
      <c r="E37" s="429"/>
      <c r="F37" s="430">
        <v>309954507.23000002</v>
      </c>
      <c r="G37" s="419"/>
      <c r="H37" s="419"/>
      <c r="I37" s="267"/>
      <c r="J37" s="427"/>
      <c r="K37" s="585"/>
    </row>
    <row r="38" spans="1:12" x14ac:dyDescent="0.2">
      <c r="A38" s="417"/>
      <c r="B38" s="342"/>
      <c r="C38" s="609" t="s">
        <v>925</v>
      </c>
      <c r="D38" s="421"/>
      <c r="E38" s="388"/>
      <c r="F38" s="419">
        <f>F28</f>
        <v>8105092.0898418007</v>
      </c>
      <c r="G38" s="419"/>
      <c r="H38" s="419"/>
      <c r="I38" s="267"/>
      <c r="J38" s="427"/>
    </row>
    <row r="39" spans="1:12" x14ac:dyDescent="0.2">
      <c r="A39" s="417"/>
      <c r="B39" s="342"/>
      <c r="C39" s="342"/>
      <c r="D39" s="266" t="s">
        <v>944</v>
      </c>
      <c r="E39" s="388" t="s">
        <v>901</v>
      </c>
      <c r="F39" s="425">
        <v>0</v>
      </c>
      <c r="G39" s="419"/>
      <c r="H39" s="419"/>
      <c r="I39" s="419"/>
      <c r="J39" s="427"/>
      <c r="K39" s="230" t="s">
        <v>924</v>
      </c>
    </row>
    <row r="40" spans="1:12" x14ac:dyDescent="0.2">
      <c r="A40" s="417"/>
      <c r="B40" s="342"/>
      <c r="C40" s="609" t="s">
        <v>162</v>
      </c>
      <c r="D40" s="1027" t="s">
        <v>665</v>
      </c>
      <c r="E40" s="388" t="s">
        <v>876</v>
      </c>
      <c r="F40" s="425">
        <f>F25</f>
        <v>-140000</v>
      </c>
      <c r="G40" s="419"/>
      <c r="H40" s="419"/>
      <c r="I40" s="419"/>
      <c r="J40" s="427"/>
    </row>
    <row r="41" spans="1:12" x14ac:dyDescent="0.2">
      <c r="A41" s="417"/>
      <c r="B41" s="342"/>
      <c r="C41" s="407"/>
      <c r="D41" s="1027" t="s">
        <v>945</v>
      </c>
      <c r="E41" s="388" t="str">
        <f>E11</f>
        <v>JAMC / JYKC</v>
      </c>
      <c r="F41" s="425">
        <f>F11</f>
        <v>-69601.95</v>
      </c>
      <c r="G41" s="419"/>
      <c r="H41" s="419"/>
      <c r="I41" s="419"/>
      <c r="J41" s="427"/>
    </row>
    <row r="42" spans="1:12" x14ac:dyDescent="0.2">
      <c r="A42" s="417"/>
      <c r="B42" s="342"/>
      <c r="C42" s="407"/>
      <c r="D42" s="1027" t="s">
        <v>926</v>
      </c>
      <c r="E42" s="388" t="s">
        <v>879</v>
      </c>
      <c r="F42" s="425">
        <f>F9</f>
        <v>-302902.03000000003</v>
      </c>
      <c r="G42" s="419"/>
      <c r="H42" s="419"/>
      <c r="I42" s="419"/>
      <c r="J42" s="427"/>
    </row>
    <row r="43" spans="1:12" x14ac:dyDescent="0.2">
      <c r="A43" s="417"/>
      <c r="B43" s="342"/>
      <c r="C43" s="342"/>
      <c r="D43" s="1027" t="s">
        <v>902</v>
      </c>
      <c r="E43" s="388" t="s">
        <v>853</v>
      </c>
      <c r="F43" s="425">
        <v>-172159.61</v>
      </c>
      <c r="G43" s="419"/>
      <c r="H43" s="419"/>
      <c r="I43" s="419"/>
      <c r="J43" s="427"/>
    </row>
    <row r="44" spans="1:12" x14ac:dyDescent="0.2">
      <c r="A44" s="417"/>
      <c r="B44" s="342"/>
      <c r="C44" s="342"/>
      <c r="D44" s="1027" t="s">
        <v>903</v>
      </c>
      <c r="E44" s="388"/>
      <c r="F44" s="425">
        <v>0</v>
      </c>
      <c r="G44" s="419"/>
      <c r="H44" s="419"/>
      <c r="I44" s="419"/>
      <c r="J44" s="427"/>
    </row>
    <row r="45" spans="1:12" x14ac:dyDescent="0.2">
      <c r="A45" s="417"/>
      <c r="B45" s="342"/>
      <c r="C45" s="342"/>
      <c r="D45" s="1027" t="s">
        <v>928</v>
      </c>
      <c r="E45" s="388" t="s">
        <v>929</v>
      </c>
      <c r="F45" s="425">
        <f>-175972.16-57122</f>
        <v>-233094.16</v>
      </c>
      <c r="G45" s="419"/>
      <c r="H45" s="419"/>
      <c r="I45" s="419"/>
      <c r="J45" s="427"/>
    </row>
    <row r="46" spans="1:12" x14ac:dyDescent="0.2">
      <c r="A46" s="417"/>
      <c r="B46" s="342"/>
      <c r="C46" s="342"/>
      <c r="D46" s="1027" t="s">
        <v>904</v>
      </c>
      <c r="E46" s="388" t="s">
        <v>871</v>
      </c>
      <c r="F46" s="425">
        <f>F14</f>
        <v>-49325</v>
      </c>
      <c r="G46" s="419"/>
      <c r="H46" s="419"/>
      <c r="I46" s="419"/>
      <c r="J46" s="427"/>
    </row>
    <row r="47" spans="1:12" x14ac:dyDescent="0.2">
      <c r="A47" s="417"/>
      <c r="B47" s="342"/>
      <c r="C47" s="342"/>
      <c r="D47" s="1027" t="s">
        <v>932</v>
      </c>
      <c r="E47" s="388" t="s">
        <v>869</v>
      </c>
      <c r="F47" s="425">
        <f>F15</f>
        <v>-52400</v>
      </c>
      <c r="G47" s="419"/>
      <c r="H47" s="419"/>
      <c r="I47" s="419"/>
      <c r="J47" s="427"/>
    </row>
    <row r="48" spans="1:12" x14ac:dyDescent="0.2">
      <c r="A48" s="417"/>
      <c r="B48" s="342"/>
      <c r="C48" s="342"/>
      <c r="D48" s="1027" t="s">
        <v>905</v>
      </c>
      <c r="E48" s="388" t="s">
        <v>871</v>
      </c>
      <c r="F48" s="425">
        <f>F16</f>
        <v>-70800</v>
      </c>
      <c r="G48" s="419"/>
      <c r="H48" s="419"/>
      <c r="I48" s="419"/>
      <c r="J48" s="427"/>
    </row>
    <row r="49" spans="1:11" x14ac:dyDescent="0.2">
      <c r="A49" s="417"/>
      <c r="B49" s="342"/>
      <c r="C49" s="342"/>
      <c r="D49" s="1027" t="s">
        <v>906</v>
      </c>
      <c r="E49" s="388" t="s">
        <v>874</v>
      </c>
      <c r="F49" s="425">
        <f>F18</f>
        <v>-83769.61</v>
      </c>
      <c r="G49" s="419"/>
      <c r="H49" s="419"/>
      <c r="I49" s="419"/>
      <c r="J49" s="427"/>
      <c r="K49" s="583"/>
    </row>
    <row r="50" spans="1:11" ht="15.75" customHeight="1" thickBot="1" x14ac:dyDescent="0.25">
      <c r="A50" s="1028" t="s">
        <v>943</v>
      </c>
      <c r="B50" s="454"/>
      <c r="C50" s="451" t="s">
        <v>0</v>
      </c>
      <c r="D50" s="452"/>
      <c r="E50" s="453"/>
      <c r="F50" s="741">
        <f>SUM(F37:F49)</f>
        <v>316885546.95984179</v>
      </c>
      <c r="G50" s="431"/>
      <c r="H50" s="431"/>
      <c r="I50" s="431"/>
      <c r="J50" s="432"/>
      <c r="K50" s="583"/>
    </row>
    <row r="51" spans="1:11" ht="13.5" thickBot="1" x14ac:dyDescent="0.25">
      <c r="A51" s="216"/>
      <c r="B51" s="216"/>
      <c r="C51" s="433"/>
      <c r="E51" s="433"/>
      <c r="G51" s="434"/>
      <c r="H51" s="435"/>
      <c r="I51" s="435"/>
      <c r="J51" s="436"/>
      <c r="K51" s="583"/>
    </row>
    <row r="52" spans="1:11" x14ac:dyDescent="0.2">
      <c r="F52" s="1030">
        <f>F50-J35</f>
        <v>0</v>
      </c>
      <c r="G52" s="1031" t="s">
        <v>843</v>
      </c>
      <c r="K52" s="583"/>
    </row>
    <row r="53" spans="1:11" x14ac:dyDescent="0.2">
      <c r="A53" s="343" t="s">
        <v>881</v>
      </c>
      <c r="K53" s="583"/>
    </row>
    <row r="54" spans="1:11" x14ac:dyDescent="0.2">
      <c r="K54" s="583"/>
    </row>
    <row r="55" spans="1:11" x14ac:dyDescent="0.2">
      <c r="F55" s="340"/>
      <c r="K55" s="583"/>
    </row>
    <row r="56" spans="1:11" x14ac:dyDescent="0.2">
      <c r="F56" s="437"/>
      <c r="K56" s="583"/>
    </row>
    <row r="57" spans="1:11" x14ac:dyDescent="0.2">
      <c r="F57" s="437"/>
      <c r="K57" s="583"/>
    </row>
    <row r="58" spans="1:11" x14ac:dyDescent="0.2">
      <c r="F58" s="437"/>
      <c r="K58" s="583"/>
    </row>
    <row r="59" spans="1:11" x14ac:dyDescent="0.2">
      <c r="F59" s="437"/>
      <c r="G59" s="439"/>
      <c r="J59" s="583"/>
      <c r="K59" s="583"/>
    </row>
    <row r="60" spans="1:11" x14ac:dyDescent="0.2">
      <c r="F60" s="437"/>
    </row>
    <row r="61" spans="1:11" x14ac:dyDescent="0.2">
      <c r="F61" s="438"/>
    </row>
    <row r="62" spans="1:11" x14ac:dyDescent="0.2">
      <c r="F62" s="438"/>
    </row>
    <row r="63" spans="1:11" x14ac:dyDescent="0.2">
      <c r="F63" s="438"/>
    </row>
    <row r="64" spans="1:11" x14ac:dyDescent="0.2">
      <c r="F64" s="438"/>
    </row>
    <row r="65" spans="6:7" x14ac:dyDescent="0.2">
      <c r="F65" s="438"/>
    </row>
    <row r="66" spans="6:7" x14ac:dyDescent="0.2">
      <c r="F66" s="438"/>
    </row>
    <row r="67" spans="6:7" x14ac:dyDescent="0.2">
      <c r="F67" s="438"/>
    </row>
    <row r="68" spans="6:7" x14ac:dyDescent="0.2">
      <c r="F68" s="438"/>
    </row>
    <row r="69" spans="6:7" x14ac:dyDescent="0.2">
      <c r="F69" s="438"/>
    </row>
    <row r="70" spans="6:7" x14ac:dyDescent="0.2">
      <c r="F70" s="438"/>
      <c r="G70" s="439"/>
    </row>
  </sheetData>
  <mergeCells count="13">
    <mergeCell ref="A1:J1"/>
    <mergeCell ref="C18:D18"/>
    <mergeCell ref="A35:C35"/>
    <mergeCell ref="F2:G2"/>
    <mergeCell ref="A2:C2"/>
    <mergeCell ref="C11:D11"/>
    <mergeCell ref="C16:D16"/>
    <mergeCell ref="C14:D14"/>
    <mergeCell ref="C9:D9"/>
    <mergeCell ref="C10:D10"/>
    <mergeCell ref="C21:D21"/>
    <mergeCell ref="C15:D15"/>
    <mergeCell ref="C19:D19"/>
  </mergeCells>
  <phoneticPr fontId="19" type="noConversion"/>
  <printOptions horizontalCentered="1"/>
  <pageMargins left="0" right="0" top="1.25" bottom="0.5" header="0.33" footer="0.5"/>
  <pageSetup orientation="landscape" r:id="rId1"/>
  <headerFooter alignWithMargins="0">
    <oddHeader>&amp;C&amp;"Arial,Bold"&amp;12DEPARTMENT OF CORRECTIONS
 COST OF CARE Year 2017
(Based on Fiscal Year 2016 Actuals)</oddHeader>
    <oddFooter>&amp;L&amp;8&amp;F &amp;A&amp;C&amp;8&amp;P of &amp;N&amp;R&amp;8&amp;D</oddFooter>
  </headerFooter>
  <rowBreaks count="1" manualBreakCount="1">
    <brk id="3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J56"/>
  <sheetViews>
    <sheetView showGridLines="0" workbookViewId="0">
      <selection activeCell="E2" sqref="E2"/>
    </sheetView>
  </sheetViews>
  <sheetFormatPr defaultColWidth="9.140625" defaultRowHeight="12.75" x14ac:dyDescent="0.2"/>
  <cols>
    <col min="1" max="1" width="4.28515625" style="180" customWidth="1"/>
    <col min="2" max="2" width="26.7109375" style="180" customWidth="1"/>
    <col min="3" max="3" width="16.140625" style="180" customWidth="1"/>
    <col min="4" max="4" width="20.42578125" style="180" customWidth="1"/>
    <col min="5" max="5" width="18.28515625" style="180" bestFit="1" customWidth="1"/>
    <col min="6" max="6" width="19.85546875" style="180" bestFit="1" customWidth="1"/>
    <col min="7" max="7" width="14.140625" style="180" bestFit="1" customWidth="1"/>
    <col min="8" max="8" width="13.7109375" style="586" customWidth="1"/>
    <col min="9" max="9" width="10.5703125" style="180" bestFit="1" customWidth="1"/>
    <col min="10" max="10" width="13.85546875" style="180" customWidth="1"/>
    <col min="11" max="11" width="12.42578125" style="180" bestFit="1" customWidth="1"/>
    <col min="12" max="12" width="10.28515625" style="180" bestFit="1" customWidth="1"/>
    <col min="13" max="16384" width="9.140625" style="180"/>
  </cols>
  <sheetData>
    <row r="1" spans="1:9" ht="30" customHeight="1" x14ac:dyDescent="0.2">
      <c r="A1" s="1139" t="s">
        <v>168</v>
      </c>
      <c r="B1" s="1139"/>
      <c r="C1" s="1139"/>
      <c r="D1" s="1139"/>
      <c r="E1" s="1139"/>
      <c r="F1" s="1139"/>
      <c r="G1" s="1139"/>
      <c r="H1" s="593"/>
    </row>
    <row r="2" spans="1:9" ht="28.5" customHeight="1" thickBot="1" x14ac:dyDescent="0.25">
      <c r="A2" s="462" t="s">
        <v>157</v>
      </c>
      <c r="B2" s="462"/>
      <c r="C2" s="462"/>
      <c r="E2" s="1025">
        <f>'Qtrly''s-Cntsht Book'!Y19</f>
        <v>1757109.9999999998</v>
      </c>
      <c r="F2" s="592"/>
    </row>
    <row r="3" spans="1:9" s="387" customFormat="1" ht="19.5" customHeight="1" thickBot="1" x14ac:dyDescent="0.25">
      <c r="A3" s="1142" t="s">
        <v>161</v>
      </c>
      <c r="B3" s="1143"/>
      <c r="C3" s="1144" t="s">
        <v>164</v>
      </c>
      <c r="D3" s="1144"/>
      <c r="E3" s="480" t="s">
        <v>167</v>
      </c>
      <c r="F3" s="480" t="s">
        <v>166</v>
      </c>
      <c r="G3" s="481" t="s">
        <v>170</v>
      </c>
      <c r="H3" s="587"/>
      <c r="I3" s="482"/>
    </row>
    <row r="4" spans="1:9" x14ac:dyDescent="0.2">
      <c r="A4" s="571" t="s">
        <v>106</v>
      </c>
      <c r="B4" s="568"/>
      <c r="C4" s="572"/>
      <c r="D4" s="573">
        <f>SUM(C5:C7)</f>
        <v>185322699.97</v>
      </c>
      <c r="E4" s="569"/>
      <c r="F4" s="595">
        <f>SUM(D4,E6)</f>
        <v>184950195.99000001</v>
      </c>
      <c r="G4" s="570">
        <f>F4/$E$2</f>
        <v>105.25817734234057</v>
      </c>
      <c r="H4" s="588"/>
    </row>
    <row r="5" spans="1:9" x14ac:dyDescent="0.2">
      <c r="A5" s="417"/>
      <c r="B5" s="266" t="s">
        <v>56</v>
      </c>
      <c r="C5" s="463">
        <f>'COST ALLOCATION'!F8</f>
        <v>185322699.97</v>
      </c>
      <c r="D5" s="463"/>
      <c r="F5" s="596"/>
      <c r="G5" s="464"/>
      <c r="H5" s="588"/>
    </row>
    <row r="6" spans="1:9" x14ac:dyDescent="0.2">
      <c r="A6" s="417"/>
      <c r="B6" s="465" t="s">
        <v>431</v>
      </c>
      <c r="C6" s="463"/>
      <c r="D6" s="463"/>
      <c r="E6" s="530">
        <f>'COST ALLOCATION'!F11+'COST ALLOCATION'!F9</f>
        <v>-372503.98000000004</v>
      </c>
      <c r="F6" s="596"/>
      <c r="G6" s="464"/>
      <c r="H6" s="588"/>
    </row>
    <row r="7" spans="1:9" x14ac:dyDescent="0.2">
      <c r="A7" s="417"/>
      <c r="B7" s="266" t="s">
        <v>250</v>
      </c>
      <c r="C7" s="389">
        <v>0</v>
      </c>
      <c r="D7" s="463"/>
      <c r="E7" s="463"/>
      <c r="F7" s="596"/>
      <c r="G7" s="464"/>
      <c r="H7" s="588"/>
    </row>
    <row r="8" spans="1:9" x14ac:dyDescent="0.2">
      <c r="A8" s="571" t="s">
        <v>914</v>
      </c>
      <c r="B8" s="568"/>
      <c r="C8" s="463">
        <f>'COST ALLOCATION'!F17</f>
        <v>1422397.8299999998</v>
      </c>
      <c r="D8" s="569">
        <f>SUM(C8:C8)</f>
        <v>1422397.8299999998</v>
      </c>
      <c r="E8" s="569"/>
      <c r="F8" s="595">
        <f>SUM(D8,E9)</f>
        <v>1338628.2199999997</v>
      </c>
      <c r="G8" s="570">
        <f>F8/$E$2</f>
        <v>0.76183518390994298</v>
      </c>
      <c r="H8" s="588"/>
    </row>
    <row r="9" spans="1:9" x14ac:dyDescent="0.2">
      <c r="A9" s="417"/>
      <c r="B9" s="266" t="s">
        <v>915</v>
      </c>
      <c r="D9" s="463"/>
      <c r="E9" s="530">
        <f>'COST ALLOCATION'!F18</f>
        <v>-83769.61</v>
      </c>
      <c r="F9" s="597"/>
      <c r="G9" s="467"/>
      <c r="H9" s="588"/>
    </row>
    <row r="10" spans="1:9" x14ac:dyDescent="0.2">
      <c r="A10" s="609" t="s">
        <v>913</v>
      </c>
      <c r="B10" s="568"/>
      <c r="C10" s="463">
        <f>D10</f>
        <v>52710253.049999997</v>
      </c>
      <c r="D10" s="569">
        <f>'COST ALLOCATION'!F13</f>
        <v>52710253.049999997</v>
      </c>
      <c r="E10" s="530">
        <f>'COST ALLOCATION'!F14+'COST ALLOCATION'!F15+'COST ALLOCATION'!F16</f>
        <v>-172525</v>
      </c>
      <c r="F10" s="595">
        <f>SUM(D10:E10)</f>
        <v>52537728.049999997</v>
      </c>
      <c r="G10" s="570">
        <f>F10/$E$2</f>
        <v>29.900079135626115</v>
      </c>
      <c r="H10" s="588"/>
    </row>
    <row r="11" spans="1:9" x14ac:dyDescent="0.2">
      <c r="A11" s="600" t="s">
        <v>163</v>
      </c>
      <c r="B11" s="568"/>
      <c r="C11" s="569"/>
      <c r="D11" s="569">
        <f>SUM(C12)</f>
        <v>9450108.2865828816</v>
      </c>
      <c r="E11" s="569">
        <v>0</v>
      </c>
      <c r="F11" s="595">
        <f>SUM(D11:E11)</f>
        <v>9450108.2865828816</v>
      </c>
      <c r="G11" s="570">
        <f>F11/$E$2</f>
        <v>5.3782109751710951</v>
      </c>
      <c r="H11" s="588"/>
    </row>
    <row r="12" spans="1:9" x14ac:dyDescent="0.2">
      <c r="A12" s="581"/>
      <c r="B12" s="266" t="s">
        <v>252</v>
      </c>
      <c r="C12" s="463">
        <f>'COST ALLOCATION'!I6</f>
        <v>9450108.2865828816</v>
      </c>
      <c r="D12" s="265"/>
      <c r="E12" s="463"/>
      <c r="F12" s="597"/>
      <c r="G12" s="467"/>
      <c r="H12" s="588"/>
    </row>
    <row r="13" spans="1:9" x14ac:dyDescent="0.2">
      <c r="A13" s="600" t="s">
        <v>255</v>
      </c>
      <c r="B13" s="568"/>
      <c r="C13" s="569"/>
      <c r="D13" s="569">
        <f>SUM(C14:C22)+E16</f>
        <v>14760891.579841804</v>
      </c>
      <c r="E13" s="569"/>
      <c r="F13" s="595">
        <f>SUM(D13+E20+E22)</f>
        <v>14620891.579841804</v>
      </c>
      <c r="G13" s="570">
        <f>F13/$E$2</f>
        <v>8.320988202128385</v>
      </c>
      <c r="H13" s="588"/>
    </row>
    <row r="14" spans="1:9" x14ac:dyDescent="0.2">
      <c r="A14" s="581"/>
      <c r="B14" s="266" t="s">
        <v>53</v>
      </c>
      <c r="C14" s="463">
        <f>'COST ALLOCATION'!F20</f>
        <v>1730231.2500000002</v>
      </c>
      <c r="D14" s="463"/>
      <c r="E14" s="463"/>
      <c r="F14" s="466"/>
      <c r="G14" s="467"/>
      <c r="H14" s="588"/>
    </row>
    <row r="15" spans="1:9" x14ac:dyDescent="0.2">
      <c r="A15" s="265"/>
      <c r="B15" s="265" t="s">
        <v>351</v>
      </c>
      <c r="C15" s="463">
        <f>'COST ALLOCATION'!F22</f>
        <v>0</v>
      </c>
      <c r="D15" s="463"/>
      <c r="E15" s="463"/>
      <c r="F15" s="466"/>
      <c r="G15" s="467"/>
      <c r="H15" s="588"/>
    </row>
    <row r="16" spans="1:9" x14ac:dyDescent="0.2">
      <c r="A16" s="265"/>
      <c r="B16" s="265" t="s">
        <v>107</v>
      </c>
      <c r="C16" s="463">
        <f>'COST ALLOCATION'!F28</f>
        <v>8105092.0898418007</v>
      </c>
      <c r="D16" s="463"/>
      <c r="E16" s="463"/>
      <c r="F16" s="466"/>
      <c r="G16" s="467"/>
      <c r="H16" s="588"/>
    </row>
    <row r="17" spans="1:10" x14ac:dyDescent="0.2">
      <c r="A17" s="265"/>
      <c r="B17" s="265" t="s">
        <v>165</v>
      </c>
      <c r="C17" s="463">
        <f>'COST ALLOCATION'!F12</f>
        <v>526736.39</v>
      </c>
      <c r="D17" s="463"/>
      <c r="E17" s="463"/>
      <c r="F17" s="466"/>
      <c r="G17" s="467"/>
      <c r="H17" s="589"/>
    </row>
    <row r="18" spans="1:10" x14ac:dyDescent="0.2">
      <c r="A18" s="265"/>
      <c r="B18" s="265" t="s">
        <v>336</v>
      </c>
      <c r="C18" s="463">
        <f>'COST ALLOCATION'!F23</f>
        <v>1016911.07</v>
      </c>
      <c r="D18" s="463"/>
      <c r="E18" s="463"/>
      <c r="F18" s="466"/>
      <c r="G18" s="467"/>
      <c r="H18" s="588"/>
    </row>
    <row r="19" spans="1:10" x14ac:dyDescent="0.2">
      <c r="A19" s="265"/>
      <c r="B19" s="265" t="s">
        <v>55</v>
      </c>
      <c r="C19" s="463">
        <f>'COST ALLOCATION'!F24</f>
        <v>2598313.2800000003</v>
      </c>
      <c r="D19" s="463"/>
      <c r="E19" s="463"/>
      <c r="F19" s="466"/>
      <c r="G19" s="467"/>
      <c r="H19" s="588"/>
    </row>
    <row r="20" spans="1:10" x14ac:dyDescent="0.2">
      <c r="A20" s="265"/>
      <c r="B20" s="265" t="s">
        <v>254</v>
      </c>
      <c r="C20" s="463"/>
      <c r="D20" s="463"/>
      <c r="E20" s="530">
        <f>'COST ALLOCATION'!F25</f>
        <v>-140000</v>
      </c>
      <c r="F20" s="466"/>
      <c r="G20" s="467"/>
      <c r="H20" s="588"/>
    </row>
    <row r="21" spans="1:10" x14ac:dyDescent="0.2">
      <c r="A21" s="265"/>
      <c r="B21" s="265" t="s">
        <v>337</v>
      </c>
      <c r="C21" s="463">
        <f>'COST ALLOCATION'!F26</f>
        <v>783607.5</v>
      </c>
      <c r="D21" s="463"/>
      <c r="E21" s="463"/>
      <c r="F21" s="466"/>
      <c r="G21" s="467"/>
      <c r="H21" s="588"/>
    </row>
    <row r="22" spans="1:10" ht="13.5" thickBot="1" x14ac:dyDescent="0.25">
      <c r="A22" s="582"/>
      <c r="B22" s="567"/>
      <c r="C22" s="574"/>
      <c r="D22" s="468"/>
      <c r="E22" s="530"/>
      <c r="F22" s="469"/>
      <c r="G22" s="575"/>
      <c r="H22" s="588"/>
    </row>
    <row r="23" spans="1:10" ht="16.5" thickBot="1" x14ac:dyDescent="0.3">
      <c r="A23" s="599" t="s">
        <v>170</v>
      </c>
      <c r="B23" s="576"/>
      <c r="C23" s="577"/>
      <c r="D23" s="578">
        <f>SUM(D4:D17)</f>
        <v>263666350.7164247</v>
      </c>
      <c r="E23" s="579">
        <f>SUM(E4:E22)</f>
        <v>-768798.59000000008</v>
      </c>
      <c r="F23" s="580">
        <f>SUM(F4:F21)</f>
        <v>262897552.12642467</v>
      </c>
      <c r="G23" s="1018">
        <f>SUM(G4:G21)</f>
        <v>149.6192908391761</v>
      </c>
    </row>
    <row r="24" spans="1:10" ht="27.75" customHeight="1" thickBot="1" x14ac:dyDescent="0.25">
      <c r="A24" s="558" t="s">
        <v>230</v>
      </c>
      <c r="B24" s="390"/>
      <c r="D24" s="227"/>
      <c r="E24" s="227"/>
      <c r="F24" s="227"/>
      <c r="G24" s="227"/>
    </row>
    <row r="25" spans="1:10" s="212" customFormat="1" ht="53.25" customHeight="1" thickTop="1" thickBot="1" x14ac:dyDescent="0.3">
      <c r="A25" s="1145" t="s">
        <v>56</v>
      </c>
      <c r="B25" s="1146"/>
      <c r="C25" s="335" t="s">
        <v>52</v>
      </c>
      <c r="D25" s="335" t="s">
        <v>108</v>
      </c>
      <c r="E25" s="335" t="s">
        <v>109</v>
      </c>
      <c r="F25" s="336" t="s">
        <v>54</v>
      </c>
      <c r="G25" s="336" t="s">
        <v>62</v>
      </c>
      <c r="H25" s="742" t="s">
        <v>110</v>
      </c>
      <c r="I25" s="336" t="s">
        <v>256</v>
      </c>
      <c r="J25" s="335" t="s">
        <v>48</v>
      </c>
    </row>
    <row r="26" spans="1:10" ht="13.5" thickTop="1" x14ac:dyDescent="0.2">
      <c r="A26" s="265" t="s">
        <v>317</v>
      </c>
      <c r="B26" s="265"/>
      <c r="C26" s="389">
        <f>'Sched-B1'!E4+'Sched-D1'!F44</f>
        <v>30526127.900000002</v>
      </c>
      <c r="D26" s="470">
        <f>'Inmate Avg Daily Population'!O4</f>
        <v>301420.04166666669</v>
      </c>
      <c r="E26" s="471">
        <f>C26/D26</f>
        <v>101.27438020116169</v>
      </c>
      <c r="F26" s="472">
        <f>$G$8</f>
        <v>0.76183518390994298</v>
      </c>
      <c r="G26" s="473">
        <f>$G$10</f>
        <v>29.900079135626115</v>
      </c>
      <c r="H26" s="473">
        <f>$G$11</f>
        <v>5.3782109751710951</v>
      </c>
      <c r="I26" s="473">
        <f t="shared" ref="I26:I38" si="0">$G$13</f>
        <v>8.320988202128385</v>
      </c>
      <c r="J26" s="389">
        <f>SUM(E26:I26)</f>
        <v>145.63549369799722</v>
      </c>
    </row>
    <row r="27" spans="1:10" x14ac:dyDescent="0.2">
      <c r="A27" s="265" t="s">
        <v>784</v>
      </c>
      <c r="B27" s="265"/>
      <c r="C27" s="389">
        <f>'Sched-B1'!E5+'Sched-D1'!F89</f>
        <v>6451550.9900000002</v>
      </c>
      <c r="D27" s="602">
        <f>'Inmate Avg Daily Population'!O5</f>
        <v>40615.375</v>
      </c>
      <c r="E27" s="471">
        <f>C27/D27</f>
        <v>158.84504304096663</v>
      </c>
      <c r="F27" s="472">
        <f t="shared" ref="F27:F38" si="1">$G$8</f>
        <v>0.76183518390994298</v>
      </c>
      <c r="G27" s="473">
        <f>$G$10</f>
        <v>29.900079135626115</v>
      </c>
      <c r="H27" s="473">
        <f>$G$11</f>
        <v>5.3782109751710951</v>
      </c>
      <c r="I27" s="473">
        <f t="shared" si="0"/>
        <v>8.320988202128385</v>
      </c>
      <c r="J27" s="389">
        <f>SUM(E27:I27)</f>
        <v>203.20615653780214</v>
      </c>
    </row>
    <row r="28" spans="1:10" x14ac:dyDescent="0.2">
      <c r="A28" s="265" t="s">
        <v>916</v>
      </c>
      <c r="B28" s="265"/>
      <c r="C28" s="389">
        <f>'Sched-B1'!E7+'Sched-D1'!F190</f>
        <v>11556642.350000001</v>
      </c>
      <c r="D28" s="474">
        <f>'Inmate Avg Daily Population'!O6</f>
        <v>98918.041666666686</v>
      </c>
      <c r="E28" s="471">
        <f>C28/D28</f>
        <v>116.83048062095176</v>
      </c>
      <c r="F28" s="472">
        <f>$G$8</f>
        <v>0.76183518390994298</v>
      </c>
      <c r="G28" s="473">
        <f t="shared" ref="G28:G38" si="2">$G$10</f>
        <v>29.900079135626115</v>
      </c>
      <c r="H28" s="473">
        <f t="shared" ref="H28:H38" si="3">$G$11</f>
        <v>5.3782109751710951</v>
      </c>
      <c r="I28" s="473">
        <f t="shared" si="0"/>
        <v>8.320988202128385</v>
      </c>
      <c r="J28" s="389">
        <f>SUM(E28:I28)</f>
        <v>161.1915941177873</v>
      </c>
    </row>
    <row r="29" spans="1:10" x14ac:dyDescent="0.2">
      <c r="A29" s="265" t="s">
        <v>794</v>
      </c>
      <c r="B29" s="265"/>
      <c r="C29" s="389">
        <f>'Sched-B1'!E8+'Sched-D1'!F241</f>
        <v>44848433.690000005</v>
      </c>
      <c r="D29" s="474">
        <f>'Inmate Avg Daily Population'!O7</f>
        <v>459224.74999999994</v>
      </c>
      <c r="E29" s="471">
        <f>C29/D29</f>
        <v>97.661185922579321</v>
      </c>
      <c r="F29" s="472">
        <f>$G$8</f>
        <v>0.76183518390994298</v>
      </c>
      <c r="G29" s="473">
        <f t="shared" si="2"/>
        <v>29.900079135626115</v>
      </c>
      <c r="H29" s="473">
        <f t="shared" si="3"/>
        <v>5.3782109751710951</v>
      </c>
      <c r="I29" s="473">
        <f t="shared" si="0"/>
        <v>8.320988202128385</v>
      </c>
      <c r="J29" s="389">
        <f>SUM(E29:I29)</f>
        <v>142.02229941941485</v>
      </c>
    </row>
    <row r="30" spans="1:10" x14ac:dyDescent="0.2">
      <c r="A30" s="265" t="s">
        <v>783</v>
      </c>
      <c r="B30" s="265"/>
      <c r="C30" s="389">
        <f>'Sched-B1'!E6+'Sched-D1'!F138</f>
        <v>12729365.569999998</v>
      </c>
      <c r="D30" s="474">
        <f>'Inmate Avg Daily Population'!O8</f>
        <v>135904.70833333334</v>
      </c>
      <c r="E30" s="471">
        <f t="shared" ref="E30:E38" si="4">C30/D30</f>
        <v>93.663904114187829</v>
      </c>
      <c r="F30" s="472">
        <f t="shared" si="1"/>
        <v>0.76183518390994298</v>
      </c>
      <c r="G30" s="473">
        <f t="shared" si="2"/>
        <v>29.900079135626115</v>
      </c>
      <c r="H30" s="473">
        <f t="shared" si="3"/>
        <v>5.3782109751710951</v>
      </c>
      <c r="I30" s="473">
        <f t="shared" si="0"/>
        <v>8.320988202128385</v>
      </c>
      <c r="J30" s="389">
        <f t="shared" ref="J30:J38" si="5">SUM(E30:I30)</f>
        <v>138.02501761102334</v>
      </c>
    </row>
    <row r="31" spans="1:10" x14ac:dyDescent="0.2">
      <c r="A31" s="265" t="s">
        <v>917</v>
      </c>
      <c r="B31" s="265"/>
      <c r="C31" s="389">
        <f>'Sched-B1'!E9+'Sched-D1'!F295</f>
        <v>4646328.21</v>
      </c>
      <c r="D31" s="474">
        <f>'Inmate Avg Daily Population'!O9</f>
        <v>19545.749999999996</v>
      </c>
      <c r="E31" s="471">
        <f t="shared" si="4"/>
        <v>237.71552434672503</v>
      </c>
      <c r="F31" s="472">
        <f t="shared" si="1"/>
        <v>0.76183518390994298</v>
      </c>
      <c r="G31" s="473">
        <f t="shared" si="2"/>
        <v>29.900079135626115</v>
      </c>
      <c r="H31" s="473">
        <f t="shared" si="3"/>
        <v>5.3782109751710951</v>
      </c>
      <c r="I31" s="473">
        <f t="shared" si="0"/>
        <v>8.320988202128385</v>
      </c>
      <c r="J31" s="389">
        <f t="shared" si="5"/>
        <v>282.07663784356055</v>
      </c>
    </row>
    <row r="32" spans="1:10" x14ac:dyDescent="0.2">
      <c r="A32" s="265" t="s">
        <v>808</v>
      </c>
      <c r="B32" s="265"/>
      <c r="C32" s="389">
        <f>'Sched-B1'!E10+'Sched-D1'!F343</f>
        <v>9970901.6500000004</v>
      </c>
      <c r="D32" s="474">
        <f>'Inmate Avg Daily Population'!O10</f>
        <v>81647.458333333343</v>
      </c>
      <c r="E32" s="471">
        <f t="shared" si="4"/>
        <v>122.12139671626846</v>
      </c>
      <c r="F32" s="472">
        <f t="shared" si="1"/>
        <v>0.76183518390994298</v>
      </c>
      <c r="G32" s="473">
        <f t="shared" si="2"/>
        <v>29.900079135626115</v>
      </c>
      <c r="H32" s="473">
        <f t="shared" si="3"/>
        <v>5.3782109751710951</v>
      </c>
      <c r="I32" s="473">
        <f t="shared" si="0"/>
        <v>8.320988202128385</v>
      </c>
      <c r="J32" s="389">
        <f t="shared" si="5"/>
        <v>166.48251021310398</v>
      </c>
    </row>
    <row r="33" spans="1:10" x14ac:dyDescent="0.2">
      <c r="A33" s="265" t="s">
        <v>918</v>
      </c>
      <c r="B33" s="265"/>
      <c r="C33" s="389">
        <f>'Sched-B1'!E11+'Sched-D1'!F396</f>
        <v>5095669.38</v>
      </c>
      <c r="D33" s="474">
        <f>'Inmate Avg Daily Population'!O11</f>
        <v>36630.791666666657</v>
      </c>
      <c r="E33" s="471">
        <f t="shared" si="4"/>
        <v>139.10890669166085</v>
      </c>
      <c r="F33" s="472">
        <f t="shared" si="1"/>
        <v>0.76183518390994298</v>
      </c>
      <c r="G33" s="473">
        <f t="shared" si="2"/>
        <v>29.900079135626115</v>
      </c>
      <c r="H33" s="473">
        <f t="shared" si="3"/>
        <v>5.3782109751710951</v>
      </c>
      <c r="I33" s="473">
        <f t="shared" si="0"/>
        <v>8.320988202128385</v>
      </c>
      <c r="J33" s="389">
        <f t="shared" si="5"/>
        <v>183.47002018849639</v>
      </c>
    </row>
    <row r="34" spans="1:10" x14ac:dyDescent="0.2">
      <c r="A34" s="265" t="s">
        <v>919</v>
      </c>
      <c r="B34" s="265"/>
      <c r="C34" s="389">
        <f>'Sched-B1'!E12+'Sched-D1'!F445</f>
        <v>13075634.860000001</v>
      </c>
      <c r="D34" s="474">
        <f>'Inmate Avg Daily Population'!O12</f>
        <v>180115.33333333334</v>
      </c>
      <c r="E34" s="471">
        <f t="shared" si="4"/>
        <v>72.595900737675493</v>
      </c>
      <c r="F34" s="472">
        <f t="shared" si="1"/>
        <v>0.76183518390994298</v>
      </c>
      <c r="G34" s="473">
        <f t="shared" si="2"/>
        <v>29.900079135626115</v>
      </c>
      <c r="H34" s="473">
        <f t="shared" si="3"/>
        <v>5.3782109751710951</v>
      </c>
      <c r="I34" s="473">
        <f t="shared" si="0"/>
        <v>8.320988202128385</v>
      </c>
      <c r="J34" s="389">
        <f t="shared" si="5"/>
        <v>116.95701423451104</v>
      </c>
    </row>
    <row r="35" spans="1:10" x14ac:dyDescent="0.2">
      <c r="A35" s="1140" t="s">
        <v>335</v>
      </c>
      <c r="B35" s="1141"/>
      <c r="C35" s="389">
        <f>'Sched-B1'!E16+'Sched-D1'!F657</f>
        <v>206733.59</v>
      </c>
      <c r="D35" s="474">
        <f>'Inmate Avg Daily Population'!O13</f>
        <v>1460</v>
      </c>
      <c r="E35" s="471">
        <f t="shared" si="4"/>
        <v>141.5983493150685</v>
      </c>
      <c r="F35" s="472">
        <f t="shared" si="1"/>
        <v>0.76183518390994298</v>
      </c>
      <c r="G35" s="473">
        <f t="shared" si="2"/>
        <v>29.900079135626115</v>
      </c>
      <c r="H35" s="473">
        <f t="shared" si="3"/>
        <v>5.3782109751710951</v>
      </c>
      <c r="I35" s="473">
        <f t="shared" si="0"/>
        <v>8.320988202128385</v>
      </c>
      <c r="J35" s="389">
        <f t="shared" si="5"/>
        <v>185.95946281190402</v>
      </c>
    </row>
    <row r="36" spans="1:10" x14ac:dyDescent="0.2">
      <c r="A36" s="265" t="s">
        <v>798</v>
      </c>
      <c r="B36" s="265"/>
      <c r="C36" s="389">
        <f>'Sched-B1'!E13+'Sched-D1'!F499</f>
        <v>22390188.989999998</v>
      </c>
      <c r="D36" s="475">
        <f>'Inmate Avg Daily Population'!O14</f>
        <v>187704.29166666666</v>
      </c>
      <c r="E36" s="471">
        <f t="shared" si="4"/>
        <v>119.28437432726076</v>
      </c>
      <c r="F36" s="472">
        <f t="shared" si="1"/>
        <v>0.76183518390994298</v>
      </c>
      <c r="G36" s="473">
        <f t="shared" si="2"/>
        <v>29.900079135626115</v>
      </c>
      <c r="H36" s="473">
        <f t="shared" si="3"/>
        <v>5.3782109751710951</v>
      </c>
      <c r="I36" s="473">
        <f t="shared" si="0"/>
        <v>8.320988202128385</v>
      </c>
      <c r="J36" s="389">
        <f t="shared" si="5"/>
        <v>163.64548782409628</v>
      </c>
    </row>
    <row r="37" spans="1:10" x14ac:dyDescent="0.2">
      <c r="A37" s="268" t="s">
        <v>799</v>
      </c>
      <c r="B37" s="268"/>
      <c r="C37" s="389">
        <f>'Sched-B1'!E14+'Sched-D1'!F553</f>
        <v>15004487</v>
      </c>
      <c r="D37" s="475">
        <f>'Inmate Avg Daily Population'!O15</f>
        <v>146872.95833333334</v>
      </c>
      <c r="E37" s="471">
        <f t="shared" si="4"/>
        <v>102.15962945300515</v>
      </c>
      <c r="F37" s="476">
        <f t="shared" si="1"/>
        <v>0.76183518390994298</v>
      </c>
      <c r="G37" s="473">
        <f t="shared" si="2"/>
        <v>29.900079135626115</v>
      </c>
      <c r="H37" s="473">
        <f t="shared" si="3"/>
        <v>5.3782109751710951</v>
      </c>
      <c r="I37" s="473">
        <f t="shared" si="0"/>
        <v>8.320988202128385</v>
      </c>
      <c r="J37" s="389">
        <f t="shared" si="5"/>
        <v>146.52074294984067</v>
      </c>
    </row>
    <row r="38" spans="1:10" ht="13.5" thickBot="1" x14ac:dyDescent="0.25">
      <c r="A38" s="581" t="s">
        <v>920</v>
      </c>
      <c r="B38" s="266"/>
      <c r="C38" s="389">
        <f>'Sched-B1'!E15+'Sched-D1'!F603</f>
        <v>8415108.7100000009</v>
      </c>
      <c r="D38" s="477">
        <f>'Inmate Avg Daily Population'!O16</f>
        <v>67050.5</v>
      </c>
      <c r="E38" s="478">
        <f t="shared" si="4"/>
        <v>125.50404113317576</v>
      </c>
      <c r="F38" s="476">
        <f t="shared" si="1"/>
        <v>0.76183518390994298</v>
      </c>
      <c r="G38" s="473">
        <f t="shared" si="2"/>
        <v>29.900079135626115</v>
      </c>
      <c r="H38" s="473">
        <f t="shared" si="3"/>
        <v>5.3782109751710951</v>
      </c>
      <c r="I38" s="473">
        <f t="shared" si="0"/>
        <v>8.320988202128385</v>
      </c>
      <c r="J38" s="478">
        <f t="shared" si="5"/>
        <v>169.86515463001129</v>
      </c>
    </row>
    <row r="39" spans="1:10" s="390" customFormat="1" ht="15.75" customHeight="1" thickTop="1" thickBot="1" x14ac:dyDescent="0.25">
      <c r="A39" s="590" t="s">
        <v>61</v>
      </c>
      <c r="B39" s="591"/>
      <c r="C39" s="1019">
        <f>SUM(C26:C38)</f>
        <v>184917172.89000002</v>
      </c>
      <c r="D39" s="1020">
        <f>SUM(D26:D38)</f>
        <v>1757109.9999999998</v>
      </c>
      <c r="E39" s="1021">
        <f>G4</f>
        <v>105.25817734234057</v>
      </c>
      <c r="F39" s="1022">
        <f>G8</f>
        <v>0.76183518390994298</v>
      </c>
      <c r="G39" s="1023">
        <f>G10</f>
        <v>29.900079135626115</v>
      </c>
      <c r="H39" s="1023">
        <f>G11</f>
        <v>5.3782109751710951</v>
      </c>
      <c r="I39" s="1022">
        <f>G13</f>
        <v>8.320988202128385</v>
      </c>
      <c r="J39" s="1024">
        <f>SUM(E39:I39)</f>
        <v>149.6192908391761</v>
      </c>
    </row>
    <row r="40" spans="1:10" ht="13.5" thickTop="1" x14ac:dyDescent="0.2">
      <c r="C40" s="227"/>
      <c r="E40" s="227"/>
    </row>
    <row r="41" spans="1:10" x14ac:dyDescent="0.2">
      <c r="C41" s="227"/>
    </row>
    <row r="42" spans="1:10" x14ac:dyDescent="0.2">
      <c r="J42" s="227"/>
    </row>
    <row r="43" spans="1:10" x14ac:dyDescent="0.2">
      <c r="A43" s="240" t="s">
        <v>921</v>
      </c>
      <c r="B43" s="479"/>
    </row>
    <row r="56" spans="6:7" x14ac:dyDescent="0.2">
      <c r="F56" s="227"/>
      <c r="G56" s="227"/>
    </row>
  </sheetData>
  <mergeCells count="5">
    <mergeCell ref="A1:G1"/>
    <mergeCell ref="A35:B35"/>
    <mergeCell ref="A3:B3"/>
    <mergeCell ref="C3:D3"/>
    <mergeCell ref="A25:B25"/>
  </mergeCells>
  <phoneticPr fontId="19" type="noConversion"/>
  <printOptions horizontalCentered="1"/>
  <pageMargins left="0" right="0" top="1" bottom="0.5" header="0.33" footer="0.5"/>
  <pageSetup scale="80" fitToHeight="0"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V33"/>
  <sheetViews>
    <sheetView showGridLines="0" zoomScale="75" workbookViewId="0">
      <pane ySplit="3" topLeftCell="A13" activePane="bottomLeft" state="frozenSplit"/>
      <selection activeCell="B35" sqref="B35"/>
      <selection pane="bottomLeft" activeCell="B28" sqref="B28"/>
    </sheetView>
  </sheetViews>
  <sheetFormatPr defaultColWidth="9.140625" defaultRowHeight="12.75" x14ac:dyDescent="0.2"/>
  <cols>
    <col min="1" max="1" width="28.42578125" style="180" customWidth="1"/>
    <col min="2" max="2" width="12.28515625" style="180" customWidth="1"/>
    <col min="3" max="3" width="11.7109375" style="180" customWidth="1"/>
    <col min="4" max="4" width="11" style="180" customWidth="1"/>
    <col min="5" max="5" width="11.28515625" style="180" customWidth="1"/>
    <col min="6" max="6" width="11.42578125" style="180" customWidth="1"/>
    <col min="7" max="7" width="11.5703125" style="180" customWidth="1"/>
    <col min="8" max="8" width="11.28515625" style="180" customWidth="1"/>
    <col min="9" max="9" width="11.5703125" style="180" customWidth="1"/>
    <col min="10" max="10" width="11.28515625" style="180" customWidth="1"/>
    <col min="11" max="11" width="10.85546875" style="180" customWidth="1"/>
    <col min="12" max="12" width="11.42578125" style="180" customWidth="1"/>
    <col min="13" max="13" width="10.85546875" style="180" customWidth="1"/>
    <col min="14" max="14" width="16.5703125" style="180" customWidth="1"/>
    <col min="15" max="15" width="15.42578125" style="180" customWidth="1"/>
    <col min="16" max="16384" width="9.140625" style="180"/>
  </cols>
  <sheetData>
    <row r="1" spans="1:22" ht="31.5" customHeight="1" thickBot="1" x14ac:dyDescent="0.25">
      <c r="A1" s="213" t="s">
        <v>157</v>
      </c>
    </row>
    <row r="2" spans="1:22" ht="33.75" customHeight="1" x14ac:dyDescent="0.25">
      <c r="A2" s="483"/>
      <c r="B2" s="1147" t="s">
        <v>155</v>
      </c>
      <c r="C2" s="1148"/>
      <c r="D2" s="1148"/>
      <c r="E2" s="1148"/>
      <c r="F2" s="1148"/>
      <c r="G2" s="1148"/>
      <c r="H2" s="1148"/>
      <c r="I2" s="1148"/>
      <c r="J2" s="1148"/>
      <c r="K2" s="1148"/>
      <c r="L2" s="1148"/>
      <c r="M2" s="1149"/>
      <c r="N2" s="1150" t="s">
        <v>156</v>
      </c>
      <c r="O2" s="1152" t="s">
        <v>157</v>
      </c>
    </row>
    <row r="3" spans="1:22" ht="33.75" customHeight="1" thickBot="1" x14ac:dyDescent="0.25">
      <c r="A3" s="492" t="s">
        <v>56</v>
      </c>
      <c r="B3" s="701">
        <v>42194</v>
      </c>
      <c r="C3" s="701">
        <v>42225</v>
      </c>
      <c r="D3" s="701">
        <v>42256</v>
      </c>
      <c r="E3" s="701">
        <v>42286</v>
      </c>
      <c r="F3" s="701">
        <v>42317</v>
      </c>
      <c r="G3" s="701">
        <v>42347</v>
      </c>
      <c r="H3" s="701">
        <v>42378</v>
      </c>
      <c r="I3" s="701">
        <v>42409</v>
      </c>
      <c r="J3" s="701">
        <v>42438</v>
      </c>
      <c r="K3" s="701">
        <v>42469</v>
      </c>
      <c r="L3" s="701">
        <v>42499</v>
      </c>
      <c r="M3" s="701">
        <v>42530</v>
      </c>
      <c r="N3" s="1151"/>
      <c r="O3" s="1153"/>
    </row>
    <row r="4" spans="1:22" ht="22.5" customHeight="1" x14ac:dyDescent="0.25">
      <c r="A4" s="484" t="s">
        <v>428</v>
      </c>
      <c r="B4" s="844">
        <f>'Qtrly''s-Cntsht Book'!D5</f>
        <v>844.8</v>
      </c>
      <c r="C4" s="844">
        <f>'Qtrly''s-Cntsht Book'!E5</f>
        <v>857.9</v>
      </c>
      <c r="D4" s="844">
        <f>'Qtrly''s-Cntsht Book'!F5</f>
        <v>798.3</v>
      </c>
      <c r="E4" s="845">
        <f>'Qtrly''s-Cntsht Book'!I5</f>
        <v>832.8</v>
      </c>
      <c r="F4" s="845">
        <f>'Qtrly''s-Cntsht Book'!J5</f>
        <v>871</v>
      </c>
      <c r="G4" s="845">
        <f>'Qtrly''s-Cntsht Book'!K5</f>
        <v>857.8</v>
      </c>
      <c r="H4" s="845">
        <f>'Qtrly''s-Cntsht Book'!N5</f>
        <v>842</v>
      </c>
      <c r="I4" s="845">
        <f>'Qtrly''s-Cntsht Book'!O5</f>
        <v>819.6</v>
      </c>
      <c r="J4" s="845">
        <f>'Qtrly''s-Cntsht Book'!P5</f>
        <v>797.3</v>
      </c>
      <c r="K4" s="845">
        <f>'Qtrly''s-Cntsht Book'!S5</f>
        <v>806.6</v>
      </c>
      <c r="L4" s="845">
        <f>'Qtrly''s-Cntsht Book'!T5</f>
        <v>770.6</v>
      </c>
      <c r="M4" s="846">
        <f>'Qtrly''s-Cntsht Book'!U5</f>
        <v>811</v>
      </c>
      <c r="N4" s="485">
        <f>SUM(B4:M4)/12</f>
        <v>825.80833333333339</v>
      </c>
      <c r="O4" s="486">
        <f>N4*365</f>
        <v>301420.04166666669</v>
      </c>
      <c r="R4" s="521"/>
      <c r="S4" s="522"/>
      <c r="T4" s="523"/>
      <c r="U4" s="523"/>
      <c r="V4" s="524"/>
    </row>
    <row r="5" spans="1:22" ht="23.45" customHeight="1" x14ac:dyDescent="0.25">
      <c r="A5" s="487" t="s">
        <v>140</v>
      </c>
      <c r="B5" s="186">
        <f>'Qtrly''s-Cntsht Book'!D6</f>
        <v>103.5</v>
      </c>
      <c r="C5" s="186">
        <f>'Qtrly''s-Cntsht Book'!E6</f>
        <v>107.7</v>
      </c>
      <c r="D5" s="186">
        <f>'Qtrly''s-Cntsht Book'!F6</f>
        <v>116.4</v>
      </c>
      <c r="E5" s="700">
        <f>'Qtrly''s-Cntsht Book'!I6</f>
        <v>120.5</v>
      </c>
      <c r="F5" s="700">
        <f>'Qtrly''s-Cntsht Book'!J6</f>
        <v>118.1</v>
      </c>
      <c r="G5" s="700">
        <f>'Qtrly''s-Cntsht Book'!K6</f>
        <v>92.5</v>
      </c>
      <c r="H5" s="700">
        <f>'Qtrly''s-Cntsht Book'!N6</f>
        <v>98.8</v>
      </c>
      <c r="I5" s="700">
        <f>'Qtrly''s-Cntsht Book'!O6</f>
        <v>110.4</v>
      </c>
      <c r="J5" s="700">
        <f>'Qtrly''s-Cntsht Book'!P6</f>
        <v>123</v>
      </c>
      <c r="K5" s="700">
        <f>'Qtrly''s-Cntsht Book'!S6</f>
        <v>119.4</v>
      </c>
      <c r="L5" s="700">
        <f>'Qtrly''s-Cntsht Book'!T6</f>
        <v>116.4</v>
      </c>
      <c r="M5" s="850">
        <f>'Qtrly''s-Cntsht Book'!U6</f>
        <v>108.6</v>
      </c>
      <c r="N5" s="485">
        <f>SUM(B5:M5)/12</f>
        <v>111.27499999999999</v>
      </c>
      <c r="O5" s="486">
        <f>N5*365</f>
        <v>40615.375</v>
      </c>
      <c r="R5" s="500"/>
      <c r="S5" s="525"/>
      <c r="T5" s="523"/>
      <c r="U5" s="523"/>
      <c r="V5" s="524"/>
    </row>
    <row r="6" spans="1:22" ht="23.45" customHeight="1" x14ac:dyDescent="0.25">
      <c r="A6" s="488" t="s">
        <v>25</v>
      </c>
      <c r="B6" s="186">
        <f>'Qtrly''s-Cntsht Book'!D7</f>
        <v>265.7</v>
      </c>
      <c r="C6" s="186">
        <f>'Qtrly''s-Cntsht Book'!E7</f>
        <v>269.7</v>
      </c>
      <c r="D6" s="186">
        <f>'Qtrly''s-Cntsht Book'!F7</f>
        <v>255.4</v>
      </c>
      <c r="E6" s="700">
        <f>'Qtrly''s-Cntsht Book'!I7</f>
        <v>265.7</v>
      </c>
      <c r="F6" s="700">
        <f>'Qtrly''s-Cntsht Book'!J7</f>
        <v>266.7</v>
      </c>
      <c r="G6" s="700">
        <f>'Qtrly''s-Cntsht Book'!K7</f>
        <v>262.3</v>
      </c>
      <c r="H6" s="700">
        <f>'Qtrly''s-Cntsht Book'!N7</f>
        <v>268.89999999999998</v>
      </c>
      <c r="I6" s="700">
        <f>'Qtrly''s-Cntsht Book'!O7</f>
        <v>274.10000000000002</v>
      </c>
      <c r="J6" s="700">
        <f>'Qtrly''s-Cntsht Book'!P7</f>
        <v>265.8</v>
      </c>
      <c r="K6" s="700">
        <f>'Qtrly''s-Cntsht Book'!S7</f>
        <v>283.39999999999998</v>
      </c>
      <c r="L6" s="700">
        <f>'Qtrly''s-Cntsht Book'!T7</f>
        <v>293.3</v>
      </c>
      <c r="M6" s="850">
        <f>'Qtrly''s-Cntsht Book'!U7</f>
        <v>281.10000000000002</v>
      </c>
      <c r="N6" s="485">
        <f t="shared" ref="N6:N17" si="0">SUM(B6:M6)/12</f>
        <v>271.00833333333338</v>
      </c>
      <c r="O6" s="486">
        <f>N6*365</f>
        <v>98918.041666666686</v>
      </c>
      <c r="R6" s="500"/>
      <c r="S6" s="525"/>
      <c r="T6" s="523"/>
      <c r="U6" s="523"/>
      <c r="V6" s="524"/>
    </row>
    <row r="7" spans="1:22" ht="23.45" customHeight="1" x14ac:dyDescent="0.25">
      <c r="A7" s="488" t="s">
        <v>478</v>
      </c>
      <c r="B7" s="186">
        <f>'Qtrly''s-Cntsht Book'!D8</f>
        <v>1322.1</v>
      </c>
      <c r="C7" s="186">
        <f>'Qtrly''s-Cntsht Book'!E8</f>
        <v>1316.7</v>
      </c>
      <c r="D7" s="186">
        <f>'Qtrly''s-Cntsht Book'!F8</f>
        <v>1359.4</v>
      </c>
      <c r="E7" s="700">
        <f>'Qtrly''s-Cntsht Book'!I8</f>
        <v>1285</v>
      </c>
      <c r="F7" s="700">
        <f>'Qtrly''s-Cntsht Book'!J8</f>
        <v>1290.5999999999999</v>
      </c>
      <c r="G7" s="700">
        <f>'Qtrly''s-Cntsht Book'!K8</f>
        <v>1258.9000000000001</v>
      </c>
      <c r="H7" s="700">
        <f>'Qtrly''s-Cntsht Book'!N8</f>
        <v>1219.4000000000001</v>
      </c>
      <c r="I7" s="700">
        <f>'Qtrly''s-Cntsht Book'!O8</f>
        <v>1263.4000000000001</v>
      </c>
      <c r="J7" s="700">
        <f>'Qtrly''s-Cntsht Book'!P8</f>
        <v>1224</v>
      </c>
      <c r="K7" s="700">
        <f>'Qtrly''s-Cntsht Book'!S8</f>
        <v>1220.8</v>
      </c>
      <c r="L7" s="700">
        <f>'Qtrly''s-Cntsht Book'!T8</f>
        <v>1210</v>
      </c>
      <c r="M7" s="850">
        <f>'Qtrly''s-Cntsht Book'!U8</f>
        <v>1127.5</v>
      </c>
      <c r="N7" s="485">
        <f>SUM(B7:M7)/12</f>
        <v>1258.1499999999999</v>
      </c>
      <c r="O7" s="486">
        <f>N7*365</f>
        <v>459224.74999999994</v>
      </c>
      <c r="R7" s="500"/>
      <c r="S7" s="525"/>
      <c r="T7" s="523"/>
      <c r="U7" s="523"/>
      <c r="V7" s="524"/>
    </row>
    <row r="8" spans="1:22" ht="23.45" customHeight="1" x14ac:dyDescent="0.25">
      <c r="A8" s="488" t="s">
        <v>232</v>
      </c>
      <c r="B8" s="847">
        <f>'Qtrly''s-Cntsht Book'!D9</f>
        <v>407.6</v>
      </c>
      <c r="C8" s="847">
        <f>'Qtrly''s-Cntsht Book'!E9</f>
        <v>397.9</v>
      </c>
      <c r="D8" s="847">
        <f>'Qtrly''s-Cntsht Book'!F9</f>
        <v>408.3</v>
      </c>
      <c r="E8" s="848">
        <f>'Qtrly''s-Cntsht Book'!I9</f>
        <v>384</v>
      </c>
      <c r="F8" s="848">
        <f>'Qtrly''s-Cntsht Book'!J9</f>
        <v>363.6</v>
      </c>
      <c r="G8" s="848">
        <f>'Qtrly''s-Cntsht Book'!K9</f>
        <v>346</v>
      </c>
      <c r="H8" s="848">
        <f>'Qtrly''s-Cntsht Book'!N9</f>
        <v>349.5</v>
      </c>
      <c r="I8" s="848">
        <f>'Qtrly''s-Cntsht Book'!O9</f>
        <v>365.4</v>
      </c>
      <c r="J8" s="848">
        <f>'Qtrly''s-Cntsht Book'!P9</f>
        <v>365.5</v>
      </c>
      <c r="K8" s="848">
        <f>'Qtrly''s-Cntsht Book'!S9</f>
        <v>360.5</v>
      </c>
      <c r="L8" s="848">
        <f>'Qtrly''s-Cntsht Book'!T9</f>
        <v>359.7</v>
      </c>
      <c r="M8" s="849">
        <f>'Qtrly''s-Cntsht Book'!U9</f>
        <v>360.1</v>
      </c>
      <c r="N8" s="485">
        <f t="shared" si="0"/>
        <v>372.3416666666667</v>
      </c>
      <c r="O8" s="486">
        <f>N8*365</f>
        <v>135904.70833333334</v>
      </c>
      <c r="R8" s="526"/>
      <c r="S8" s="525"/>
      <c r="T8" s="523"/>
      <c r="U8" s="523"/>
      <c r="V8" s="524"/>
    </row>
    <row r="9" spans="1:22" ht="23.45" customHeight="1" x14ac:dyDescent="0.25">
      <c r="A9" s="488" t="s">
        <v>16</v>
      </c>
      <c r="B9" s="186">
        <f>'Qtrly''s-Cntsht Book'!D10</f>
        <v>57.1</v>
      </c>
      <c r="C9" s="186">
        <f>'Qtrly''s-Cntsht Book'!E10</f>
        <v>59.2</v>
      </c>
      <c r="D9" s="186">
        <f>'Qtrly''s-Cntsht Book'!F10</f>
        <v>56.4</v>
      </c>
      <c r="E9" s="700">
        <f>'Qtrly''s-Cntsht Book'!I10</f>
        <v>57.8</v>
      </c>
      <c r="F9" s="700">
        <f>'Qtrly''s-Cntsht Book'!J10</f>
        <v>49.9</v>
      </c>
      <c r="G9" s="700">
        <f>'Qtrly''s-Cntsht Book'!K10</f>
        <v>46.7</v>
      </c>
      <c r="H9" s="700">
        <f>'Qtrly''s-Cntsht Book'!N10</f>
        <v>47.7</v>
      </c>
      <c r="I9" s="700">
        <f>'Qtrly''s-Cntsht Book'!O10</f>
        <v>54.7</v>
      </c>
      <c r="J9" s="700">
        <f>'Qtrly''s-Cntsht Book'!P10</f>
        <v>55.7</v>
      </c>
      <c r="K9" s="700">
        <f>'Qtrly''s-Cntsht Book'!S10</f>
        <v>55.3</v>
      </c>
      <c r="L9" s="700">
        <f>'Qtrly''s-Cntsht Book'!T10</f>
        <v>51</v>
      </c>
      <c r="M9" s="850">
        <f>'Qtrly''s-Cntsht Book'!U10</f>
        <v>51.1</v>
      </c>
      <c r="N9" s="485">
        <f t="shared" si="0"/>
        <v>53.54999999999999</v>
      </c>
      <c r="O9" s="486">
        <f t="shared" ref="O9:O16" si="1">N9*365</f>
        <v>19545.749999999996</v>
      </c>
      <c r="R9" s="500"/>
      <c r="S9" s="525"/>
      <c r="T9" s="523"/>
      <c r="U9" s="523"/>
      <c r="V9" s="524"/>
    </row>
    <row r="10" spans="1:22" ht="23.45" customHeight="1" x14ac:dyDescent="0.25">
      <c r="A10" s="488" t="s">
        <v>17</v>
      </c>
      <c r="B10" s="186">
        <f>'Qtrly''s-Cntsht Book'!D11</f>
        <v>232.6</v>
      </c>
      <c r="C10" s="186">
        <f>'Qtrly''s-Cntsht Book'!E11</f>
        <v>234.1</v>
      </c>
      <c r="D10" s="186">
        <f>'Qtrly''s-Cntsht Book'!F11</f>
        <v>226.9</v>
      </c>
      <c r="E10" s="700">
        <f>'Qtrly''s-Cntsht Book'!I11</f>
        <v>220.9</v>
      </c>
      <c r="F10" s="700">
        <f>'Qtrly''s-Cntsht Book'!J11</f>
        <v>229</v>
      </c>
      <c r="G10" s="700">
        <f>'Qtrly''s-Cntsht Book'!K11</f>
        <v>227.2</v>
      </c>
      <c r="H10" s="700">
        <f>'Qtrly''s-Cntsht Book'!N11</f>
        <v>229.1</v>
      </c>
      <c r="I10" s="700">
        <f>'Qtrly''s-Cntsht Book'!O11</f>
        <v>234.4</v>
      </c>
      <c r="J10" s="700">
        <f>'Qtrly''s-Cntsht Book'!P11</f>
        <v>224.3</v>
      </c>
      <c r="K10" s="700">
        <f>'Qtrly''s-Cntsht Book'!S11</f>
        <v>210.7</v>
      </c>
      <c r="L10" s="700">
        <f>'Qtrly''s-Cntsht Book'!T11</f>
        <v>206.3</v>
      </c>
      <c r="M10" s="850">
        <f>'Qtrly''s-Cntsht Book'!U11</f>
        <v>208.8</v>
      </c>
      <c r="N10" s="485">
        <f t="shared" si="0"/>
        <v>223.69166666666669</v>
      </c>
      <c r="O10" s="486">
        <f t="shared" si="1"/>
        <v>81647.458333333343</v>
      </c>
      <c r="R10" s="500"/>
      <c r="S10" s="525"/>
      <c r="T10" s="523"/>
      <c r="U10" s="523"/>
      <c r="V10" s="524"/>
    </row>
    <row r="11" spans="1:22" ht="23.45" customHeight="1" x14ac:dyDescent="0.25">
      <c r="A11" s="488" t="s">
        <v>142</v>
      </c>
      <c r="B11" s="847">
        <f>'Qtrly''s-Cntsht Book'!D12</f>
        <v>99.5</v>
      </c>
      <c r="C11" s="847">
        <f>'Qtrly''s-Cntsht Book'!E12</f>
        <v>101.7</v>
      </c>
      <c r="D11" s="847">
        <f>'Qtrly''s-Cntsht Book'!F12</f>
        <v>100.2</v>
      </c>
      <c r="E11" s="848">
        <f>'Qtrly''s-Cntsht Book'!I12</f>
        <v>102.6</v>
      </c>
      <c r="F11" s="848">
        <f>'Qtrly''s-Cntsht Book'!J12</f>
        <v>99.6</v>
      </c>
      <c r="G11" s="848">
        <f>'Qtrly''s-Cntsht Book'!K12</f>
        <v>99.3</v>
      </c>
      <c r="H11" s="848">
        <f>'Qtrly''s-Cntsht Book'!N12</f>
        <v>104.3</v>
      </c>
      <c r="I11" s="848">
        <f>'Qtrly''s-Cntsht Book'!O12</f>
        <v>103.5</v>
      </c>
      <c r="J11" s="848">
        <f>'Qtrly''s-Cntsht Book'!P12</f>
        <v>96.3</v>
      </c>
      <c r="K11" s="848">
        <f>'Qtrly''s-Cntsht Book'!S12</f>
        <v>101.9</v>
      </c>
      <c r="L11" s="848">
        <f>'Qtrly''s-Cntsht Book'!T12</f>
        <v>100.3</v>
      </c>
      <c r="M11" s="849">
        <f>'Qtrly''s-Cntsht Book'!U12</f>
        <v>95.1</v>
      </c>
      <c r="N11" s="485">
        <f t="shared" si="0"/>
        <v>100.35833333333331</v>
      </c>
      <c r="O11" s="486">
        <f t="shared" si="1"/>
        <v>36630.791666666657</v>
      </c>
      <c r="R11" s="500"/>
      <c r="S11" s="525"/>
      <c r="T11" s="523"/>
      <c r="U11" s="523"/>
      <c r="V11" s="524"/>
    </row>
    <row r="12" spans="1:22" ht="23.45" customHeight="1" x14ac:dyDescent="0.25">
      <c r="A12" s="488" t="s">
        <v>19</v>
      </c>
      <c r="B12" s="186">
        <f>'Qtrly''s-Cntsht Book'!D13</f>
        <v>476.8</v>
      </c>
      <c r="C12" s="186">
        <f>'Qtrly''s-Cntsht Book'!E13</f>
        <v>487.9</v>
      </c>
      <c r="D12" s="186">
        <f>'Qtrly''s-Cntsht Book'!F13</f>
        <v>497.9</v>
      </c>
      <c r="E12" s="700">
        <f>'Qtrly''s-Cntsht Book'!I13</f>
        <v>496.9</v>
      </c>
      <c r="F12" s="700">
        <f>'Qtrly''s-Cntsht Book'!J13</f>
        <v>488.4</v>
      </c>
      <c r="G12" s="700">
        <f>'Qtrly''s-Cntsht Book'!K13</f>
        <v>489.5</v>
      </c>
      <c r="H12" s="700">
        <f>'Qtrly''s-Cntsht Book'!N13</f>
        <v>492.4</v>
      </c>
      <c r="I12" s="700">
        <f>'Qtrly''s-Cntsht Book'!O13</f>
        <v>501</v>
      </c>
      <c r="J12" s="700">
        <f>'Qtrly''s-Cntsht Book'!P13</f>
        <v>499.6</v>
      </c>
      <c r="K12" s="700">
        <f>'Qtrly''s-Cntsht Book'!S13</f>
        <v>499.6</v>
      </c>
      <c r="L12" s="700">
        <f>'Qtrly''s-Cntsht Book'!T13</f>
        <v>499.7</v>
      </c>
      <c r="M12" s="850">
        <f>'Qtrly''s-Cntsht Book'!U13</f>
        <v>491.90000000000003</v>
      </c>
      <c r="N12" s="485">
        <f t="shared" si="0"/>
        <v>493.4666666666667</v>
      </c>
      <c r="O12" s="486">
        <f t="shared" si="1"/>
        <v>180115.33333333334</v>
      </c>
      <c r="R12" s="526"/>
      <c r="S12" s="525"/>
      <c r="T12" s="523"/>
      <c r="U12" s="523"/>
      <c r="V12" s="524"/>
    </row>
    <row r="13" spans="1:22" ht="23.45" customHeight="1" x14ac:dyDescent="0.25">
      <c r="A13" s="488" t="s">
        <v>151</v>
      </c>
      <c r="B13" s="847">
        <f>'Qtrly''s-Cntsht Book'!D14</f>
        <v>0</v>
      </c>
      <c r="C13" s="847">
        <f>'Qtrly''s-Cntsht Book'!E14</f>
        <v>0</v>
      </c>
      <c r="D13" s="847">
        <f>'Qtrly''s-Cntsht Book'!F14</f>
        <v>0</v>
      </c>
      <c r="E13" s="848">
        <f>'Qtrly''s-Cntsht Book'!I14</f>
        <v>0</v>
      </c>
      <c r="F13" s="848">
        <f>'Qtrly''s-Cntsht Book'!J14</f>
        <v>0</v>
      </c>
      <c r="G13" s="848">
        <f>'Qtrly''s-Cntsht Book'!K14</f>
        <v>0</v>
      </c>
      <c r="H13" s="848">
        <f>'Qtrly''s-Cntsht Book'!N14</f>
        <v>0</v>
      </c>
      <c r="I13" s="848">
        <f>'Qtrly''s-Cntsht Book'!O14</f>
        <v>0</v>
      </c>
      <c r="J13" s="848">
        <f>'Qtrly''s-Cntsht Book'!P14</f>
        <v>0</v>
      </c>
      <c r="K13" s="848">
        <f>'Qtrly''s-Cntsht Book'!S14</f>
        <v>0</v>
      </c>
      <c r="L13" s="848">
        <f>'Qtrly''s-Cntsht Book'!T14</f>
        <v>0</v>
      </c>
      <c r="M13" s="851">
        <f>'Qtrly''s-Cntsht Book'!U14</f>
        <v>48</v>
      </c>
      <c r="N13" s="485">
        <f t="shared" si="0"/>
        <v>4</v>
      </c>
      <c r="O13" s="486">
        <f t="shared" si="1"/>
        <v>1460</v>
      </c>
      <c r="R13" s="500"/>
      <c r="S13" s="527"/>
      <c r="T13" s="523"/>
      <c r="U13" s="523"/>
      <c r="V13" s="524"/>
    </row>
    <row r="14" spans="1:22" ht="23.45" customHeight="1" x14ac:dyDescent="0.25">
      <c r="A14" s="487" t="s">
        <v>20</v>
      </c>
      <c r="B14" s="186">
        <f>'Qtrly''s-Cntsht Book'!D15</f>
        <v>523.4</v>
      </c>
      <c r="C14" s="186">
        <f>'Qtrly''s-Cntsht Book'!E15</f>
        <v>519.20000000000005</v>
      </c>
      <c r="D14" s="186">
        <f>'Qtrly''s-Cntsht Book'!F15</f>
        <v>522.79999999999995</v>
      </c>
      <c r="E14" s="700">
        <f>'Qtrly''s-Cntsht Book'!I15</f>
        <v>515</v>
      </c>
      <c r="F14" s="700">
        <f>'Qtrly''s-Cntsht Book'!J15</f>
        <v>505.2</v>
      </c>
      <c r="G14" s="700">
        <f>'Qtrly''s-Cntsht Book'!K15</f>
        <v>497.1</v>
      </c>
      <c r="H14" s="700">
        <f>'Qtrly''s-Cntsht Book'!N15</f>
        <v>503.1</v>
      </c>
      <c r="I14" s="700">
        <f>'Qtrly''s-Cntsht Book'!O15</f>
        <v>511.1</v>
      </c>
      <c r="J14" s="700">
        <f>'Qtrly''s-Cntsht Book'!P15</f>
        <v>514.5</v>
      </c>
      <c r="K14" s="700">
        <f>'Qtrly''s-Cntsht Book'!S15</f>
        <v>514.4</v>
      </c>
      <c r="L14" s="700">
        <f>'Qtrly''s-Cntsht Book'!T15</f>
        <v>523.70000000000005</v>
      </c>
      <c r="M14" s="850">
        <f>'Qtrly''s-Cntsht Book'!U15</f>
        <v>521.6</v>
      </c>
      <c r="N14" s="485">
        <f t="shared" si="0"/>
        <v>514.25833333333333</v>
      </c>
      <c r="O14" s="486">
        <f t="shared" si="1"/>
        <v>187704.29166666666</v>
      </c>
      <c r="R14" s="500"/>
      <c r="S14" s="525"/>
      <c r="T14" s="523"/>
      <c r="U14" s="523"/>
      <c r="V14" s="524"/>
    </row>
    <row r="15" spans="1:22" ht="23.45" customHeight="1" x14ac:dyDescent="0.25">
      <c r="A15" s="488" t="s">
        <v>584</v>
      </c>
      <c r="B15" s="186">
        <f>'Qtrly''s-Cntsht Book'!D16</f>
        <v>433.70000000000005</v>
      </c>
      <c r="C15" s="186">
        <f>'Qtrly''s-Cntsht Book'!E16</f>
        <v>440.1</v>
      </c>
      <c r="D15" s="186">
        <f>'Qtrly''s-Cntsht Book'!F16</f>
        <v>425.4</v>
      </c>
      <c r="E15" s="700">
        <f>'Qtrly''s-Cntsht Book'!I16</f>
        <v>409.70000000000005</v>
      </c>
      <c r="F15" s="700">
        <f>'Qtrly''s-Cntsht Book'!J16</f>
        <v>403.8</v>
      </c>
      <c r="G15" s="700">
        <f>'Qtrly''s-Cntsht Book'!K16</f>
        <v>384.40000000000003</v>
      </c>
      <c r="H15" s="700">
        <f>'Qtrly''s-Cntsht Book'!N16</f>
        <v>397.79999999999995</v>
      </c>
      <c r="I15" s="700">
        <f>'Qtrly''s-Cntsht Book'!O16</f>
        <v>392.4</v>
      </c>
      <c r="J15" s="700">
        <f>'Qtrly''s-Cntsht Book'!P16</f>
        <v>378</v>
      </c>
      <c r="K15" s="700">
        <f>'Qtrly''s-Cntsht Book'!S16</f>
        <v>385.9</v>
      </c>
      <c r="L15" s="700">
        <f>'Qtrly''s-Cntsht Book'!T16</f>
        <v>380.6</v>
      </c>
      <c r="M15" s="850">
        <f>'Qtrly''s-Cntsht Book'!U16</f>
        <v>396.9</v>
      </c>
      <c r="N15" s="485">
        <f t="shared" si="0"/>
        <v>402.39166666666671</v>
      </c>
      <c r="O15" s="486">
        <f t="shared" si="1"/>
        <v>146872.95833333334</v>
      </c>
      <c r="R15" s="526"/>
      <c r="S15" s="525"/>
      <c r="T15" s="523"/>
      <c r="U15" s="523"/>
      <c r="V15" s="524"/>
    </row>
    <row r="16" spans="1:22" ht="23.45" customHeight="1" x14ac:dyDescent="0.25">
      <c r="A16" s="488" t="s">
        <v>143</v>
      </c>
      <c r="B16" s="847">
        <f>'Qtrly''s-Cntsht Book'!D17</f>
        <v>171.9</v>
      </c>
      <c r="C16" s="847">
        <f>'Qtrly''s-Cntsht Book'!E17</f>
        <v>185.8</v>
      </c>
      <c r="D16" s="847">
        <f>'Qtrly''s-Cntsht Book'!F17</f>
        <v>190.7</v>
      </c>
      <c r="E16" s="848">
        <f>'Qtrly''s-Cntsht Book'!I17</f>
        <v>196.5</v>
      </c>
      <c r="F16" s="848">
        <f>'Qtrly''s-Cntsht Book'!J17</f>
        <v>190.2</v>
      </c>
      <c r="G16" s="848">
        <f>'Qtrly''s-Cntsht Book'!K17</f>
        <v>187.2</v>
      </c>
      <c r="H16" s="848">
        <f>'Qtrly''s-Cntsht Book'!N17</f>
        <v>194.2</v>
      </c>
      <c r="I16" s="848">
        <f>'Qtrly''s-Cntsht Book'!O17</f>
        <v>182.8</v>
      </c>
      <c r="J16" s="848">
        <f>'Qtrly''s-Cntsht Book'!P17</f>
        <v>180.8</v>
      </c>
      <c r="K16" s="848">
        <f>'Qtrly''s-Cntsht Book'!S17</f>
        <v>176.7</v>
      </c>
      <c r="L16" s="848">
        <f>'Qtrly''s-Cntsht Book'!T17</f>
        <v>175.5</v>
      </c>
      <c r="M16" s="849">
        <f>'Qtrly''s-Cntsht Book'!U17</f>
        <v>172.1</v>
      </c>
      <c r="N16" s="485">
        <f t="shared" si="0"/>
        <v>183.70000000000002</v>
      </c>
      <c r="O16" s="486">
        <f t="shared" si="1"/>
        <v>67050.5</v>
      </c>
      <c r="R16" s="500"/>
      <c r="S16" s="525"/>
      <c r="T16" s="523"/>
      <c r="U16" s="523"/>
      <c r="V16" s="524"/>
    </row>
    <row r="17" spans="1:22" ht="23.45" customHeight="1" thickBot="1" x14ac:dyDescent="0.3">
      <c r="A17" s="488" t="s">
        <v>144</v>
      </c>
      <c r="B17" s="847">
        <f>'Qtrly''s-Cntsht Book'!D18</f>
        <v>0</v>
      </c>
      <c r="C17" s="847">
        <f>'Qtrly''s-Cntsht Book'!E18</f>
        <v>0</v>
      </c>
      <c r="D17" s="847">
        <f>'Qtrly''s-Cntsht Book'!F18</f>
        <v>0</v>
      </c>
      <c r="E17" s="848">
        <f>'Qtrly''s-Cntsht Book'!I18</f>
        <v>0</v>
      </c>
      <c r="F17" s="848">
        <f>'Qtrly''s-Cntsht Book'!J18</f>
        <v>0</v>
      </c>
      <c r="G17" s="848">
        <f>'Qtrly''s-Cntsht Book'!K18</f>
        <v>0</v>
      </c>
      <c r="H17" s="848">
        <f>'Qtrly''s-Cntsht Book'!N18</f>
        <v>0</v>
      </c>
      <c r="I17" s="848">
        <f>'Qtrly''s-Cntsht Book'!O18</f>
        <v>0</v>
      </c>
      <c r="J17" s="848">
        <f>'Qtrly''s-Cntsht Book'!P18</f>
        <v>0</v>
      </c>
      <c r="K17" s="848" t="str">
        <f>'Qtrly''s-Cntsht Book'!S18</f>
        <v>-</v>
      </c>
      <c r="L17" s="848" t="str">
        <f>'Qtrly''s-Cntsht Book'!T18</f>
        <v>-</v>
      </c>
      <c r="M17" s="849" t="str">
        <f>'Qtrly''s-Cntsht Book'!U18</f>
        <v>-</v>
      </c>
      <c r="N17" s="485">
        <f t="shared" si="0"/>
        <v>0</v>
      </c>
      <c r="O17" s="486">
        <f>N17*365</f>
        <v>0</v>
      </c>
      <c r="R17" s="500"/>
      <c r="S17" s="528"/>
      <c r="T17" s="523"/>
      <c r="U17" s="523"/>
      <c r="V17" s="529"/>
    </row>
    <row r="18" spans="1:22" ht="23.45" customHeight="1" thickBot="1" x14ac:dyDescent="0.3">
      <c r="A18" s="696" t="s">
        <v>152</v>
      </c>
      <c r="B18" s="843">
        <f>SUM(B4:B17)</f>
        <v>4938.6999999999989</v>
      </c>
      <c r="C18" s="843">
        <f t="shared" ref="C18:L18" si="2">SUM(C4:C17)</f>
        <v>4977.9000000000005</v>
      </c>
      <c r="D18" s="843">
        <f t="shared" si="2"/>
        <v>4958.0999999999995</v>
      </c>
      <c r="E18" s="843">
        <f t="shared" si="2"/>
        <v>4887.4000000000005</v>
      </c>
      <c r="F18" s="843">
        <f t="shared" si="2"/>
        <v>4876.0999999999995</v>
      </c>
      <c r="G18" s="843">
        <f t="shared" si="2"/>
        <v>4748.8999999999996</v>
      </c>
      <c r="H18" s="843">
        <f t="shared" si="2"/>
        <v>4747.2</v>
      </c>
      <c r="I18" s="843">
        <f t="shared" si="2"/>
        <v>4812.8</v>
      </c>
      <c r="J18" s="843">
        <f t="shared" si="2"/>
        <v>4724.8</v>
      </c>
      <c r="K18" s="843">
        <f t="shared" si="2"/>
        <v>4735.1999999999989</v>
      </c>
      <c r="L18" s="843">
        <f t="shared" si="2"/>
        <v>4687.1000000000004</v>
      </c>
      <c r="M18" s="843">
        <f>SUM(M4:M17)</f>
        <v>4673.8</v>
      </c>
      <c r="N18" s="697">
        <f>SUM(B18:M18)/12</f>
        <v>4814</v>
      </c>
      <c r="O18" s="697">
        <f>SUM(O4:O17)</f>
        <v>1757109.9999999998</v>
      </c>
    </row>
    <row r="19" spans="1:22" ht="31.9" customHeight="1" thickBot="1" x14ac:dyDescent="0.3">
      <c r="A19" s="813" t="s">
        <v>153</v>
      </c>
      <c r="B19" s="814"/>
      <c r="C19" s="814"/>
      <c r="D19" s="814"/>
      <c r="E19" s="814"/>
      <c r="F19" s="815"/>
      <c r="G19" s="814"/>
      <c r="H19" s="814"/>
      <c r="I19" s="814"/>
      <c r="J19" s="814"/>
      <c r="K19" s="814"/>
      <c r="L19" s="814"/>
      <c r="M19" s="814"/>
      <c r="N19" s="816"/>
      <c r="O19" s="817" t="s">
        <v>0</v>
      </c>
    </row>
    <row r="20" spans="1:22" ht="23.45" customHeight="1" x14ac:dyDescent="0.25">
      <c r="A20" s="487" t="s">
        <v>145</v>
      </c>
      <c r="B20" s="490">
        <f>'Qtrly''s-Cntsht Book'!D21</f>
        <v>672.81</v>
      </c>
      <c r="C20" s="490">
        <f>'Qtrly''s-Cntsht Book'!E21</f>
        <v>677.1</v>
      </c>
      <c r="D20" s="490">
        <f>'Qtrly''s-Cntsht Book'!F21</f>
        <v>681.9</v>
      </c>
      <c r="E20" s="490">
        <f>'Qtrly''s-Cntsht Book'!I21</f>
        <v>648</v>
      </c>
      <c r="F20" s="490">
        <f>'Qtrly''s-Cntsht Book'!J21</f>
        <v>633.63</v>
      </c>
      <c r="G20" s="490">
        <f>'Qtrly''s-Cntsht Book'!K21</f>
        <v>647.29</v>
      </c>
      <c r="H20" s="490">
        <f>'Qtrly''s-Cntsht Book'!N21</f>
        <v>625.64</v>
      </c>
      <c r="I20" s="490">
        <f>'Qtrly''s-Cntsht Book'!O21</f>
        <v>607.83000000000004</v>
      </c>
      <c r="J20" s="490">
        <f>'Qtrly''s-Cntsht Book'!P21</f>
        <v>650</v>
      </c>
      <c r="K20" s="490">
        <f>'Qtrly''s-Cntsht Book'!S21</f>
        <v>627.20000000000005</v>
      </c>
      <c r="L20" s="490">
        <f>'Qtrly''s-Cntsht Book'!T21</f>
        <v>587.65</v>
      </c>
      <c r="M20" s="490">
        <f>'Qtrly''s-Cntsht Book'!U21</f>
        <v>561.73</v>
      </c>
      <c r="N20" s="485">
        <f t="shared" ref="N20:N25" si="3">SUM(B20:M20)/12</f>
        <v>635.06499999999994</v>
      </c>
      <c r="O20" s="486">
        <f t="shared" ref="O20:O25" si="4">N20*365</f>
        <v>231798.72499999998</v>
      </c>
    </row>
    <row r="21" spans="1:22" ht="23.45" customHeight="1" x14ac:dyDescent="0.25">
      <c r="A21" s="488" t="s">
        <v>146</v>
      </c>
      <c r="B21" s="490">
        <f>'Qtrly''s-Cntsht Book'!D22</f>
        <v>5</v>
      </c>
      <c r="C21" s="490">
        <f>'Qtrly''s-Cntsht Book'!E22</f>
        <v>7.23</v>
      </c>
      <c r="D21" s="490">
        <f>'Qtrly''s-Cntsht Book'!F22</f>
        <v>9</v>
      </c>
      <c r="E21" s="490">
        <f>'Qtrly''s-Cntsht Book'!I22</f>
        <v>9.1</v>
      </c>
      <c r="F21" s="490">
        <f>'Qtrly''s-Cntsht Book'!J22</f>
        <v>9.1</v>
      </c>
      <c r="G21" s="490">
        <f>'Qtrly''s-Cntsht Book'!K22</f>
        <v>9.7100000000000009</v>
      </c>
      <c r="H21" s="490">
        <f>'Qtrly''s-Cntsht Book'!N22</f>
        <v>9</v>
      </c>
      <c r="I21" s="490">
        <f>'Qtrly''s-Cntsht Book'!O22</f>
        <v>8.3099999999999987</v>
      </c>
      <c r="J21" s="490">
        <f>'Qtrly''s-Cntsht Book'!P22</f>
        <v>8</v>
      </c>
      <c r="K21" s="490">
        <f>'Qtrly''s-Cntsht Book'!S22</f>
        <v>8.07</v>
      </c>
      <c r="L21" s="490">
        <f>'Qtrly''s-Cntsht Book'!T22</f>
        <v>10</v>
      </c>
      <c r="M21" s="490">
        <f>'Qtrly''s-Cntsht Book'!U22</f>
        <v>13.5</v>
      </c>
      <c r="N21" s="485">
        <f t="shared" si="3"/>
        <v>8.8350000000000009</v>
      </c>
      <c r="O21" s="491">
        <f t="shared" si="4"/>
        <v>3224.7750000000001</v>
      </c>
    </row>
    <row r="22" spans="1:22" ht="23.45" customHeight="1" x14ac:dyDescent="0.25">
      <c r="A22" s="488" t="s">
        <v>148</v>
      </c>
      <c r="B22" s="490">
        <f>'Qtrly''s-Cntsht Book'!D23</f>
        <v>15</v>
      </c>
      <c r="C22" s="490">
        <f>'Qtrly''s-Cntsht Book'!E23</f>
        <v>17</v>
      </c>
      <c r="D22" s="490">
        <f>'Qtrly''s-Cntsht Book'!F23</f>
        <v>16</v>
      </c>
      <c r="E22" s="490">
        <f>'Qtrly''s-Cntsht Book'!I23</f>
        <v>17</v>
      </c>
      <c r="F22" s="490">
        <f>'Qtrly''s-Cntsht Book'!J23</f>
        <v>17</v>
      </c>
      <c r="G22" s="490">
        <f>'Qtrly''s-Cntsht Book'!K23</f>
        <v>16</v>
      </c>
      <c r="H22" s="490">
        <f>'Qtrly''s-Cntsht Book'!N23</f>
        <v>19</v>
      </c>
      <c r="I22" s="490">
        <f>'Qtrly''s-Cntsht Book'!O23</f>
        <v>18</v>
      </c>
      <c r="J22" s="490">
        <f>'Qtrly''s-Cntsht Book'!P23</f>
        <v>17</v>
      </c>
      <c r="K22" s="490">
        <f>'Qtrly''s-Cntsht Book'!S23</f>
        <v>15</v>
      </c>
      <c r="L22" s="490">
        <f>'Qtrly''s-Cntsht Book'!T23</f>
        <v>16</v>
      </c>
      <c r="M22" s="490">
        <f>'Qtrly''s-Cntsht Book'!U23</f>
        <v>16</v>
      </c>
      <c r="N22" s="485">
        <f t="shared" si="3"/>
        <v>16.583333333333332</v>
      </c>
      <c r="O22" s="491">
        <f t="shared" si="4"/>
        <v>6052.9166666666661</v>
      </c>
    </row>
    <row r="23" spans="1:22" ht="23.45" customHeight="1" x14ac:dyDescent="0.25">
      <c r="A23" s="488" t="s">
        <v>147</v>
      </c>
      <c r="B23" s="490">
        <f>'Qtrly''s-Cntsht Book'!D24</f>
        <v>437</v>
      </c>
      <c r="C23" s="490">
        <f>'Qtrly''s-Cntsht Book'!E24</f>
        <v>420</v>
      </c>
      <c r="D23" s="490">
        <f>'Qtrly''s-Cntsht Book'!F24</f>
        <v>429</v>
      </c>
      <c r="E23" s="490">
        <f>'Qtrly''s-Cntsht Book'!I24</f>
        <v>447</v>
      </c>
      <c r="F23" s="490">
        <f>'Qtrly''s-Cntsht Book'!J24</f>
        <v>466</v>
      </c>
      <c r="G23" s="490">
        <f>'Qtrly''s-Cntsht Book'!K24</f>
        <v>437</v>
      </c>
      <c r="H23" s="490">
        <f>'Qtrly''s-Cntsht Book'!N24</f>
        <v>419</v>
      </c>
      <c r="I23" s="490">
        <f>'Qtrly''s-Cntsht Book'!O24</f>
        <v>404</v>
      </c>
      <c r="J23" s="490">
        <f>'Qtrly''s-Cntsht Book'!P24</f>
        <v>410</v>
      </c>
      <c r="K23" s="490">
        <f>'Qtrly''s-Cntsht Book'!S24</f>
        <v>404</v>
      </c>
      <c r="L23" s="490">
        <f>'Qtrly''s-Cntsht Book'!T24</f>
        <v>383</v>
      </c>
      <c r="M23" s="490">
        <f>'Qtrly''s-Cntsht Book'!U24</f>
        <v>373</v>
      </c>
      <c r="N23" s="485">
        <f t="shared" si="3"/>
        <v>419.08333333333331</v>
      </c>
      <c r="O23" s="491">
        <f t="shared" si="4"/>
        <v>152965.41666666666</v>
      </c>
    </row>
    <row r="24" spans="1:22" ht="23.45" customHeight="1" x14ac:dyDescent="0.25">
      <c r="A24" s="488" t="s">
        <v>371</v>
      </c>
      <c r="B24" s="490" t="str">
        <f>'Qtrly''s-Cntsht Book'!D25</f>
        <v>N/A</v>
      </c>
      <c r="C24" s="490" t="str">
        <f>'Qtrly''s-Cntsht Book'!E25</f>
        <v>N/A</v>
      </c>
      <c r="D24" s="490" t="str">
        <f>'Qtrly''s-Cntsht Book'!F25</f>
        <v>N/A</v>
      </c>
      <c r="E24" s="490" t="str">
        <f>'Qtrly''s-Cntsht Book'!I25</f>
        <v>N/A</v>
      </c>
      <c r="F24" s="490" t="str">
        <f>'Qtrly''s-Cntsht Book'!J25</f>
        <v>N/A</v>
      </c>
      <c r="G24" s="490" t="str">
        <f>'Qtrly''s-Cntsht Book'!K25</f>
        <v>N/A</v>
      </c>
      <c r="H24" s="490" t="str">
        <f>'Qtrly''s-Cntsht Book'!N25</f>
        <v>N/A</v>
      </c>
      <c r="I24" s="490" t="str">
        <f>'Qtrly''s-Cntsht Book'!O25</f>
        <v>N/A</v>
      </c>
      <c r="J24" s="490" t="str">
        <f>'Qtrly''s-Cntsht Book'!P25</f>
        <v>N/A</v>
      </c>
      <c r="K24" s="490" t="str">
        <f>'Qtrly''s-Cntsht Book'!S25</f>
        <v>N/A</v>
      </c>
      <c r="L24" s="490" t="str">
        <f>'Qtrly''s-Cntsht Book'!T25</f>
        <v>N/A</v>
      </c>
      <c r="M24" s="490" t="str">
        <f>'Qtrly''s-Cntsht Book'!U25</f>
        <v>N/A</v>
      </c>
      <c r="N24" s="485">
        <f>SUM(B24:M24)/3</f>
        <v>0</v>
      </c>
      <c r="O24" s="491">
        <f t="shared" si="4"/>
        <v>0</v>
      </c>
    </row>
    <row r="25" spans="1:22" ht="23.45" customHeight="1" thickBot="1" x14ac:dyDescent="0.3">
      <c r="A25" s="488" t="s">
        <v>150</v>
      </c>
      <c r="B25" s="490">
        <f>'Qtrly''s-Cntsht Book'!D26</f>
        <v>12</v>
      </c>
      <c r="C25" s="490">
        <f>'Qtrly''s-Cntsht Book'!E26</f>
        <v>12</v>
      </c>
      <c r="D25" s="490">
        <f>'Qtrly''s-Cntsht Book'!F26</f>
        <v>12</v>
      </c>
      <c r="E25" s="490">
        <f>'Qtrly''s-Cntsht Book'!I26</f>
        <v>12</v>
      </c>
      <c r="F25" s="490">
        <f>'Qtrly''s-Cntsht Book'!J26</f>
        <v>11</v>
      </c>
      <c r="G25" s="490">
        <f>'Qtrly''s-Cntsht Book'!K26</f>
        <v>11</v>
      </c>
      <c r="H25" s="490">
        <f>'Qtrly''s-Cntsht Book'!N26</f>
        <v>10</v>
      </c>
      <c r="I25" s="490">
        <f>'Qtrly''s-Cntsht Book'!O26</f>
        <v>9</v>
      </c>
      <c r="J25" s="490">
        <f>'Qtrly''s-Cntsht Book'!P26</f>
        <v>9</v>
      </c>
      <c r="K25" s="490">
        <f>'Qtrly''s-Cntsht Book'!S26</f>
        <v>9</v>
      </c>
      <c r="L25" s="490">
        <f>'Qtrly''s-Cntsht Book'!T26</f>
        <v>9</v>
      </c>
      <c r="M25" s="490">
        <f>'Qtrly''s-Cntsht Book'!U26</f>
        <v>9</v>
      </c>
      <c r="N25" s="485">
        <f t="shared" si="3"/>
        <v>10.416666666666666</v>
      </c>
      <c r="O25" s="491">
        <f t="shared" si="4"/>
        <v>3802.083333333333</v>
      </c>
    </row>
    <row r="26" spans="1:22" ht="23.45" customHeight="1" thickBot="1" x14ac:dyDescent="0.3">
      <c r="A26" s="698" t="s">
        <v>154</v>
      </c>
      <c r="B26" s="699">
        <f>SUM(B20:B25)</f>
        <v>1141.81</v>
      </c>
      <c r="C26" s="699">
        <f>SUM(C20:C25)</f>
        <v>1133.33</v>
      </c>
      <c r="D26" s="699">
        <f t="shared" ref="D26:M26" si="5">SUM(D20:D25)</f>
        <v>1147.9000000000001</v>
      </c>
      <c r="E26" s="699">
        <f t="shared" si="5"/>
        <v>1133.0999999999999</v>
      </c>
      <c r="F26" s="699">
        <f t="shared" si="5"/>
        <v>1136.73</v>
      </c>
      <c r="G26" s="699">
        <f t="shared" si="5"/>
        <v>1121</v>
      </c>
      <c r="H26" s="699">
        <f t="shared" si="5"/>
        <v>1082.6399999999999</v>
      </c>
      <c r="I26" s="699">
        <f t="shared" si="5"/>
        <v>1047.1399999999999</v>
      </c>
      <c r="J26" s="699">
        <f t="shared" si="5"/>
        <v>1094</v>
      </c>
      <c r="K26" s="699">
        <f t="shared" si="5"/>
        <v>1063.27</v>
      </c>
      <c r="L26" s="699">
        <f t="shared" si="5"/>
        <v>1005.65</v>
      </c>
      <c r="M26" s="699">
        <f t="shared" si="5"/>
        <v>973.23</v>
      </c>
      <c r="N26" s="697">
        <f>SUM(N20:N25)</f>
        <v>1089.9833333333333</v>
      </c>
      <c r="O26" s="697">
        <f>SUM(O20:O25)</f>
        <v>397843.91666666657</v>
      </c>
    </row>
    <row r="27" spans="1:22" ht="28.15" customHeight="1" thickBot="1" x14ac:dyDescent="0.3">
      <c r="A27" s="818" t="s">
        <v>158</v>
      </c>
      <c r="B27" s="819">
        <f>B18+B26</f>
        <v>6080.5099999999984</v>
      </c>
      <c r="C27" s="819">
        <f t="shared" ref="C27:L27" si="6">C18+C26</f>
        <v>6111.2300000000005</v>
      </c>
      <c r="D27" s="819">
        <f t="shared" si="6"/>
        <v>6106</v>
      </c>
      <c r="E27" s="819">
        <f t="shared" si="6"/>
        <v>6020.5</v>
      </c>
      <c r="F27" s="819">
        <f t="shared" si="6"/>
        <v>6012.83</v>
      </c>
      <c r="G27" s="819">
        <f t="shared" si="6"/>
        <v>5869.9</v>
      </c>
      <c r="H27" s="819">
        <f t="shared" si="6"/>
        <v>5829.84</v>
      </c>
      <c r="I27" s="819">
        <f t="shared" si="6"/>
        <v>5859.9400000000005</v>
      </c>
      <c r="J27" s="819">
        <f t="shared" si="6"/>
        <v>5818.8</v>
      </c>
      <c r="K27" s="819">
        <f t="shared" si="6"/>
        <v>5798.4699999999993</v>
      </c>
      <c r="L27" s="819">
        <f t="shared" si="6"/>
        <v>5692.75</v>
      </c>
      <c r="M27" s="819">
        <f>M18+M26</f>
        <v>5647.0300000000007</v>
      </c>
      <c r="N27" s="820">
        <f>SUM(B27:M27)/12</f>
        <v>5903.9833333333336</v>
      </c>
      <c r="O27" s="821">
        <f>O18+O26</f>
        <v>2154953.9166666665</v>
      </c>
    </row>
    <row r="29" spans="1:22" x14ac:dyDescent="0.2">
      <c r="A29" s="327"/>
    </row>
    <row r="31" spans="1:22" ht="15" customHeight="1" x14ac:dyDescent="0.2"/>
    <row r="32" spans="1:22" ht="15.75" x14ac:dyDescent="0.25">
      <c r="A32" s="195"/>
    </row>
    <row r="33" spans="1:1" ht="15" x14ac:dyDescent="0.25">
      <c r="A33" s="212" t="s">
        <v>657</v>
      </c>
    </row>
  </sheetData>
  <mergeCells count="3">
    <mergeCell ref="B2:M2"/>
    <mergeCell ref="N2:N3"/>
    <mergeCell ref="O2:O3"/>
  </mergeCells>
  <phoneticPr fontId="19"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Q126"/>
  <sheetViews>
    <sheetView showGridLines="0" topLeftCell="A100" zoomScaleNormal="100" workbookViewId="0">
      <selection activeCell="A84" sqref="A84"/>
    </sheetView>
  </sheetViews>
  <sheetFormatPr defaultRowHeight="12.75" x14ac:dyDescent="0.2"/>
  <cols>
    <col min="1" max="1" width="11.85546875" customWidth="1"/>
    <col min="2" max="2" width="9.7109375" customWidth="1"/>
    <col min="17" max="17" width="9.140625" bestFit="1" customWidth="1"/>
  </cols>
  <sheetData>
    <row r="1" spans="1:17" x14ac:dyDescent="0.2">
      <c r="A1" s="613" t="s">
        <v>525</v>
      </c>
    </row>
    <row r="2" spans="1:17" x14ac:dyDescent="0.2">
      <c r="A2" s="531"/>
    </row>
    <row r="3" spans="1:17" x14ac:dyDescent="0.2">
      <c r="A3" s="639" t="s">
        <v>526</v>
      </c>
      <c r="B3" s="656">
        <v>4</v>
      </c>
      <c r="C3" s="656">
        <v>6</v>
      </c>
      <c r="D3" s="656">
        <v>7</v>
      </c>
      <c r="E3" s="656">
        <v>8</v>
      </c>
      <c r="F3" s="656">
        <v>6</v>
      </c>
      <c r="G3" s="656">
        <v>7</v>
      </c>
      <c r="H3" s="656">
        <v>22</v>
      </c>
      <c r="I3" s="656">
        <v>14</v>
      </c>
      <c r="J3" s="656">
        <v>9</v>
      </c>
      <c r="K3" s="656">
        <v>12</v>
      </c>
      <c r="L3" s="656">
        <v>14</v>
      </c>
      <c r="M3" s="656">
        <v>15</v>
      </c>
      <c r="N3" s="656">
        <v>10</v>
      </c>
      <c r="O3" s="656">
        <v>13</v>
      </c>
      <c r="P3" s="656">
        <v>12</v>
      </c>
      <c r="Q3" s="657">
        <f>SUM(B3:P3)</f>
        <v>159</v>
      </c>
    </row>
    <row r="4" spans="1:17" x14ac:dyDescent="0.2">
      <c r="A4" s="638"/>
      <c r="B4" s="637" t="s">
        <v>527</v>
      </c>
      <c r="C4" s="637" t="s">
        <v>528</v>
      </c>
      <c r="D4" s="637" t="s">
        <v>529</v>
      </c>
      <c r="E4" s="637" t="s">
        <v>530</v>
      </c>
      <c r="F4" s="637" t="s">
        <v>531</v>
      </c>
      <c r="G4" s="637" t="s">
        <v>532</v>
      </c>
      <c r="H4" s="637" t="s">
        <v>533</v>
      </c>
      <c r="I4" s="637" t="s">
        <v>534</v>
      </c>
      <c r="J4" s="637" t="s">
        <v>535</v>
      </c>
      <c r="K4" s="637" t="s">
        <v>536</v>
      </c>
      <c r="L4" s="637" t="s">
        <v>537</v>
      </c>
      <c r="M4" s="637" t="s">
        <v>538</v>
      </c>
      <c r="N4" s="637" t="s">
        <v>539</v>
      </c>
      <c r="O4" s="637" t="s">
        <v>540</v>
      </c>
      <c r="P4" s="637" t="s">
        <v>541</v>
      </c>
      <c r="Q4" s="638"/>
    </row>
    <row r="5" spans="1:17" x14ac:dyDescent="0.2">
      <c r="A5" t="s">
        <v>542</v>
      </c>
      <c r="B5" s="636">
        <v>27</v>
      </c>
      <c r="C5" s="636">
        <v>19</v>
      </c>
      <c r="D5" s="636">
        <v>28</v>
      </c>
      <c r="E5" s="636">
        <v>53</v>
      </c>
      <c r="F5" s="636">
        <v>9</v>
      </c>
      <c r="G5" s="636">
        <v>59</v>
      </c>
      <c r="H5" s="636">
        <v>79</v>
      </c>
      <c r="I5" s="636">
        <v>106</v>
      </c>
      <c r="J5" s="636">
        <v>74</v>
      </c>
      <c r="K5" s="636">
        <v>9</v>
      </c>
      <c r="L5" s="636">
        <v>79</v>
      </c>
      <c r="M5" s="636">
        <v>63</v>
      </c>
      <c r="N5" s="636">
        <v>23</v>
      </c>
      <c r="O5" s="636">
        <v>31</v>
      </c>
      <c r="P5" s="636">
        <v>11</v>
      </c>
    </row>
    <row r="6" spans="1:17" x14ac:dyDescent="0.2">
      <c r="A6" t="s">
        <v>543</v>
      </c>
      <c r="B6" s="636">
        <v>18</v>
      </c>
      <c r="C6" s="636">
        <v>7</v>
      </c>
      <c r="D6" s="636">
        <v>33</v>
      </c>
      <c r="E6" s="636">
        <v>64</v>
      </c>
      <c r="F6" s="636">
        <v>12</v>
      </c>
      <c r="G6" s="636">
        <v>53</v>
      </c>
      <c r="H6" s="636">
        <v>77</v>
      </c>
      <c r="I6" s="636">
        <v>64</v>
      </c>
      <c r="J6" s="636">
        <v>73</v>
      </c>
      <c r="K6" s="636">
        <v>9</v>
      </c>
      <c r="L6" s="636">
        <v>28</v>
      </c>
      <c r="M6" s="636">
        <v>60</v>
      </c>
      <c r="N6" s="636">
        <v>16</v>
      </c>
      <c r="O6" s="636">
        <v>29</v>
      </c>
      <c r="P6" s="636">
        <v>12</v>
      </c>
    </row>
    <row r="7" spans="1:17" x14ac:dyDescent="0.2">
      <c r="A7" t="s">
        <v>544</v>
      </c>
      <c r="B7" s="636">
        <v>10</v>
      </c>
      <c r="C7" s="636">
        <v>9</v>
      </c>
      <c r="D7" s="636">
        <v>29</v>
      </c>
      <c r="E7" s="636">
        <v>54</v>
      </c>
      <c r="F7" s="636">
        <v>4</v>
      </c>
      <c r="G7" s="636">
        <v>41</v>
      </c>
      <c r="H7" s="636">
        <v>83</v>
      </c>
      <c r="I7" s="636">
        <v>83</v>
      </c>
      <c r="J7" s="636">
        <v>66</v>
      </c>
      <c r="K7" s="636">
        <v>7</v>
      </c>
      <c r="L7" s="636">
        <v>19</v>
      </c>
      <c r="M7" s="636">
        <v>59</v>
      </c>
      <c r="N7" s="636">
        <v>27</v>
      </c>
      <c r="O7" s="636">
        <v>20</v>
      </c>
      <c r="P7" s="636">
        <v>24</v>
      </c>
    </row>
    <row r="8" spans="1:17" x14ac:dyDescent="0.2">
      <c r="A8" t="s">
        <v>545</v>
      </c>
      <c r="B8" s="636">
        <v>16</v>
      </c>
      <c r="C8" s="636">
        <v>6</v>
      </c>
      <c r="D8" s="636">
        <v>35</v>
      </c>
      <c r="E8" s="636">
        <v>23</v>
      </c>
      <c r="F8" s="636">
        <v>7</v>
      </c>
      <c r="G8" s="636">
        <v>45</v>
      </c>
      <c r="H8" s="636">
        <v>77</v>
      </c>
      <c r="I8" s="636">
        <v>87</v>
      </c>
      <c r="J8" s="636">
        <v>70</v>
      </c>
      <c r="K8" s="636">
        <v>4</v>
      </c>
      <c r="L8" s="636">
        <v>26</v>
      </c>
      <c r="M8" s="636">
        <v>57</v>
      </c>
      <c r="N8" s="636">
        <v>21</v>
      </c>
      <c r="O8" s="636">
        <v>17</v>
      </c>
      <c r="P8" s="636">
        <v>21</v>
      </c>
    </row>
    <row r="9" spans="1:17" x14ac:dyDescent="0.2">
      <c r="A9" t="s">
        <v>546</v>
      </c>
      <c r="B9" s="636">
        <v>25</v>
      </c>
      <c r="C9" s="636">
        <v>2</v>
      </c>
      <c r="D9" s="636">
        <v>22</v>
      </c>
      <c r="E9" s="636">
        <v>38</v>
      </c>
      <c r="F9" s="636">
        <v>12</v>
      </c>
      <c r="G9" s="636">
        <v>47</v>
      </c>
      <c r="H9" s="636">
        <v>87</v>
      </c>
      <c r="I9" s="636">
        <v>70</v>
      </c>
      <c r="J9" s="636">
        <v>70</v>
      </c>
      <c r="K9" s="636">
        <v>3</v>
      </c>
      <c r="L9" s="636">
        <v>31</v>
      </c>
      <c r="M9" s="636">
        <v>48</v>
      </c>
      <c r="N9" s="636">
        <v>25</v>
      </c>
      <c r="O9" s="636">
        <v>27</v>
      </c>
      <c r="P9" s="636">
        <v>10</v>
      </c>
    </row>
    <row r="10" spans="1:17" x14ac:dyDescent="0.2">
      <c r="A10" t="s">
        <v>547</v>
      </c>
      <c r="B10" s="636">
        <v>9</v>
      </c>
      <c r="C10" s="636">
        <v>7</v>
      </c>
      <c r="D10" s="636">
        <v>17</v>
      </c>
      <c r="E10" s="636">
        <v>38</v>
      </c>
      <c r="F10" s="636">
        <v>2</v>
      </c>
      <c r="G10" s="636">
        <v>46</v>
      </c>
      <c r="H10" s="636">
        <v>81</v>
      </c>
      <c r="I10" s="635">
        <v>67</v>
      </c>
      <c r="J10" s="636">
        <v>69</v>
      </c>
      <c r="K10" s="636">
        <v>3</v>
      </c>
      <c r="L10" s="636">
        <v>14</v>
      </c>
      <c r="M10" s="636">
        <v>45</v>
      </c>
      <c r="N10" s="636">
        <v>6</v>
      </c>
      <c r="O10" s="636">
        <v>25</v>
      </c>
      <c r="P10" s="636">
        <v>12</v>
      </c>
    </row>
    <row r="11" spans="1:17" x14ac:dyDescent="0.2">
      <c r="A11" t="s">
        <v>548</v>
      </c>
      <c r="B11" s="636">
        <v>7</v>
      </c>
      <c r="C11" s="636">
        <v>4</v>
      </c>
      <c r="D11" s="636">
        <v>26</v>
      </c>
      <c r="E11" s="636">
        <v>43</v>
      </c>
      <c r="F11" s="636">
        <v>8</v>
      </c>
      <c r="G11" s="636">
        <v>51</v>
      </c>
      <c r="H11" s="636">
        <v>79</v>
      </c>
      <c r="I11" s="636">
        <v>67</v>
      </c>
      <c r="J11" s="636">
        <v>76</v>
      </c>
      <c r="K11" s="636">
        <v>10</v>
      </c>
      <c r="L11" s="636">
        <v>28</v>
      </c>
      <c r="M11" s="636">
        <v>61</v>
      </c>
      <c r="N11" s="636">
        <v>5</v>
      </c>
      <c r="O11" s="636">
        <v>24</v>
      </c>
      <c r="P11" s="636">
        <v>15</v>
      </c>
    </row>
    <row r="12" spans="1:17" x14ac:dyDescent="0.2">
      <c r="A12" t="s">
        <v>549</v>
      </c>
      <c r="B12" s="636">
        <v>10</v>
      </c>
      <c r="C12" s="636">
        <v>5</v>
      </c>
      <c r="D12" s="636">
        <v>15</v>
      </c>
      <c r="E12" s="636">
        <v>41</v>
      </c>
      <c r="F12" s="636">
        <v>5</v>
      </c>
      <c r="G12" s="636">
        <v>35</v>
      </c>
      <c r="H12" s="636">
        <v>88</v>
      </c>
      <c r="I12" s="636">
        <v>80</v>
      </c>
      <c r="J12" s="636">
        <v>59</v>
      </c>
      <c r="K12" s="636">
        <v>1</v>
      </c>
      <c r="L12" s="636">
        <v>34</v>
      </c>
      <c r="M12" s="636">
        <v>46</v>
      </c>
      <c r="N12" s="636">
        <v>17</v>
      </c>
      <c r="O12" s="636">
        <v>14</v>
      </c>
      <c r="P12" s="636">
        <v>16</v>
      </c>
    </row>
    <row r="13" spans="1:17" x14ac:dyDescent="0.2">
      <c r="A13" t="s">
        <v>550</v>
      </c>
      <c r="B13" s="636">
        <v>9</v>
      </c>
      <c r="C13" s="636">
        <v>2</v>
      </c>
      <c r="D13" s="636">
        <v>27</v>
      </c>
      <c r="E13" s="636">
        <v>45</v>
      </c>
      <c r="F13" s="636">
        <v>7</v>
      </c>
      <c r="G13" s="636">
        <v>41</v>
      </c>
      <c r="H13" s="636">
        <v>98</v>
      </c>
      <c r="I13" s="636">
        <v>50</v>
      </c>
      <c r="J13" s="636">
        <v>65</v>
      </c>
      <c r="K13" s="636">
        <v>7</v>
      </c>
      <c r="L13" s="636">
        <v>33</v>
      </c>
      <c r="M13" s="636">
        <v>43</v>
      </c>
      <c r="N13" s="636">
        <v>23</v>
      </c>
      <c r="O13" s="636">
        <v>22</v>
      </c>
      <c r="P13" s="636">
        <v>12</v>
      </c>
    </row>
    <row r="14" spans="1:17" x14ac:dyDescent="0.2">
      <c r="A14" t="s">
        <v>551</v>
      </c>
      <c r="B14" s="636">
        <v>11</v>
      </c>
      <c r="C14" s="636">
        <v>7</v>
      </c>
      <c r="D14" s="636">
        <v>25</v>
      </c>
      <c r="E14" s="636">
        <v>60</v>
      </c>
      <c r="F14" s="636">
        <v>6</v>
      </c>
      <c r="G14" s="636">
        <v>49</v>
      </c>
      <c r="H14" s="636">
        <v>98</v>
      </c>
      <c r="I14" s="636">
        <v>74</v>
      </c>
      <c r="J14" s="636">
        <v>60</v>
      </c>
      <c r="K14" s="636">
        <v>3</v>
      </c>
      <c r="L14" s="636">
        <v>38</v>
      </c>
      <c r="M14" s="636">
        <v>39</v>
      </c>
      <c r="N14" s="636">
        <v>21</v>
      </c>
      <c r="O14" s="636">
        <v>22</v>
      </c>
      <c r="P14" s="636">
        <v>14</v>
      </c>
    </row>
    <row r="15" spans="1:17" x14ac:dyDescent="0.2">
      <c r="A15" t="s">
        <v>444</v>
      </c>
      <c r="B15" s="636">
        <v>14</v>
      </c>
      <c r="C15" s="636">
        <v>6</v>
      </c>
      <c r="D15" s="636">
        <v>13</v>
      </c>
      <c r="E15" s="636">
        <v>70</v>
      </c>
      <c r="F15" s="636">
        <v>7</v>
      </c>
      <c r="G15" s="636">
        <v>61</v>
      </c>
      <c r="H15" s="636">
        <v>100</v>
      </c>
      <c r="I15" s="636">
        <v>91</v>
      </c>
      <c r="J15" s="636">
        <v>60</v>
      </c>
      <c r="K15" s="636">
        <v>2</v>
      </c>
      <c r="L15" s="636">
        <v>34</v>
      </c>
      <c r="M15" s="636">
        <v>35</v>
      </c>
      <c r="N15" s="636">
        <v>13</v>
      </c>
      <c r="O15" s="636">
        <v>27</v>
      </c>
      <c r="P15" s="636">
        <v>20</v>
      </c>
    </row>
    <row r="16" spans="1:17" x14ac:dyDescent="0.2">
      <c r="A16" t="s">
        <v>445</v>
      </c>
      <c r="B16" s="636">
        <v>13</v>
      </c>
      <c r="C16" s="636">
        <v>11</v>
      </c>
      <c r="D16" s="636">
        <v>25</v>
      </c>
      <c r="E16" s="636">
        <v>65</v>
      </c>
      <c r="F16" s="636">
        <v>6</v>
      </c>
      <c r="G16" s="636">
        <v>67</v>
      </c>
      <c r="H16" s="636">
        <v>83</v>
      </c>
      <c r="I16" s="636">
        <v>95</v>
      </c>
      <c r="J16" s="636">
        <v>82</v>
      </c>
      <c r="K16" s="636">
        <v>9</v>
      </c>
      <c r="L16" s="636">
        <v>41</v>
      </c>
      <c r="M16" s="636">
        <v>66</v>
      </c>
      <c r="N16" s="636">
        <v>20</v>
      </c>
      <c r="O16" s="636">
        <v>25</v>
      </c>
      <c r="P16" s="636">
        <v>9</v>
      </c>
      <c r="Q16" s="531" t="s">
        <v>552</v>
      </c>
    </row>
    <row r="17" spans="1:17" x14ac:dyDescent="0.2">
      <c r="B17" s="611">
        <f t="shared" ref="B17:P17" si="0">SUM(B5:B16)</f>
        <v>169</v>
      </c>
      <c r="C17" s="611">
        <f t="shared" si="0"/>
        <v>85</v>
      </c>
      <c r="D17" s="611">
        <f t="shared" si="0"/>
        <v>295</v>
      </c>
      <c r="E17" s="611">
        <f t="shared" si="0"/>
        <v>594</v>
      </c>
      <c r="F17" s="611">
        <f t="shared" si="0"/>
        <v>85</v>
      </c>
      <c r="G17" s="611">
        <f t="shared" si="0"/>
        <v>595</v>
      </c>
      <c r="H17" s="611">
        <f t="shared" si="0"/>
        <v>1030</v>
      </c>
      <c r="I17" s="611">
        <f t="shared" si="0"/>
        <v>934</v>
      </c>
      <c r="J17" s="611">
        <f t="shared" si="0"/>
        <v>824</v>
      </c>
      <c r="K17" s="611">
        <f t="shared" si="0"/>
        <v>67</v>
      </c>
      <c r="L17" s="611">
        <f t="shared" si="0"/>
        <v>405</v>
      </c>
      <c r="M17" s="611">
        <f t="shared" si="0"/>
        <v>622</v>
      </c>
      <c r="N17" s="611">
        <f t="shared" si="0"/>
        <v>217</v>
      </c>
      <c r="O17" s="611">
        <f t="shared" si="0"/>
        <v>283</v>
      </c>
      <c r="P17" s="611">
        <f t="shared" si="0"/>
        <v>176</v>
      </c>
      <c r="Q17" s="531" t="s">
        <v>553</v>
      </c>
    </row>
    <row r="18" spans="1:17" x14ac:dyDescent="0.2">
      <c r="I18" s="638"/>
      <c r="Q18" s="634">
        <f>SUM(B17:P17)</f>
        <v>6381</v>
      </c>
    </row>
    <row r="19" spans="1:17" x14ac:dyDescent="0.2">
      <c r="A19" s="613" t="s">
        <v>554</v>
      </c>
    </row>
    <row r="20" spans="1:17" x14ac:dyDescent="0.2">
      <c r="A20" s="531"/>
    </row>
    <row r="21" spans="1:17" x14ac:dyDescent="0.2">
      <c r="A21" s="639" t="s">
        <v>555</v>
      </c>
      <c r="B21" s="633">
        <v>15</v>
      </c>
      <c r="C21" s="633">
        <v>7</v>
      </c>
      <c r="D21" s="633">
        <v>15</v>
      </c>
      <c r="E21" s="633">
        <v>20</v>
      </c>
      <c r="F21" s="633">
        <v>14</v>
      </c>
      <c r="G21" s="633">
        <v>10</v>
      </c>
      <c r="H21" s="633">
        <v>30</v>
      </c>
      <c r="I21" s="633">
        <v>30</v>
      </c>
      <c r="J21" s="633">
        <v>30</v>
      </c>
      <c r="K21" s="633">
        <v>15</v>
      </c>
      <c r="L21" s="633">
        <v>30</v>
      </c>
      <c r="M21" s="633">
        <v>10</v>
      </c>
      <c r="N21" s="633">
        <v>30</v>
      </c>
      <c r="O21" s="633">
        <v>10</v>
      </c>
      <c r="P21" s="633">
        <v>30</v>
      </c>
      <c r="Q21" s="639"/>
    </row>
    <row r="22" spans="1:17" x14ac:dyDescent="0.2">
      <c r="A22" s="638"/>
      <c r="B22" s="637" t="s">
        <v>527</v>
      </c>
      <c r="C22" s="637" t="s">
        <v>528</v>
      </c>
      <c r="D22" s="637" t="s">
        <v>529</v>
      </c>
      <c r="E22" s="637" t="s">
        <v>530</v>
      </c>
      <c r="F22" s="637" t="s">
        <v>531</v>
      </c>
      <c r="G22" s="637" t="s">
        <v>532</v>
      </c>
      <c r="H22" s="637" t="s">
        <v>533</v>
      </c>
      <c r="I22" s="637" t="s">
        <v>534</v>
      </c>
      <c r="J22" s="637" t="s">
        <v>535</v>
      </c>
      <c r="K22" s="637" t="s">
        <v>536</v>
      </c>
      <c r="L22" s="637" t="s">
        <v>537</v>
      </c>
      <c r="M22" s="637" t="s">
        <v>538</v>
      </c>
      <c r="N22" s="637" t="s">
        <v>539</v>
      </c>
      <c r="O22" s="637" t="s">
        <v>540</v>
      </c>
      <c r="P22" s="637" t="s">
        <v>541</v>
      </c>
      <c r="Q22" s="638"/>
    </row>
    <row r="23" spans="1:17" x14ac:dyDescent="0.2">
      <c r="A23" t="s">
        <v>542</v>
      </c>
      <c r="B23" s="636">
        <v>80</v>
      </c>
      <c r="C23" s="636">
        <v>43.5</v>
      </c>
      <c r="D23" s="636">
        <v>154.5</v>
      </c>
      <c r="E23" s="636">
        <v>125</v>
      </c>
      <c r="F23" s="636">
        <v>18</v>
      </c>
      <c r="G23" s="636">
        <v>59.5</v>
      </c>
      <c r="H23" s="636">
        <v>424</v>
      </c>
      <c r="I23" s="636">
        <v>312</v>
      </c>
      <c r="J23" s="636">
        <v>400.5</v>
      </c>
      <c r="K23" s="636">
        <v>45</v>
      </c>
      <c r="L23" s="636">
        <v>157</v>
      </c>
      <c r="M23" s="636">
        <v>200</v>
      </c>
      <c r="N23" s="636">
        <v>81</v>
      </c>
      <c r="O23" s="636">
        <v>137.5</v>
      </c>
      <c r="P23" s="636">
        <v>99</v>
      </c>
    </row>
    <row r="24" spans="1:17" x14ac:dyDescent="0.2">
      <c r="A24" t="s">
        <v>543</v>
      </c>
      <c r="B24" s="636">
        <v>58</v>
      </c>
      <c r="C24" s="636">
        <v>21.5</v>
      </c>
      <c r="D24" s="636">
        <v>106</v>
      </c>
      <c r="E24" s="636">
        <v>208</v>
      </c>
      <c r="F24" s="636">
        <v>42</v>
      </c>
      <c r="G24" s="636">
        <v>94.5</v>
      </c>
      <c r="H24" s="636">
        <v>536</v>
      </c>
      <c r="I24" s="636">
        <v>206</v>
      </c>
      <c r="J24" s="636">
        <v>422</v>
      </c>
      <c r="K24" s="636">
        <v>55.5</v>
      </c>
      <c r="L24" s="636">
        <v>106</v>
      </c>
      <c r="M24" s="636">
        <v>153.5</v>
      </c>
      <c r="N24" s="636">
        <v>121</v>
      </c>
      <c r="O24" s="636">
        <v>99</v>
      </c>
      <c r="P24" s="636">
        <v>32</v>
      </c>
    </row>
    <row r="25" spans="1:17" x14ac:dyDescent="0.2">
      <c r="A25" t="s">
        <v>544</v>
      </c>
      <c r="B25" s="636">
        <v>36</v>
      </c>
      <c r="C25" s="636">
        <v>24</v>
      </c>
      <c r="D25" s="636">
        <v>129.5</v>
      </c>
      <c r="E25" s="636">
        <v>242</v>
      </c>
      <c r="F25" s="636">
        <v>9</v>
      </c>
      <c r="G25" s="636">
        <v>57</v>
      </c>
      <c r="H25" s="636">
        <v>604.5</v>
      </c>
      <c r="I25" s="636">
        <v>244.5</v>
      </c>
      <c r="J25" s="636">
        <v>330</v>
      </c>
      <c r="K25" s="636">
        <v>32</v>
      </c>
      <c r="L25" s="636">
        <v>58</v>
      </c>
      <c r="M25" s="636">
        <v>271</v>
      </c>
      <c r="N25" s="636">
        <v>140</v>
      </c>
      <c r="O25" s="636">
        <v>83.5</v>
      </c>
      <c r="P25" s="636">
        <v>194</v>
      </c>
    </row>
    <row r="26" spans="1:17" x14ac:dyDescent="0.2">
      <c r="A26" t="s">
        <v>545</v>
      </c>
      <c r="B26" s="636">
        <v>53</v>
      </c>
      <c r="C26" s="636">
        <v>13</v>
      </c>
      <c r="D26" s="636">
        <v>162</v>
      </c>
      <c r="E26" s="636">
        <v>129</v>
      </c>
      <c r="F26" s="636">
        <v>18</v>
      </c>
      <c r="G26" s="636">
        <v>77</v>
      </c>
      <c r="H26" s="636">
        <v>525</v>
      </c>
      <c r="I26" s="636">
        <v>242</v>
      </c>
      <c r="J26" s="636">
        <v>298.5</v>
      </c>
      <c r="K26" s="636">
        <v>14</v>
      </c>
      <c r="L26" s="636">
        <v>80</v>
      </c>
      <c r="M26" s="636">
        <v>270</v>
      </c>
      <c r="N26" s="636">
        <v>93</v>
      </c>
      <c r="O26" s="636">
        <v>89</v>
      </c>
      <c r="P26" s="636">
        <v>209</v>
      </c>
    </row>
    <row r="27" spans="1:17" x14ac:dyDescent="0.2">
      <c r="A27" t="s">
        <v>546</v>
      </c>
      <c r="B27" s="636">
        <v>123</v>
      </c>
      <c r="C27" s="636">
        <v>7</v>
      </c>
      <c r="D27" s="636">
        <v>146</v>
      </c>
      <c r="E27" s="636">
        <v>175</v>
      </c>
      <c r="F27" s="636">
        <v>34</v>
      </c>
      <c r="G27" s="636">
        <v>75.5</v>
      </c>
      <c r="H27" s="636">
        <v>524.5</v>
      </c>
      <c r="I27" s="636">
        <v>172</v>
      </c>
      <c r="J27" s="636">
        <v>394.5</v>
      </c>
      <c r="K27" s="636">
        <v>6.5</v>
      </c>
      <c r="L27" s="636">
        <v>128.5</v>
      </c>
      <c r="M27" s="636">
        <v>185.5</v>
      </c>
      <c r="N27" s="636">
        <v>123</v>
      </c>
      <c r="O27" s="636">
        <v>103</v>
      </c>
      <c r="P27" s="636">
        <v>66</v>
      </c>
    </row>
    <row r="28" spans="1:17" x14ac:dyDescent="0.2">
      <c r="A28" t="s">
        <v>547</v>
      </c>
      <c r="B28" s="636">
        <v>33</v>
      </c>
      <c r="C28" s="636">
        <v>14.5</v>
      </c>
      <c r="D28" s="636">
        <v>76</v>
      </c>
      <c r="E28" s="636">
        <v>211</v>
      </c>
      <c r="F28" s="636">
        <v>2</v>
      </c>
      <c r="G28" s="636">
        <v>78.5</v>
      </c>
      <c r="H28" s="636">
        <v>617.5</v>
      </c>
      <c r="I28" s="632">
        <v>249.5</v>
      </c>
      <c r="J28" s="636">
        <v>353.5</v>
      </c>
      <c r="K28" s="636">
        <v>7</v>
      </c>
      <c r="L28" s="636">
        <v>44</v>
      </c>
      <c r="M28" s="636">
        <v>211</v>
      </c>
      <c r="N28" s="636">
        <v>38</v>
      </c>
      <c r="O28" s="636">
        <v>112</v>
      </c>
      <c r="P28" s="636">
        <v>103</v>
      </c>
    </row>
    <row r="29" spans="1:17" x14ac:dyDescent="0.2">
      <c r="A29" t="s">
        <v>548</v>
      </c>
      <c r="B29" s="636">
        <v>20.5</v>
      </c>
      <c r="C29" s="636">
        <v>10</v>
      </c>
      <c r="D29" s="636">
        <v>107</v>
      </c>
      <c r="E29" s="636">
        <v>200</v>
      </c>
      <c r="F29" s="636">
        <v>9</v>
      </c>
      <c r="G29" s="636">
        <v>106</v>
      </c>
      <c r="H29" s="636">
        <v>542.5</v>
      </c>
      <c r="I29" s="631">
        <v>243</v>
      </c>
      <c r="J29" s="636">
        <v>345.5</v>
      </c>
      <c r="K29" s="636">
        <v>26</v>
      </c>
      <c r="L29" s="636">
        <v>84.5</v>
      </c>
      <c r="M29" s="636">
        <v>262</v>
      </c>
      <c r="N29" s="636">
        <v>47</v>
      </c>
      <c r="O29" s="636">
        <v>171</v>
      </c>
      <c r="P29" s="636">
        <v>93</v>
      </c>
    </row>
    <row r="30" spans="1:17" x14ac:dyDescent="0.2">
      <c r="A30" t="s">
        <v>549</v>
      </c>
      <c r="B30" s="636">
        <v>31</v>
      </c>
      <c r="C30" s="636">
        <v>7.5</v>
      </c>
      <c r="D30" s="636">
        <v>71</v>
      </c>
      <c r="E30" s="636">
        <v>163</v>
      </c>
      <c r="F30" s="636">
        <v>14</v>
      </c>
      <c r="G30" s="636">
        <v>76.5</v>
      </c>
      <c r="H30" s="636">
        <v>591.5</v>
      </c>
      <c r="I30" s="636">
        <v>207.5</v>
      </c>
      <c r="J30" s="636">
        <v>377</v>
      </c>
      <c r="K30" s="636">
        <v>0.5</v>
      </c>
      <c r="L30" s="636">
        <v>114</v>
      </c>
      <c r="M30" s="636">
        <v>188</v>
      </c>
      <c r="N30" s="636">
        <v>61.5</v>
      </c>
      <c r="O30" s="636">
        <v>55.5</v>
      </c>
      <c r="P30" s="636">
        <v>163</v>
      </c>
    </row>
    <row r="31" spans="1:17" x14ac:dyDescent="0.2">
      <c r="A31" t="s">
        <v>556</v>
      </c>
      <c r="B31" s="636">
        <v>16</v>
      </c>
      <c r="C31" s="636">
        <v>2</v>
      </c>
      <c r="D31" s="636">
        <v>120.5</v>
      </c>
      <c r="E31" s="636">
        <v>220</v>
      </c>
      <c r="F31" s="636">
        <v>24</v>
      </c>
      <c r="G31" s="636">
        <v>110.5</v>
      </c>
      <c r="H31" s="636">
        <v>578.5</v>
      </c>
      <c r="I31" s="636">
        <v>209.5</v>
      </c>
      <c r="J31" s="636">
        <v>448.5</v>
      </c>
      <c r="K31" s="636">
        <v>13.5</v>
      </c>
      <c r="L31" s="636">
        <v>89</v>
      </c>
      <c r="M31" s="636">
        <v>224.5</v>
      </c>
      <c r="N31" s="636">
        <v>77</v>
      </c>
      <c r="O31" s="636">
        <v>62.5</v>
      </c>
      <c r="P31" s="636">
        <v>59</v>
      </c>
    </row>
    <row r="32" spans="1:17" x14ac:dyDescent="0.2">
      <c r="A32" t="s">
        <v>557</v>
      </c>
      <c r="B32" s="636">
        <v>48</v>
      </c>
      <c r="C32" s="636">
        <v>22.5</v>
      </c>
      <c r="D32" s="636">
        <v>87</v>
      </c>
      <c r="E32" s="636">
        <v>186</v>
      </c>
      <c r="F32" s="636">
        <v>8</v>
      </c>
      <c r="G32" s="636">
        <v>107.5</v>
      </c>
      <c r="H32" s="636">
        <v>571</v>
      </c>
      <c r="I32" s="636">
        <v>234.5</v>
      </c>
      <c r="J32" s="636">
        <v>363.5</v>
      </c>
      <c r="K32" s="636">
        <v>37</v>
      </c>
      <c r="L32" s="636">
        <v>134</v>
      </c>
      <c r="M32" s="636">
        <v>156.6</v>
      </c>
      <c r="N32" s="636">
        <v>65</v>
      </c>
      <c r="O32" s="636">
        <v>130</v>
      </c>
      <c r="P32" s="636">
        <v>90</v>
      </c>
    </row>
    <row r="33" spans="1:17" x14ac:dyDescent="0.2">
      <c r="A33" t="s">
        <v>558</v>
      </c>
      <c r="B33" s="636">
        <v>43</v>
      </c>
      <c r="C33" s="636">
        <v>4.5</v>
      </c>
      <c r="D33" s="636">
        <v>45</v>
      </c>
      <c r="E33" s="636">
        <v>193</v>
      </c>
      <c r="F33" s="636">
        <v>36</v>
      </c>
      <c r="G33" s="636">
        <v>101</v>
      </c>
      <c r="H33" s="636">
        <v>540</v>
      </c>
      <c r="I33" s="636">
        <v>296</v>
      </c>
      <c r="J33" s="636">
        <v>309</v>
      </c>
      <c r="K33" s="636">
        <v>3.5</v>
      </c>
      <c r="L33" s="636">
        <v>112.5</v>
      </c>
      <c r="M33" s="636">
        <v>111.5</v>
      </c>
      <c r="N33" s="636">
        <v>43</v>
      </c>
      <c r="O33" s="636">
        <v>155</v>
      </c>
      <c r="P33" s="636">
        <v>173</v>
      </c>
    </row>
    <row r="34" spans="1:17" x14ac:dyDescent="0.2">
      <c r="A34" t="s">
        <v>445</v>
      </c>
      <c r="B34" s="636">
        <v>32</v>
      </c>
      <c r="C34" s="636">
        <v>31.5</v>
      </c>
      <c r="D34" s="636">
        <v>114</v>
      </c>
      <c r="E34" s="636">
        <v>164</v>
      </c>
      <c r="F34" s="636">
        <v>24</v>
      </c>
      <c r="G34" s="636">
        <v>114.5</v>
      </c>
      <c r="H34" s="636">
        <v>430</v>
      </c>
      <c r="I34" s="636">
        <v>289.5</v>
      </c>
      <c r="J34" s="636">
        <v>358</v>
      </c>
      <c r="K34" s="636">
        <v>11.5</v>
      </c>
      <c r="L34" s="636">
        <v>115.5</v>
      </c>
      <c r="M34" s="636">
        <v>168.5</v>
      </c>
      <c r="N34" s="636">
        <v>87</v>
      </c>
      <c r="O34" s="636">
        <v>68</v>
      </c>
      <c r="P34" s="636">
        <v>139</v>
      </c>
      <c r="Q34" s="531" t="s">
        <v>27</v>
      </c>
    </row>
    <row r="35" spans="1:17" x14ac:dyDescent="0.2">
      <c r="B35" s="611">
        <f t="shared" ref="B35:P35" si="1">SUM(B23:B34)</f>
        <v>573.5</v>
      </c>
      <c r="C35" s="611">
        <f t="shared" si="1"/>
        <v>201.5</v>
      </c>
      <c r="D35" s="611">
        <f t="shared" si="1"/>
        <v>1318.5</v>
      </c>
      <c r="E35" s="611">
        <f t="shared" si="1"/>
        <v>2216</v>
      </c>
      <c r="F35" s="611">
        <f t="shared" si="1"/>
        <v>238</v>
      </c>
      <c r="G35" s="611">
        <f t="shared" si="1"/>
        <v>1058</v>
      </c>
      <c r="H35" s="611">
        <f t="shared" si="1"/>
        <v>6485</v>
      </c>
      <c r="I35" s="611">
        <f t="shared" si="1"/>
        <v>2906</v>
      </c>
      <c r="J35" s="611">
        <f t="shared" si="1"/>
        <v>4400.5</v>
      </c>
      <c r="K35" s="611">
        <f t="shared" si="1"/>
        <v>252</v>
      </c>
      <c r="L35" s="611">
        <f t="shared" si="1"/>
        <v>1223</v>
      </c>
      <c r="M35" s="611">
        <f t="shared" si="1"/>
        <v>2402.1</v>
      </c>
      <c r="N35" s="611">
        <f t="shared" si="1"/>
        <v>976.5</v>
      </c>
      <c r="O35" s="611">
        <f t="shared" si="1"/>
        <v>1266</v>
      </c>
      <c r="P35" s="611">
        <f t="shared" si="1"/>
        <v>1420</v>
      </c>
      <c r="Q35" s="531" t="s">
        <v>559</v>
      </c>
    </row>
    <row r="36" spans="1:17" x14ac:dyDescent="0.2">
      <c r="Q36" s="630">
        <f>SUM(B35:P35)</f>
        <v>26936.6</v>
      </c>
    </row>
    <row r="37" spans="1:17" x14ac:dyDescent="0.2">
      <c r="A37" s="531" t="s">
        <v>560</v>
      </c>
      <c r="B37">
        <f>Q36/365</f>
        <v>73.798904109589031</v>
      </c>
    </row>
    <row r="38" spans="1:17" ht="15.75" x14ac:dyDescent="0.25">
      <c r="A38" s="199" t="s">
        <v>508</v>
      </c>
      <c r="H38" s="656">
        <v>70</v>
      </c>
    </row>
    <row r="41" spans="1:17" s="676" customFormat="1" x14ac:dyDescent="0.2">
      <c r="A41" s="613" t="s">
        <v>610</v>
      </c>
    </row>
    <row r="42" spans="1:17" x14ac:dyDescent="0.2">
      <c r="A42" s="531"/>
    </row>
    <row r="43" spans="1:17" x14ac:dyDescent="0.2">
      <c r="A43" s="639" t="s">
        <v>555</v>
      </c>
      <c r="B43" s="633">
        <v>15</v>
      </c>
      <c r="C43" s="633">
        <v>7</v>
      </c>
      <c r="D43" s="633">
        <v>15</v>
      </c>
      <c r="E43" s="633">
        <v>20</v>
      </c>
      <c r="F43" s="633">
        <v>14</v>
      </c>
      <c r="G43" s="633">
        <v>10</v>
      </c>
      <c r="H43" s="633">
        <v>30</v>
      </c>
      <c r="I43" s="633">
        <v>30</v>
      </c>
      <c r="J43" s="633">
        <v>30</v>
      </c>
      <c r="K43" s="633">
        <v>15</v>
      </c>
      <c r="L43" s="633">
        <v>30</v>
      </c>
      <c r="M43" s="633">
        <v>10</v>
      </c>
      <c r="N43" s="633">
        <v>30</v>
      </c>
      <c r="O43" s="633">
        <v>10</v>
      </c>
      <c r="P43" s="633">
        <v>30</v>
      </c>
      <c r="Q43" s="639"/>
    </row>
    <row r="44" spans="1:17" x14ac:dyDescent="0.2">
      <c r="A44" s="638"/>
      <c r="B44" s="637" t="s">
        <v>527</v>
      </c>
      <c r="C44" s="637" t="s">
        <v>528</v>
      </c>
      <c r="D44" s="637" t="s">
        <v>529</v>
      </c>
      <c r="E44" s="637" t="s">
        <v>530</v>
      </c>
      <c r="F44" s="637" t="s">
        <v>531</v>
      </c>
      <c r="G44" s="637" t="s">
        <v>532</v>
      </c>
      <c r="H44" s="637" t="s">
        <v>533</v>
      </c>
      <c r="I44" s="637" t="s">
        <v>534</v>
      </c>
      <c r="J44" s="637" t="s">
        <v>535</v>
      </c>
      <c r="K44" s="637" t="s">
        <v>536</v>
      </c>
      <c r="L44" s="637" t="s">
        <v>537</v>
      </c>
      <c r="M44" s="637" t="s">
        <v>538</v>
      </c>
      <c r="N44" s="637" t="s">
        <v>539</v>
      </c>
      <c r="O44" s="637" t="s">
        <v>540</v>
      </c>
      <c r="P44" s="637" t="s">
        <v>541</v>
      </c>
      <c r="Q44" s="638"/>
    </row>
    <row r="45" spans="1:17" ht="15" x14ac:dyDescent="0.25">
      <c r="A45" t="s">
        <v>542</v>
      </c>
      <c r="B45" s="636">
        <v>73</v>
      </c>
      <c r="C45" s="636">
        <v>30</v>
      </c>
      <c r="D45" s="636">
        <v>98</v>
      </c>
      <c r="E45" s="636">
        <v>237</v>
      </c>
      <c r="F45" s="636">
        <v>1</v>
      </c>
      <c r="G45" s="636">
        <v>92</v>
      </c>
      <c r="H45" s="636">
        <v>623</v>
      </c>
      <c r="I45" s="636">
        <v>319</v>
      </c>
      <c r="J45" s="636">
        <v>370</v>
      </c>
      <c r="K45" s="722">
        <v>101</v>
      </c>
      <c r="L45" s="636">
        <v>140.5</v>
      </c>
      <c r="M45" s="636">
        <v>213.5</v>
      </c>
      <c r="N45" s="636">
        <v>135</v>
      </c>
      <c r="O45" s="636">
        <v>155.5</v>
      </c>
      <c r="P45" s="636">
        <v>31</v>
      </c>
    </row>
    <row r="46" spans="1:17" ht="15" x14ac:dyDescent="0.25">
      <c r="A46" t="s">
        <v>543</v>
      </c>
      <c r="B46" s="636">
        <v>50.5</v>
      </c>
      <c r="C46" s="636">
        <v>11.5</v>
      </c>
      <c r="D46" s="636">
        <v>99.5</v>
      </c>
      <c r="E46" s="636">
        <v>162</v>
      </c>
      <c r="F46" s="636">
        <v>7</v>
      </c>
      <c r="G46" s="636">
        <v>120</v>
      </c>
      <c r="H46" s="636">
        <v>685.5</v>
      </c>
      <c r="I46" s="636">
        <v>337</v>
      </c>
      <c r="J46" s="636">
        <v>402</v>
      </c>
      <c r="K46" s="722">
        <v>32.5</v>
      </c>
      <c r="L46" s="636">
        <v>69</v>
      </c>
      <c r="M46" s="636">
        <v>173</v>
      </c>
      <c r="N46" s="636">
        <v>66</v>
      </c>
      <c r="O46" s="636">
        <v>96</v>
      </c>
      <c r="P46" s="636">
        <v>91</v>
      </c>
    </row>
    <row r="47" spans="1:17" ht="15" x14ac:dyDescent="0.25">
      <c r="A47" t="s">
        <v>544</v>
      </c>
      <c r="B47" s="636">
        <v>50</v>
      </c>
      <c r="C47" s="636">
        <v>13.5</v>
      </c>
      <c r="D47" s="636">
        <v>165</v>
      </c>
      <c r="E47" s="636">
        <v>158</v>
      </c>
      <c r="F47" s="636">
        <v>20</v>
      </c>
      <c r="G47" s="636">
        <v>112.5</v>
      </c>
      <c r="H47" s="636">
        <v>684.5</v>
      </c>
      <c r="I47" s="636">
        <v>333</v>
      </c>
      <c r="J47" s="636">
        <v>418.5</v>
      </c>
      <c r="K47" s="722">
        <v>86.5</v>
      </c>
      <c r="L47" s="636">
        <v>117.5</v>
      </c>
      <c r="M47" s="636">
        <v>191.5</v>
      </c>
      <c r="N47" s="636">
        <v>80</v>
      </c>
      <c r="O47" s="636">
        <v>96</v>
      </c>
      <c r="P47" s="636">
        <v>119</v>
      </c>
    </row>
    <row r="48" spans="1:17" ht="15" x14ac:dyDescent="0.25">
      <c r="A48" t="s">
        <v>545</v>
      </c>
      <c r="B48" s="636">
        <v>55.5</v>
      </c>
      <c r="C48" s="636">
        <v>9.5</v>
      </c>
      <c r="D48" s="636">
        <v>140.5</v>
      </c>
      <c r="E48" s="636">
        <v>255</v>
      </c>
      <c r="F48" s="636">
        <v>2</v>
      </c>
      <c r="G48" s="636">
        <v>123.5</v>
      </c>
      <c r="H48" s="636">
        <v>696.5</v>
      </c>
      <c r="I48" s="636">
        <v>316</v>
      </c>
      <c r="J48" s="636">
        <v>361</v>
      </c>
      <c r="K48" s="722">
        <v>27.5</v>
      </c>
      <c r="L48" s="636">
        <v>96</v>
      </c>
      <c r="M48" s="636">
        <v>276.5</v>
      </c>
      <c r="N48" s="636">
        <v>154</v>
      </c>
      <c r="O48" s="636">
        <v>112</v>
      </c>
      <c r="P48" s="636">
        <v>141</v>
      </c>
    </row>
    <row r="49" spans="1:17" ht="15" x14ac:dyDescent="0.25">
      <c r="A49" t="s">
        <v>546</v>
      </c>
      <c r="B49" s="636">
        <v>30</v>
      </c>
      <c r="C49" s="636">
        <v>15</v>
      </c>
      <c r="D49" s="636">
        <v>101</v>
      </c>
      <c r="E49" s="636">
        <v>161</v>
      </c>
      <c r="F49" s="636">
        <v>41</v>
      </c>
      <c r="G49" s="636">
        <v>100.5</v>
      </c>
      <c r="H49" s="636">
        <v>542</v>
      </c>
      <c r="I49" s="636">
        <v>250.5</v>
      </c>
      <c r="J49" s="636">
        <v>292.5</v>
      </c>
      <c r="K49" s="722">
        <v>51.5</v>
      </c>
      <c r="L49" s="636">
        <v>112.5</v>
      </c>
      <c r="M49" s="636">
        <v>198.5</v>
      </c>
      <c r="N49" s="636">
        <v>52</v>
      </c>
      <c r="O49" s="636">
        <v>134.5</v>
      </c>
      <c r="P49" s="636">
        <v>127</v>
      </c>
    </row>
    <row r="50" spans="1:17" ht="15" x14ac:dyDescent="0.25">
      <c r="A50" t="s">
        <v>547</v>
      </c>
      <c r="B50" s="636">
        <v>44</v>
      </c>
      <c r="C50" s="636">
        <v>3.5</v>
      </c>
      <c r="D50" s="636">
        <v>153</v>
      </c>
      <c r="E50" s="636">
        <v>192</v>
      </c>
      <c r="F50" s="636">
        <v>29</v>
      </c>
      <c r="G50" s="636">
        <v>52.5</v>
      </c>
      <c r="H50" s="636">
        <v>574</v>
      </c>
      <c r="I50" s="632">
        <v>267</v>
      </c>
      <c r="J50" s="636">
        <v>281.5</v>
      </c>
      <c r="K50" s="722">
        <v>36</v>
      </c>
      <c r="L50" s="636">
        <v>102.5</v>
      </c>
      <c r="M50" s="636">
        <v>163</v>
      </c>
      <c r="N50" s="636">
        <v>77.5</v>
      </c>
      <c r="O50" s="636">
        <v>47</v>
      </c>
      <c r="P50" s="636">
        <v>60</v>
      </c>
    </row>
    <row r="51" spans="1:17" ht="15" x14ac:dyDescent="0.25">
      <c r="A51" t="s">
        <v>548</v>
      </c>
      <c r="B51" s="636">
        <v>24</v>
      </c>
      <c r="C51" s="636">
        <v>17</v>
      </c>
      <c r="D51" s="636">
        <v>148.5</v>
      </c>
      <c r="E51" s="636">
        <v>145</v>
      </c>
      <c r="F51" s="636">
        <v>3</v>
      </c>
      <c r="G51" s="636">
        <v>103</v>
      </c>
      <c r="H51" s="636">
        <v>686.5</v>
      </c>
      <c r="I51" s="631">
        <v>340.5</v>
      </c>
      <c r="J51" s="636">
        <v>325.5</v>
      </c>
      <c r="K51" s="722">
        <v>40</v>
      </c>
      <c r="L51" s="636">
        <v>116.5</v>
      </c>
      <c r="M51" s="636">
        <v>221</v>
      </c>
      <c r="N51" s="636">
        <v>160</v>
      </c>
      <c r="O51" s="636">
        <v>157.5</v>
      </c>
      <c r="P51" s="636">
        <v>57</v>
      </c>
    </row>
    <row r="52" spans="1:17" ht="15" x14ac:dyDescent="0.25">
      <c r="A52" t="s">
        <v>549</v>
      </c>
      <c r="B52" s="636">
        <v>14</v>
      </c>
      <c r="C52" s="636">
        <v>2</v>
      </c>
      <c r="D52" s="636">
        <v>153</v>
      </c>
      <c r="E52" s="636">
        <v>118</v>
      </c>
      <c r="F52" s="636">
        <v>2</v>
      </c>
      <c r="G52" s="636">
        <v>93.5</v>
      </c>
      <c r="H52" s="636">
        <v>685.5</v>
      </c>
      <c r="I52" s="636">
        <v>275.5</v>
      </c>
      <c r="J52" s="636">
        <v>320.5</v>
      </c>
      <c r="K52" s="722">
        <v>52</v>
      </c>
      <c r="L52" s="636">
        <v>83</v>
      </c>
      <c r="M52" s="636">
        <v>172</v>
      </c>
      <c r="N52" s="636">
        <v>84</v>
      </c>
      <c r="O52" s="636">
        <v>129</v>
      </c>
      <c r="P52" s="636">
        <v>29</v>
      </c>
    </row>
    <row r="53" spans="1:17" ht="15" x14ac:dyDescent="0.25">
      <c r="A53" t="s">
        <v>556</v>
      </c>
      <c r="B53" s="636">
        <v>30</v>
      </c>
      <c r="C53" s="636">
        <v>17</v>
      </c>
      <c r="D53" s="636">
        <v>198</v>
      </c>
      <c r="E53" s="636">
        <v>238</v>
      </c>
      <c r="F53" s="636">
        <v>1</v>
      </c>
      <c r="G53" s="636">
        <v>50.5</v>
      </c>
      <c r="H53" s="636">
        <v>667</v>
      </c>
      <c r="I53" s="636">
        <v>317.5</v>
      </c>
      <c r="J53" s="636">
        <v>394</v>
      </c>
      <c r="K53" s="722">
        <v>34</v>
      </c>
      <c r="L53" s="636">
        <v>10.5</v>
      </c>
      <c r="M53" s="636">
        <v>194.5</v>
      </c>
      <c r="N53" s="636">
        <v>141.5</v>
      </c>
      <c r="O53" s="636">
        <v>117.5</v>
      </c>
      <c r="P53" s="636">
        <v>145</v>
      </c>
    </row>
    <row r="54" spans="1:17" ht="15" x14ac:dyDescent="0.25">
      <c r="A54" t="s">
        <v>557</v>
      </c>
      <c r="B54" s="636">
        <v>34</v>
      </c>
      <c r="C54" s="636">
        <v>8.5</v>
      </c>
      <c r="D54" s="636">
        <v>123.5</v>
      </c>
      <c r="E54" s="636">
        <v>231</v>
      </c>
      <c r="F54" s="636">
        <v>17</v>
      </c>
      <c r="G54" s="636">
        <v>95.5</v>
      </c>
      <c r="H54" s="636">
        <v>741</v>
      </c>
      <c r="I54" s="636">
        <v>334.5</v>
      </c>
      <c r="J54" s="636">
        <v>247.5</v>
      </c>
      <c r="K54" s="722">
        <v>57.5</v>
      </c>
      <c r="L54" s="636">
        <v>87.5</v>
      </c>
      <c r="M54" s="636">
        <v>215</v>
      </c>
      <c r="N54" s="636">
        <v>147</v>
      </c>
      <c r="O54" s="636">
        <v>61</v>
      </c>
      <c r="P54" s="636">
        <v>92</v>
      </c>
    </row>
    <row r="55" spans="1:17" ht="15" x14ac:dyDescent="0.25">
      <c r="A55" t="s">
        <v>558</v>
      </c>
      <c r="B55" s="636">
        <v>27.5</v>
      </c>
      <c r="C55" s="636">
        <v>6.5</v>
      </c>
      <c r="D55" s="636">
        <v>159</v>
      </c>
      <c r="E55" s="636">
        <v>154</v>
      </c>
      <c r="F55" s="636">
        <v>14</v>
      </c>
      <c r="G55" s="636">
        <v>85.5</v>
      </c>
      <c r="H55" s="636">
        <v>826</v>
      </c>
      <c r="I55" s="636">
        <v>297</v>
      </c>
      <c r="J55" s="636">
        <v>369</v>
      </c>
      <c r="K55" s="722">
        <v>30.5</v>
      </c>
      <c r="L55" s="636">
        <v>94</v>
      </c>
      <c r="M55" s="636">
        <v>94.5</v>
      </c>
      <c r="N55" s="636">
        <v>139.5</v>
      </c>
      <c r="O55" s="636">
        <v>58</v>
      </c>
      <c r="P55" s="636">
        <v>46</v>
      </c>
    </row>
    <row r="56" spans="1:17" ht="15" x14ac:dyDescent="0.25">
      <c r="A56" t="s">
        <v>445</v>
      </c>
      <c r="B56" s="636">
        <v>56</v>
      </c>
      <c r="C56" s="636">
        <v>20.5</v>
      </c>
      <c r="D56" s="636">
        <v>130</v>
      </c>
      <c r="E56" s="636">
        <v>214</v>
      </c>
      <c r="F56" s="636">
        <v>5</v>
      </c>
      <c r="G56" s="636">
        <v>65.5</v>
      </c>
      <c r="H56" s="636">
        <v>678.5</v>
      </c>
      <c r="I56" s="636">
        <v>276</v>
      </c>
      <c r="J56" s="636">
        <v>365</v>
      </c>
      <c r="K56" s="722">
        <v>32</v>
      </c>
      <c r="L56" s="636">
        <v>89.5</v>
      </c>
      <c r="M56" s="636">
        <v>103</v>
      </c>
      <c r="N56" s="636">
        <v>90.5</v>
      </c>
      <c r="O56" s="636">
        <v>43</v>
      </c>
      <c r="P56" s="636">
        <v>71</v>
      </c>
      <c r="Q56" s="531" t="s">
        <v>27</v>
      </c>
    </row>
    <row r="57" spans="1:17" x14ac:dyDescent="0.2">
      <c r="B57" s="611">
        <f>SUM(B45:B56)</f>
        <v>488.5</v>
      </c>
      <c r="C57" s="611">
        <f t="shared" ref="C57:P57" si="2">SUM(C45:C56)</f>
        <v>154.5</v>
      </c>
      <c r="D57" s="611">
        <f t="shared" si="2"/>
        <v>1669</v>
      </c>
      <c r="E57" s="611">
        <f t="shared" si="2"/>
        <v>2265</v>
      </c>
      <c r="F57" s="611">
        <f t="shared" si="2"/>
        <v>142</v>
      </c>
      <c r="G57" s="611">
        <f t="shared" si="2"/>
        <v>1094.5</v>
      </c>
      <c r="H57" s="611">
        <f t="shared" si="2"/>
        <v>8090</v>
      </c>
      <c r="I57" s="611">
        <f t="shared" si="2"/>
        <v>3663.5</v>
      </c>
      <c r="J57" s="611">
        <f t="shared" si="2"/>
        <v>4147</v>
      </c>
      <c r="K57" s="611">
        <f t="shared" si="2"/>
        <v>581</v>
      </c>
      <c r="L57" s="611">
        <f t="shared" si="2"/>
        <v>1119</v>
      </c>
      <c r="M57" s="611">
        <f t="shared" si="2"/>
        <v>2216</v>
      </c>
      <c r="N57" s="611">
        <f t="shared" si="2"/>
        <v>1327</v>
      </c>
      <c r="O57" s="611">
        <f t="shared" si="2"/>
        <v>1207</v>
      </c>
      <c r="P57" s="611">
        <f t="shared" si="2"/>
        <v>1009</v>
      </c>
      <c r="Q57" s="531" t="s">
        <v>559</v>
      </c>
    </row>
    <row r="58" spans="1:17" x14ac:dyDescent="0.2">
      <c r="A58" s="754">
        <f>SUM(B58:P58)</f>
        <v>79.926027397260285</v>
      </c>
      <c r="B58" s="754">
        <f>B57/365</f>
        <v>1.3383561643835618</v>
      </c>
      <c r="C58" s="754">
        <f t="shared" ref="C58:O58" si="3">C57/365</f>
        <v>0.42328767123287669</v>
      </c>
      <c r="D58" s="754">
        <f t="shared" si="3"/>
        <v>4.5726027397260278</v>
      </c>
      <c r="E58" s="754">
        <f t="shared" si="3"/>
        <v>6.2054794520547949</v>
      </c>
      <c r="F58" s="754">
        <f t="shared" si="3"/>
        <v>0.38904109589041097</v>
      </c>
      <c r="G58" s="754">
        <f t="shared" si="3"/>
        <v>2.9986301369863013</v>
      </c>
      <c r="H58" s="754">
        <f t="shared" si="3"/>
        <v>22.164383561643834</v>
      </c>
      <c r="I58" s="754">
        <f t="shared" si="3"/>
        <v>10.036986301369863</v>
      </c>
      <c r="J58" s="754">
        <f t="shared" si="3"/>
        <v>11.361643835616439</v>
      </c>
      <c r="K58" s="754">
        <f t="shared" si="3"/>
        <v>1.5917808219178082</v>
      </c>
      <c r="L58" s="754">
        <f t="shared" si="3"/>
        <v>3.0657534246575344</v>
      </c>
      <c r="M58" s="754">
        <f t="shared" si="3"/>
        <v>6.0712328767123287</v>
      </c>
      <c r="N58" s="754">
        <f t="shared" si="3"/>
        <v>3.6356164383561644</v>
      </c>
      <c r="O58" s="754">
        <f t="shared" si="3"/>
        <v>3.3068493150684932</v>
      </c>
      <c r="P58" s="754">
        <f>P57/365</f>
        <v>2.7643835616438355</v>
      </c>
      <c r="Q58" s="630">
        <f>SUM(B57:P57)</f>
        <v>29173</v>
      </c>
    </row>
    <row r="59" spans="1:17" x14ac:dyDescent="0.2">
      <c r="Q59" s="630"/>
    </row>
    <row r="60" spans="1:17" x14ac:dyDescent="0.2">
      <c r="A60" s="613" t="s">
        <v>589</v>
      </c>
      <c r="B60">
        <f>Q58/365</f>
        <v>79.92602739726027</v>
      </c>
    </row>
    <row r="61" spans="1:17" ht="15.75" x14ac:dyDescent="0.25">
      <c r="A61" s="199" t="s">
        <v>590</v>
      </c>
      <c r="H61" s="723">
        <v>80</v>
      </c>
    </row>
    <row r="62" spans="1:17" x14ac:dyDescent="0.2">
      <c r="A62" s="812"/>
      <c r="B62" s="812"/>
      <c r="C62" s="812"/>
      <c r="D62" s="812"/>
      <c r="E62" s="812"/>
      <c r="F62" s="812"/>
      <c r="G62" s="812"/>
      <c r="H62" s="812"/>
      <c r="I62" s="812"/>
      <c r="J62" s="812"/>
      <c r="K62" s="812"/>
      <c r="L62" s="812"/>
      <c r="M62" s="812"/>
      <c r="N62" s="812"/>
      <c r="O62" s="812"/>
      <c r="P62" s="812"/>
      <c r="Q62" s="812"/>
    </row>
    <row r="63" spans="1:17" x14ac:dyDescent="0.2">
      <c r="A63" s="531" t="s">
        <v>654</v>
      </c>
    </row>
    <row r="64" spans="1:17" ht="4.9000000000000004" customHeight="1" x14ac:dyDescent="0.2">
      <c r="A64" s="531"/>
    </row>
    <row r="65" spans="1:17" s="639" customFormat="1" x14ac:dyDescent="0.2">
      <c r="A65" s="639" t="s">
        <v>555</v>
      </c>
      <c r="B65" s="633">
        <v>15</v>
      </c>
      <c r="C65" s="633">
        <v>7</v>
      </c>
      <c r="D65" s="633">
        <v>15</v>
      </c>
      <c r="E65" s="633">
        <v>20</v>
      </c>
      <c r="F65" s="633">
        <v>14</v>
      </c>
      <c r="G65" s="633">
        <v>10</v>
      </c>
      <c r="H65" s="633">
        <v>30</v>
      </c>
      <c r="I65" s="633">
        <v>30</v>
      </c>
      <c r="J65" s="633">
        <v>30</v>
      </c>
      <c r="K65" s="633">
        <v>15</v>
      </c>
      <c r="L65" s="633">
        <v>30</v>
      </c>
      <c r="M65" s="633">
        <v>10</v>
      </c>
      <c r="N65" s="633">
        <v>30</v>
      </c>
      <c r="O65" s="633">
        <v>10</v>
      </c>
      <c r="P65" s="633">
        <v>30</v>
      </c>
    </row>
    <row r="66" spans="1:17" s="638" customFormat="1" x14ac:dyDescent="0.2">
      <c r="B66" s="637" t="s">
        <v>527</v>
      </c>
      <c r="C66" s="637" t="s">
        <v>528</v>
      </c>
      <c r="D66" s="637" t="s">
        <v>529</v>
      </c>
      <c r="E66" s="637" t="s">
        <v>530</v>
      </c>
      <c r="F66" s="637" t="s">
        <v>531</v>
      </c>
      <c r="G66" s="637" t="s">
        <v>532</v>
      </c>
      <c r="H66" s="637" t="s">
        <v>533</v>
      </c>
      <c r="I66" s="637" t="s">
        <v>534</v>
      </c>
      <c r="J66" s="637" t="s">
        <v>535</v>
      </c>
      <c r="K66" s="637" t="s">
        <v>536</v>
      </c>
      <c r="L66" s="637" t="s">
        <v>537</v>
      </c>
      <c r="M66" s="637" t="s">
        <v>538</v>
      </c>
      <c r="N66" s="637" t="s">
        <v>539</v>
      </c>
      <c r="O66" s="637" t="s">
        <v>540</v>
      </c>
      <c r="P66" s="637" t="s">
        <v>541</v>
      </c>
    </row>
    <row r="67" spans="1:17" x14ac:dyDescent="0.2">
      <c r="A67" t="s">
        <v>542</v>
      </c>
      <c r="B67" s="636">
        <v>77</v>
      </c>
      <c r="C67" s="636">
        <v>50.5</v>
      </c>
      <c r="D67" s="636">
        <v>129</v>
      </c>
      <c r="E67" s="636">
        <v>274</v>
      </c>
      <c r="F67" s="636">
        <v>14</v>
      </c>
      <c r="G67" s="636">
        <v>87.5</v>
      </c>
      <c r="H67" s="636">
        <v>773.5</v>
      </c>
      <c r="I67" s="636">
        <v>309</v>
      </c>
      <c r="J67" s="636">
        <v>452.5</v>
      </c>
      <c r="K67" s="636">
        <v>91</v>
      </c>
      <c r="L67" s="636">
        <v>104.5</v>
      </c>
      <c r="M67" s="636">
        <v>151</v>
      </c>
      <c r="N67" s="636">
        <v>38</v>
      </c>
      <c r="O67" s="636">
        <v>118</v>
      </c>
      <c r="P67" s="636">
        <v>114</v>
      </c>
    </row>
    <row r="68" spans="1:17" x14ac:dyDescent="0.2">
      <c r="A68" t="s">
        <v>543</v>
      </c>
      <c r="B68" s="636">
        <v>50</v>
      </c>
      <c r="C68" s="636">
        <v>65</v>
      </c>
      <c r="D68" s="636">
        <v>160.5</v>
      </c>
      <c r="E68" s="636">
        <v>270</v>
      </c>
      <c r="F68" s="636">
        <v>24</v>
      </c>
      <c r="G68" s="636">
        <v>96</v>
      </c>
      <c r="H68" s="636">
        <v>913</v>
      </c>
      <c r="I68" s="636">
        <v>305</v>
      </c>
      <c r="J68" s="636">
        <v>405.5</v>
      </c>
      <c r="K68" s="636">
        <v>29.5</v>
      </c>
      <c r="L68" s="636">
        <v>104</v>
      </c>
      <c r="M68" s="636">
        <v>223</v>
      </c>
      <c r="N68" s="636">
        <v>82</v>
      </c>
      <c r="O68" s="636">
        <v>120</v>
      </c>
      <c r="P68" s="636">
        <v>106</v>
      </c>
    </row>
    <row r="69" spans="1:17" x14ac:dyDescent="0.2">
      <c r="A69" t="s">
        <v>544</v>
      </c>
      <c r="B69" s="636">
        <v>36</v>
      </c>
      <c r="C69" s="636">
        <v>37</v>
      </c>
      <c r="D69" s="636">
        <v>203.5</v>
      </c>
      <c r="E69" s="636">
        <v>230</v>
      </c>
      <c r="F69" s="636">
        <v>42</v>
      </c>
      <c r="G69" s="636">
        <v>105.5</v>
      </c>
      <c r="H69" s="636">
        <v>817</v>
      </c>
      <c r="I69" s="636">
        <v>148.5</v>
      </c>
      <c r="J69" s="636">
        <v>361</v>
      </c>
      <c r="K69" s="636">
        <v>83</v>
      </c>
      <c r="L69" s="636">
        <v>103.5</v>
      </c>
      <c r="M69" s="636">
        <v>255</v>
      </c>
      <c r="N69" s="636">
        <v>74</v>
      </c>
      <c r="O69" s="636">
        <v>88</v>
      </c>
      <c r="P69" s="636">
        <v>120</v>
      </c>
    </row>
    <row r="70" spans="1:17" x14ac:dyDescent="0.2">
      <c r="A70" t="s">
        <v>545</v>
      </c>
      <c r="B70" s="636">
        <v>37</v>
      </c>
      <c r="C70" s="636">
        <v>51.5</v>
      </c>
      <c r="D70" s="636">
        <v>205.5</v>
      </c>
      <c r="E70" s="636">
        <v>263</v>
      </c>
      <c r="F70" s="636">
        <v>6</v>
      </c>
      <c r="G70" s="636">
        <v>56</v>
      </c>
      <c r="H70" s="636">
        <v>764.5</v>
      </c>
      <c r="I70" s="636">
        <v>290.5</v>
      </c>
      <c r="J70" s="636">
        <v>376</v>
      </c>
      <c r="K70" s="636">
        <v>25.5</v>
      </c>
      <c r="L70" s="636">
        <v>247.5</v>
      </c>
      <c r="M70" s="636">
        <v>247.5</v>
      </c>
      <c r="N70" s="636">
        <v>59</v>
      </c>
      <c r="O70" s="636">
        <v>65</v>
      </c>
      <c r="P70" s="636">
        <v>101</v>
      </c>
    </row>
    <row r="71" spans="1:17" x14ac:dyDescent="0.2">
      <c r="A71" t="s">
        <v>546</v>
      </c>
      <c r="B71" s="636">
        <v>15</v>
      </c>
      <c r="C71" s="636">
        <v>20.5</v>
      </c>
      <c r="D71" s="636">
        <v>135.5</v>
      </c>
      <c r="E71" s="636">
        <v>143</v>
      </c>
      <c r="F71" s="636">
        <v>6</v>
      </c>
      <c r="G71" s="636">
        <v>73.5</v>
      </c>
      <c r="H71" s="636">
        <v>792.5</v>
      </c>
      <c r="I71" s="636">
        <v>275</v>
      </c>
      <c r="J71" s="636">
        <v>224.5</v>
      </c>
      <c r="K71" s="636">
        <v>36</v>
      </c>
      <c r="L71" s="636">
        <v>120</v>
      </c>
      <c r="M71" s="636">
        <v>185.5</v>
      </c>
      <c r="N71" s="636">
        <v>103</v>
      </c>
      <c r="O71" s="636">
        <v>116.5</v>
      </c>
      <c r="P71" s="636">
        <v>55</v>
      </c>
    </row>
    <row r="72" spans="1:17" x14ac:dyDescent="0.2">
      <c r="A72" t="s">
        <v>547</v>
      </c>
      <c r="B72" s="636">
        <v>39</v>
      </c>
      <c r="C72" s="636">
        <v>16</v>
      </c>
      <c r="D72" s="636">
        <v>95.5</v>
      </c>
      <c r="E72" s="636">
        <v>183</v>
      </c>
      <c r="F72" s="636">
        <v>16</v>
      </c>
      <c r="G72" s="636">
        <v>69</v>
      </c>
      <c r="H72" s="636">
        <v>865</v>
      </c>
      <c r="I72" s="632">
        <v>279.5</v>
      </c>
      <c r="J72" s="636">
        <v>149</v>
      </c>
      <c r="K72" s="636">
        <v>28</v>
      </c>
      <c r="L72" s="636">
        <v>153.5</v>
      </c>
      <c r="M72" s="636">
        <v>170</v>
      </c>
      <c r="N72" s="636">
        <v>117</v>
      </c>
      <c r="O72" s="636">
        <v>37</v>
      </c>
      <c r="P72" s="636">
        <v>51</v>
      </c>
    </row>
    <row r="73" spans="1:17" x14ac:dyDescent="0.2">
      <c r="A73" t="s">
        <v>548</v>
      </c>
      <c r="B73" s="636">
        <v>34.5</v>
      </c>
      <c r="C73" s="636">
        <v>18</v>
      </c>
      <c r="D73" s="636">
        <v>157.5</v>
      </c>
      <c r="E73" s="636">
        <v>261</v>
      </c>
      <c r="F73" s="636">
        <v>13</v>
      </c>
      <c r="G73" s="636">
        <v>90</v>
      </c>
      <c r="H73" s="636">
        <v>876.5</v>
      </c>
      <c r="I73" s="636">
        <v>263</v>
      </c>
      <c r="J73" s="807">
        <v>206</v>
      </c>
      <c r="K73" s="636">
        <v>25.5</v>
      </c>
      <c r="L73" s="636">
        <v>55.5</v>
      </c>
      <c r="M73" s="636">
        <v>317.5</v>
      </c>
      <c r="N73" s="636">
        <v>202</v>
      </c>
      <c r="O73" s="636">
        <v>53</v>
      </c>
      <c r="P73" s="636">
        <v>7</v>
      </c>
    </row>
    <row r="74" spans="1:17" x14ac:dyDescent="0.2">
      <c r="A74" t="s">
        <v>549</v>
      </c>
      <c r="B74" s="636">
        <v>18</v>
      </c>
      <c r="C74" s="636">
        <v>18.5</v>
      </c>
      <c r="D74" s="636">
        <v>171.5</v>
      </c>
      <c r="E74" s="636">
        <v>195</v>
      </c>
      <c r="F74" s="841">
        <v>2</v>
      </c>
      <c r="G74" s="636">
        <v>56</v>
      </c>
      <c r="H74" s="636">
        <v>914.5</v>
      </c>
      <c r="I74" s="636">
        <v>307.5</v>
      </c>
      <c r="J74" s="636">
        <v>223</v>
      </c>
      <c r="K74" s="611">
        <v>63.5</v>
      </c>
      <c r="L74" s="636">
        <v>64.5</v>
      </c>
      <c r="M74" s="841">
        <v>141</v>
      </c>
      <c r="N74" s="636">
        <v>87.5</v>
      </c>
      <c r="O74" s="636">
        <v>79</v>
      </c>
      <c r="P74" s="636">
        <v>59</v>
      </c>
    </row>
    <row r="75" spans="1:17" x14ac:dyDescent="0.2">
      <c r="A75" t="s">
        <v>556</v>
      </c>
      <c r="B75" s="636">
        <v>31</v>
      </c>
      <c r="C75" s="611">
        <v>49</v>
      </c>
      <c r="D75" s="636">
        <v>158</v>
      </c>
      <c r="E75" s="636">
        <v>138</v>
      </c>
      <c r="F75" s="841">
        <v>4.5</v>
      </c>
      <c r="G75" s="636">
        <v>54.5</v>
      </c>
      <c r="H75" s="636">
        <v>866</v>
      </c>
      <c r="I75" s="636">
        <v>292.5</v>
      </c>
      <c r="J75" s="611">
        <v>304</v>
      </c>
      <c r="K75" s="611">
        <v>48.5</v>
      </c>
      <c r="L75" s="636">
        <v>56.5</v>
      </c>
      <c r="M75" s="841">
        <v>239</v>
      </c>
      <c r="N75" s="636">
        <v>106</v>
      </c>
      <c r="O75" s="636">
        <v>41.5</v>
      </c>
      <c r="P75" s="636">
        <v>77</v>
      </c>
    </row>
    <row r="76" spans="1:17" x14ac:dyDescent="0.2">
      <c r="A76" t="s">
        <v>557</v>
      </c>
      <c r="B76" s="636">
        <v>14</v>
      </c>
      <c r="C76" s="611">
        <v>46</v>
      </c>
      <c r="D76" s="636">
        <v>106.5</v>
      </c>
      <c r="E76" s="636">
        <v>187</v>
      </c>
      <c r="F76" s="841">
        <v>31</v>
      </c>
      <c r="G76" s="636">
        <v>77.5</v>
      </c>
      <c r="H76" s="636">
        <v>1051.5</v>
      </c>
      <c r="I76" s="636">
        <v>347.5</v>
      </c>
      <c r="J76" s="611">
        <v>207</v>
      </c>
      <c r="K76" s="611">
        <v>36.5</v>
      </c>
      <c r="L76" s="636">
        <v>91</v>
      </c>
      <c r="M76" s="841">
        <v>253.5</v>
      </c>
      <c r="N76" s="636">
        <v>109</v>
      </c>
      <c r="O76" s="636">
        <v>61</v>
      </c>
      <c r="P76" s="636">
        <v>66</v>
      </c>
    </row>
    <row r="77" spans="1:17" x14ac:dyDescent="0.2">
      <c r="A77" t="s">
        <v>558</v>
      </c>
      <c r="B77" s="636">
        <v>25.5</v>
      </c>
      <c r="C77" s="611">
        <v>2</v>
      </c>
      <c r="D77" s="636">
        <v>117.5</v>
      </c>
      <c r="E77" s="611">
        <v>182</v>
      </c>
      <c r="F77" s="841">
        <v>11</v>
      </c>
      <c r="G77" s="636">
        <v>86</v>
      </c>
      <c r="H77" s="636">
        <v>929.5</v>
      </c>
      <c r="I77" s="636">
        <v>386.5</v>
      </c>
      <c r="J77" s="611">
        <v>260.5</v>
      </c>
      <c r="K77" s="611">
        <v>24</v>
      </c>
      <c r="L77" s="636">
        <v>34.5</v>
      </c>
      <c r="M77" s="841">
        <v>209</v>
      </c>
      <c r="N77" s="636">
        <v>71.5</v>
      </c>
      <c r="O77" s="636">
        <v>67</v>
      </c>
      <c r="P77" s="636">
        <v>79</v>
      </c>
    </row>
    <row r="78" spans="1:17" x14ac:dyDescent="0.2">
      <c r="A78" t="s">
        <v>445</v>
      </c>
      <c r="B78" s="611">
        <v>53</v>
      </c>
      <c r="C78" s="611">
        <v>25.5</v>
      </c>
      <c r="D78" s="611">
        <v>87.5</v>
      </c>
      <c r="E78" s="611">
        <v>191</v>
      </c>
      <c r="F78" s="841">
        <v>22</v>
      </c>
      <c r="G78" s="611">
        <v>82</v>
      </c>
      <c r="H78" s="611">
        <v>841.5</v>
      </c>
      <c r="I78" s="611">
        <v>284.5</v>
      </c>
      <c r="J78" s="611">
        <v>340.5</v>
      </c>
      <c r="K78" s="611">
        <v>8.5</v>
      </c>
      <c r="L78" s="636">
        <v>59</v>
      </c>
      <c r="M78" s="841">
        <v>209.5</v>
      </c>
      <c r="N78" s="611">
        <v>136.5</v>
      </c>
      <c r="O78" s="841">
        <v>107.5</v>
      </c>
      <c r="P78" s="611">
        <v>53</v>
      </c>
      <c r="Q78" s="531" t="s">
        <v>27</v>
      </c>
    </row>
    <row r="79" spans="1:17" x14ac:dyDescent="0.2">
      <c r="A79" s="808" t="s">
        <v>27</v>
      </c>
      <c r="B79" s="611">
        <f t="shared" ref="B79:P79" si="4">SUM(B67:B78)</f>
        <v>430</v>
      </c>
      <c r="C79" s="611">
        <f t="shared" si="4"/>
        <v>399.5</v>
      </c>
      <c r="D79" s="611">
        <f t="shared" si="4"/>
        <v>1728</v>
      </c>
      <c r="E79" s="611">
        <f t="shared" si="4"/>
        <v>2517</v>
      </c>
      <c r="F79" s="611">
        <f t="shared" si="4"/>
        <v>191.5</v>
      </c>
      <c r="G79" s="611">
        <f t="shared" si="4"/>
        <v>933.5</v>
      </c>
      <c r="H79" s="611">
        <f t="shared" si="4"/>
        <v>10405</v>
      </c>
      <c r="I79" s="611">
        <f t="shared" si="4"/>
        <v>3489</v>
      </c>
      <c r="J79" s="611">
        <f t="shared" si="4"/>
        <v>3509.5</v>
      </c>
      <c r="K79" s="611">
        <f t="shared" si="4"/>
        <v>499.5</v>
      </c>
      <c r="L79" s="611">
        <f t="shared" si="4"/>
        <v>1194</v>
      </c>
      <c r="M79" s="611">
        <f t="shared" si="4"/>
        <v>2601.5</v>
      </c>
      <c r="N79" s="611">
        <f t="shared" si="4"/>
        <v>1185.5</v>
      </c>
      <c r="O79" s="611">
        <f t="shared" si="4"/>
        <v>953.5</v>
      </c>
      <c r="P79" s="611">
        <f t="shared" si="4"/>
        <v>888</v>
      </c>
      <c r="Q79" s="531" t="s">
        <v>559</v>
      </c>
    </row>
    <row r="80" spans="1:17" x14ac:dyDescent="0.2">
      <c r="A80" s="809" t="s">
        <v>655</v>
      </c>
      <c r="B80" s="810">
        <f>AVERAGE(B67:B78)</f>
        <v>35.833333333333336</v>
      </c>
      <c r="C80" s="810">
        <f t="shared" ref="C80:P80" si="5">AVERAGE(C67:C78)</f>
        <v>33.291666666666664</v>
      </c>
      <c r="D80" s="810">
        <f t="shared" si="5"/>
        <v>144</v>
      </c>
      <c r="E80" s="810">
        <f t="shared" si="5"/>
        <v>209.75</v>
      </c>
      <c r="F80" s="810">
        <f t="shared" si="5"/>
        <v>15.958333333333334</v>
      </c>
      <c r="G80" s="810">
        <f t="shared" si="5"/>
        <v>77.791666666666671</v>
      </c>
      <c r="H80" s="810">
        <f t="shared" si="5"/>
        <v>867.08333333333337</v>
      </c>
      <c r="I80" s="810">
        <f t="shared" si="5"/>
        <v>290.75</v>
      </c>
      <c r="J80" s="810">
        <f t="shared" si="5"/>
        <v>292.45833333333331</v>
      </c>
      <c r="K80" s="810">
        <f t="shared" si="5"/>
        <v>41.625</v>
      </c>
      <c r="L80" s="810">
        <f t="shared" si="5"/>
        <v>99.5</v>
      </c>
      <c r="M80" s="810">
        <f t="shared" si="5"/>
        <v>216.79166666666666</v>
      </c>
      <c r="N80" s="810">
        <f t="shared" si="5"/>
        <v>98.791666666666671</v>
      </c>
      <c r="O80" s="810">
        <f t="shared" si="5"/>
        <v>79.458333333333329</v>
      </c>
      <c r="P80" s="810">
        <f t="shared" si="5"/>
        <v>74</v>
      </c>
      <c r="Q80" s="811">
        <f>SUM(B79:P79)</f>
        <v>30925</v>
      </c>
    </row>
    <row r="82" spans="1:17" x14ac:dyDescent="0.2">
      <c r="A82" s="613" t="s">
        <v>656</v>
      </c>
      <c r="B82">
        <f>Q80/365</f>
        <v>84.726027397260268</v>
      </c>
    </row>
    <row r="83" spans="1:17" ht="15.75" x14ac:dyDescent="0.25">
      <c r="A83" s="199" t="s">
        <v>613</v>
      </c>
      <c r="H83" s="842">
        <f>B82</f>
        <v>84.726027397260268</v>
      </c>
    </row>
    <row r="84" spans="1:17" x14ac:dyDescent="0.2">
      <c r="A84" s="812"/>
      <c r="B84" s="812"/>
      <c r="C84" s="812"/>
      <c r="D84" s="812"/>
      <c r="E84" s="812"/>
      <c r="F84" s="812"/>
      <c r="G84" s="812"/>
      <c r="H84" s="812"/>
      <c r="I84" s="812"/>
      <c r="J84" s="812"/>
      <c r="K84" s="812"/>
      <c r="L84" s="812"/>
      <c r="M84" s="812"/>
      <c r="N84" s="812"/>
      <c r="O84" s="812"/>
      <c r="P84" s="812"/>
      <c r="Q84" s="812"/>
    </row>
    <row r="86" spans="1:17" x14ac:dyDescent="0.2">
      <c r="A86" s="853" t="s">
        <v>701</v>
      </c>
    </row>
    <row r="87" spans="1:17" ht="4.9000000000000004" customHeight="1" x14ac:dyDescent="0.2">
      <c r="A87" s="853"/>
    </row>
    <row r="88" spans="1:17" s="854" customFormat="1" x14ac:dyDescent="0.2">
      <c r="A88" s="854" t="s">
        <v>526</v>
      </c>
      <c r="B88" s="855">
        <v>4</v>
      </c>
      <c r="C88" s="855">
        <v>6</v>
      </c>
      <c r="D88" s="855">
        <v>7</v>
      </c>
      <c r="E88" s="855">
        <v>8</v>
      </c>
      <c r="F88" s="855">
        <v>6</v>
      </c>
      <c r="G88" s="855">
        <v>7</v>
      </c>
      <c r="H88" s="855">
        <v>22</v>
      </c>
      <c r="I88" s="855">
        <v>12</v>
      </c>
      <c r="J88" s="855">
        <v>9</v>
      </c>
      <c r="K88" s="855">
        <v>12</v>
      </c>
      <c r="L88" s="855">
        <v>14</v>
      </c>
      <c r="M88" s="855">
        <v>15</v>
      </c>
      <c r="N88" s="855">
        <v>10</v>
      </c>
      <c r="O88" s="855">
        <v>13</v>
      </c>
      <c r="P88" s="855">
        <v>12</v>
      </c>
      <c r="Q88" s="856">
        <f>SUM(B88:P88)</f>
        <v>157</v>
      </c>
    </row>
    <row r="89" spans="1:17" s="638" customFormat="1" x14ac:dyDescent="0.2">
      <c r="B89" s="637" t="s">
        <v>527</v>
      </c>
      <c r="C89" s="637" t="s">
        <v>528</v>
      </c>
      <c r="D89" s="637" t="s">
        <v>529</v>
      </c>
      <c r="E89" s="637" t="s">
        <v>530</v>
      </c>
      <c r="F89" s="637" t="s">
        <v>531</v>
      </c>
      <c r="G89" s="637" t="s">
        <v>532</v>
      </c>
      <c r="H89" s="637" t="s">
        <v>533</v>
      </c>
      <c r="I89" s="637" t="s">
        <v>534</v>
      </c>
      <c r="J89" s="637" t="s">
        <v>535</v>
      </c>
      <c r="K89" s="637" t="s">
        <v>536</v>
      </c>
      <c r="L89" s="637" t="s">
        <v>537</v>
      </c>
      <c r="M89" s="637" t="s">
        <v>538</v>
      </c>
      <c r="N89" s="637" t="s">
        <v>539</v>
      </c>
      <c r="O89" s="637" t="s">
        <v>540</v>
      </c>
      <c r="P89" s="637" t="s">
        <v>541</v>
      </c>
    </row>
    <row r="90" spans="1:17" x14ac:dyDescent="0.2">
      <c r="A90" t="s">
        <v>542</v>
      </c>
      <c r="B90" s="636">
        <v>46</v>
      </c>
      <c r="C90" s="636">
        <v>8</v>
      </c>
      <c r="D90" s="636">
        <v>38</v>
      </c>
      <c r="E90" s="636">
        <v>58</v>
      </c>
      <c r="F90" s="857">
        <v>2</v>
      </c>
      <c r="G90" s="636">
        <v>44</v>
      </c>
      <c r="H90" s="636">
        <v>92</v>
      </c>
      <c r="I90" s="636">
        <v>93</v>
      </c>
      <c r="J90" s="858">
        <v>74</v>
      </c>
      <c r="K90" s="635">
        <v>7</v>
      </c>
      <c r="L90" s="636">
        <v>47</v>
      </c>
      <c r="M90" s="857">
        <v>42</v>
      </c>
      <c r="N90" s="636">
        <v>22</v>
      </c>
      <c r="O90" s="857">
        <v>25</v>
      </c>
      <c r="P90" s="636">
        <v>8</v>
      </c>
    </row>
    <row r="91" spans="1:17" x14ac:dyDescent="0.2">
      <c r="A91" t="s">
        <v>543</v>
      </c>
      <c r="B91" s="857">
        <v>10</v>
      </c>
      <c r="C91" s="636">
        <v>5</v>
      </c>
      <c r="D91" s="636">
        <v>37</v>
      </c>
      <c r="E91" s="857">
        <v>71</v>
      </c>
      <c r="F91" s="857">
        <v>5</v>
      </c>
      <c r="G91" s="636">
        <v>67</v>
      </c>
      <c r="H91" s="636">
        <v>86</v>
      </c>
      <c r="I91" s="636">
        <v>88</v>
      </c>
      <c r="J91" s="857">
        <v>55</v>
      </c>
      <c r="K91" s="636">
        <v>17</v>
      </c>
      <c r="L91" s="636">
        <v>65</v>
      </c>
      <c r="M91" s="857">
        <v>56</v>
      </c>
      <c r="N91" s="857">
        <v>23</v>
      </c>
      <c r="O91" s="857">
        <v>22</v>
      </c>
      <c r="P91" s="857">
        <v>5</v>
      </c>
    </row>
    <row r="92" spans="1:17" x14ac:dyDescent="0.2">
      <c r="A92" t="s">
        <v>544</v>
      </c>
      <c r="B92" s="636">
        <v>12</v>
      </c>
      <c r="C92" s="858">
        <v>8</v>
      </c>
      <c r="D92" s="636">
        <v>33</v>
      </c>
      <c r="E92" s="636">
        <v>72</v>
      </c>
      <c r="F92" s="636">
        <v>5</v>
      </c>
      <c r="G92" s="857">
        <v>39</v>
      </c>
      <c r="H92" s="857">
        <v>87</v>
      </c>
      <c r="I92" s="636">
        <v>104</v>
      </c>
      <c r="J92" s="857">
        <v>72</v>
      </c>
      <c r="K92" s="857">
        <v>14</v>
      </c>
      <c r="L92" s="857">
        <v>32</v>
      </c>
      <c r="M92" s="636">
        <v>63</v>
      </c>
      <c r="N92" s="636">
        <v>17</v>
      </c>
      <c r="O92" s="857">
        <v>22</v>
      </c>
      <c r="P92" s="857">
        <v>6</v>
      </c>
    </row>
    <row r="93" spans="1:17" x14ac:dyDescent="0.2">
      <c r="A93" t="s">
        <v>545</v>
      </c>
      <c r="B93" s="857">
        <v>15</v>
      </c>
      <c r="C93" s="636">
        <v>4</v>
      </c>
      <c r="D93" s="636">
        <v>46</v>
      </c>
      <c r="E93" s="636">
        <v>65</v>
      </c>
      <c r="F93" s="636">
        <v>5</v>
      </c>
      <c r="G93" s="636">
        <v>44</v>
      </c>
      <c r="H93" s="636">
        <v>84</v>
      </c>
      <c r="I93" s="636">
        <v>114</v>
      </c>
      <c r="J93" s="857">
        <v>72</v>
      </c>
      <c r="K93" s="857">
        <v>9</v>
      </c>
      <c r="L93" s="636">
        <v>21</v>
      </c>
      <c r="M93" s="636">
        <v>67</v>
      </c>
      <c r="N93" s="636">
        <v>32</v>
      </c>
      <c r="O93" s="857">
        <v>24</v>
      </c>
      <c r="P93" s="857">
        <v>8</v>
      </c>
    </row>
    <row r="94" spans="1:17" x14ac:dyDescent="0.2">
      <c r="A94" t="s">
        <v>546</v>
      </c>
      <c r="B94" s="636">
        <v>3</v>
      </c>
      <c r="C94" s="857">
        <v>6</v>
      </c>
      <c r="D94" s="636">
        <v>36</v>
      </c>
      <c r="E94" s="857">
        <v>40</v>
      </c>
      <c r="F94" s="636">
        <v>4</v>
      </c>
      <c r="G94" s="636">
        <v>33</v>
      </c>
      <c r="H94" s="636">
        <v>71</v>
      </c>
      <c r="I94" s="636">
        <v>69</v>
      </c>
      <c r="J94" s="857">
        <v>55</v>
      </c>
      <c r="K94" s="857">
        <v>4</v>
      </c>
      <c r="L94" s="636">
        <v>18</v>
      </c>
      <c r="M94" s="857">
        <v>44</v>
      </c>
      <c r="N94" s="636">
        <v>31</v>
      </c>
      <c r="O94" s="636">
        <v>18</v>
      </c>
      <c r="P94" s="636">
        <v>3</v>
      </c>
    </row>
    <row r="95" spans="1:17" x14ac:dyDescent="0.2">
      <c r="A95" t="s">
        <v>547</v>
      </c>
      <c r="B95" s="636">
        <v>6</v>
      </c>
      <c r="C95" s="857">
        <v>6</v>
      </c>
      <c r="D95" s="636">
        <v>17</v>
      </c>
      <c r="E95" s="857">
        <v>48</v>
      </c>
      <c r="F95" s="636">
        <v>2</v>
      </c>
      <c r="G95" s="636">
        <v>37</v>
      </c>
      <c r="H95" s="636">
        <v>91</v>
      </c>
      <c r="I95" s="635">
        <v>83</v>
      </c>
      <c r="J95" s="857">
        <v>59</v>
      </c>
      <c r="K95" s="857">
        <v>5</v>
      </c>
      <c r="L95" s="636">
        <v>17</v>
      </c>
      <c r="M95" s="857">
        <v>51</v>
      </c>
      <c r="N95" s="636">
        <v>23</v>
      </c>
      <c r="O95" s="636">
        <v>18</v>
      </c>
      <c r="P95" s="857">
        <v>10</v>
      </c>
    </row>
    <row r="96" spans="1:17" x14ac:dyDescent="0.2">
      <c r="A96" t="s">
        <v>548</v>
      </c>
      <c r="B96" s="636">
        <v>1</v>
      </c>
      <c r="C96" s="857">
        <v>5</v>
      </c>
      <c r="D96" s="636">
        <v>25</v>
      </c>
      <c r="E96" s="857">
        <v>41</v>
      </c>
      <c r="F96" s="636">
        <v>4</v>
      </c>
      <c r="G96" s="636">
        <v>41</v>
      </c>
      <c r="H96" s="636">
        <v>82</v>
      </c>
      <c r="I96" s="636">
        <v>97</v>
      </c>
      <c r="J96" s="636">
        <v>63</v>
      </c>
      <c r="K96" s="636">
        <v>12</v>
      </c>
      <c r="L96" s="636">
        <v>18</v>
      </c>
      <c r="M96" s="857">
        <v>55</v>
      </c>
      <c r="N96" s="636">
        <v>15</v>
      </c>
      <c r="O96" s="857">
        <v>16</v>
      </c>
      <c r="P96" s="636">
        <v>10</v>
      </c>
    </row>
    <row r="97" spans="1:17" x14ac:dyDescent="0.2">
      <c r="A97" t="s">
        <v>549</v>
      </c>
      <c r="B97" s="636">
        <v>9</v>
      </c>
      <c r="C97" s="636">
        <v>8</v>
      </c>
      <c r="D97" s="636">
        <v>19</v>
      </c>
      <c r="E97" s="636">
        <v>34</v>
      </c>
      <c r="F97" s="636">
        <v>11</v>
      </c>
      <c r="G97" s="636">
        <v>50</v>
      </c>
      <c r="H97" s="636">
        <v>62</v>
      </c>
      <c r="I97" s="636">
        <v>94</v>
      </c>
      <c r="J97" s="636">
        <v>49</v>
      </c>
      <c r="K97" s="636">
        <v>1</v>
      </c>
      <c r="L97" s="636">
        <v>25</v>
      </c>
      <c r="M97" s="636">
        <v>34</v>
      </c>
      <c r="N97" s="636">
        <v>25</v>
      </c>
      <c r="O97" s="636">
        <v>13</v>
      </c>
      <c r="P97" s="636">
        <v>5</v>
      </c>
    </row>
    <row r="98" spans="1:17" x14ac:dyDescent="0.2">
      <c r="A98" t="s">
        <v>550</v>
      </c>
      <c r="B98" s="636">
        <v>4</v>
      </c>
      <c r="C98" s="636">
        <v>5</v>
      </c>
      <c r="D98" s="636">
        <v>25</v>
      </c>
      <c r="E98" s="636">
        <v>58</v>
      </c>
      <c r="F98" s="636">
        <v>4</v>
      </c>
      <c r="G98" s="636">
        <v>38</v>
      </c>
      <c r="H98" s="636">
        <v>87</v>
      </c>
      <c r="I98" s="636">
        <v>96</v>
      </c>
      <c r="J98" s="636">
        <v>61</v>
      </c>
      <c r="K98" s="636">
        <v>9</v>
      </c>
      <c r="L98" s="636">
        <v>24</v>
      </c>
      <c r="M98" s="636">
        <v>49</v>
      </c>
      <c r="N98" s="636">
        <v>23</v>
      </c>
      <c r="O98" s="636">
        <v>16</v>
      </c>
      <c r="P98" s="636">
        <v>6</v>
      </c>
    </row>
    <row r="99" spans="1:17" x14ac:dyDescent="0.2">
      <c r="A99" t="s">
        <v>551</v>
      </c>
      <c r="B99" s="857">
        <v>2</v>
      </c>
      <c r="C99" s="857">
        <v>7</v>
      </c>
      <c r="D99" s="636">
        <v>29</v>
      </c>
      <c r="E99" s="636">
        <v>48</v>
      </c>
      <c r="F99" s="636">
        <v>8</v>
      </c>
      <c r="G99" s="636">
        <v>34</v>
      </c>
      <c r="H99" s="636">
        <v>73</v>
      </c>
      <c r="I99" s="636">
        <v>101</v>
      </c>
      <c r="J99" s="857">
        <v>44</v>
      </c>
      <c r="K99" s="636">
        <v>10</v>
      </c>
      <c r="L99" s="636">
        <v>33</v>
      </c>
      <c r="M99" s="636">
        <v>55</v>
      </c>
      <c r="N99" s="636">
        <v>20</v>
      </c>
      <c r="O99" s="857">
        <v>11</v>
      </c>
      <c r="P99" s="636">
        <v>5</v>
      </c>
    </row>
    <row r="100" spans="1:17" x14ac:dyDescent="0.2">
      <c r="A100" t="s">
        <v>444</v>
      </c>
      <c r="B100" s="636">
        <v>5</v>
      </c>
      <c r="C100" s="636">
        <v>7</v>
      </c>
      <c r="D100" s="636">
        <v>18</v>
      </c>
      <c r="E100" s="636">
        <v>60</v>
      </c>
      <c r="F100" s="636">
        <v>4</v>
      </c>
      <c r="G100" s="636">
        <v>53</v>
      </c>
      <c r="H100" s="636">
        <v>60</v>
      </c>
      <c r="I100" s="636">
        <v>103</v>
      </c>
      <c r="J100" s="857">
        <v>50</v>
      </c>
      <c r="K100" s="636">
        <v>8</v>
      </c>
      <c r="L100" s="636">
        <v>31</v>
      </c>
      <c r="M100" s="636">
        <v>44</v>
      </c>
      <c r="N100" s="636">
        <v>15</v>
      </c>
      <c r="O100" s="636">
        <v>12</v>
      </c>
      <c r="P100" s="636">
        <v>7</v>
      </c>
    </row>
    <row r="101" spans="1:17" x14ac:dyDescent="0.2">
      <c r="A101" t="s">
        <v>445</v>
      </c>
      <c r="B101" s="857">
        <v>15</v>
      </c>
      <c r="C101" s="857">
        <v>5</v>
      </c>
      <c r="D101" s="636">
        <v>18</v>
      </c>
      <c r="E101" s="857">
        <v>70</v>
      </c>
      <c r="F101" s="636">
        <v>4</v>
      </c>
      <c r="G101" s="636">
        <v>49</v>
      </c>
      <c r="H101" s="857">
        <v>57</v>
      </c>
      <c r="I101" s="636">
        <v>122</v>
      </c>
      <c r="J101" s="857">
        <v>65</v>
      </c>
      <c r="K101" s="857">
        <v>11</v>
      </c>
      <c r="L101" s="636">
        <v>29</v>
      </c>
      <c r="M101" s="857">
        <v>41</v>
      </c>
      <c r="N101" s="636">
        <v>15</v>
      </c>
      <c r="O101" s="636">
        <v>17</v>
      </c>
      <c r="P101" s="636">
        <v>6</v>
      </c>
      <c r="Q101" s="853" t="s">
        <v>552</v>
      </c>
    </row>
    <row r="102" spans="1:17" x14ac:dyDescent="0.2">
      <c r="A102" s="808" t="s">
        <v>27</v>
      </c>
      <c r="B102" s="859">
        <f t="shared" ref="B102:P102" si="6">SUM(B90:B101)</f>
        <v>128</v>
      </c>
      <c r="C102" s="859">
        <f t="shared" si="6"/>
        <v>74</v>
      </c>
      <c r="D102" s="859">
        <f t="shared" si="6"/>
        <v>341</v>
      </c>
      <c r="E102" s="859">
        <f t="shared" si="6"/>
        <v>665</v>
      </c>
      <c r="F102" s="859">
        <f t="shared" si="6"/>
        <v>58</v>
      </c>
      <c r="G102" s="859">
        <f t="shared" si="6"/>
        <v>529</v>
      </c>
      <c r="H102" s="859">
        <f t="shared" si="6"/>
        <v>932</v>
      </c>
      <c r="I102" s="859">
        <f t="shared" si="6"/>
        <v>1164</v>
      </c>
      <c r="J102" s="859">
        <f t="shared" si="6"/>
        <v>719</v>
      </c>
      <c r="K102" s="859">
        <f t="shared" si="6"/>
        <v>107</v>
      </c>
      <c r="L102" s="859">
        <f t="shared" si="6"/>
        <v>360</v>
      </c>
      <c r="M102" s="859">
        <f t="shared" si="6"/>
        <v>601</v>
      </c>
      <c r="N102" s="859">
        <f t="shared" si="6"/>
        <v>261</v>
      </c>
      <c r="O102" s="859">
        <f t="shared" si="6"/>
        <v>214</v>
      </c>
      <c r="P102" s="859">
        <f t="shared" si="6"/>
        <v>79</v>
      </c>
      <c r="Q102" s="853" t="s">
        <v>553</v>
      </c>
    </row>
    <row r="103" spans="1:17" x14ac:dyDescent="0.2">
      <c r="A103" s="808" t="s">
        <v>655</v>
      </c>
      <c r="B103" s="860">
        <f>AVERAGE(B90:B101)</f>
        <v>10.666666666666666</v>
      </c>
      <c r="C103" s="860">
        <f t="shared" ref="C103:P103" si="7">AVERAGE(C90:C101)</f>
        <v>6.166666666666667</v>
      </c>
      <c r="D103" s="860">
        <f t="shared" si="7"/>
        <v>28.416666666666668</v>
      </c>
      <c r="E103" s="860">
        <f t="shared" si="7"/>
        <v>55.416666666666664</v>
      </c>
      <c r="F103" s="860">
        <f t="shared" si="7"/>
        <v>4.833333333333333</v>
      </c>
      <c r="G103" s="860">
        <f t="shared" si="7"/>
        <v>44.083333333333336</v>
      </c>
      <c r="H103" s="860">
        <f t="shared" si="7"/>
        <v>77.666666666666671</v>
      </c>
      <c r="I103" s="860">
        <f t="shared" si="7"/>
        <v>97</v>
      </c>
      <c r="J103" s="860">
        <f t="shared" si="7"/>
        <v>59.916666666666664</v>
      </c>
      <c r="K103" s="860">
        <f t="shared" si="7"/>
        <v>8.9166666666666661</v>
      </c>
      <c r="L103" s="860">
        <f t="shared" si="7"/>
        <v>30</v>
      </c>
      <c r="M103" s="860">
        <f t="shared" si="7"/>
        <v>50.083333333333336</v>
      </c>
      <c r="N103" s="860">
        <f t="shared" si="7"/>
        <v>21.75</v>
      </c>
      <c r="O103" s="860">
        <f t="shared" si="7"/>
        <v>17.833333333333332</v>
      </c>
      <c r="P103" s="860">
        <f t="shared" si="7"/>
        <v>6.583333333333333</v>
      </c>
      <c r="Q103" s="861">
        <f>SUM(B102:P102)</f>
        <v>6232</v>
      </c>
    </row>
    <row r="104" spans="1:17" x14ac:dyDescent="0.2">
      <c r="I104" s="638"/>
    </row>
    <row r="105" spans="1:17" x14ac:dyDescent="0.2">
      <c r="A105" s="853" t="s">
        <v>702</v>
      </c>
    </row>
    <row r="106" spans="1:17" ht="4.9000000000000004" customHeight="1" x14ac:dyDescent="0.2">
      <c r="A106" s="853"/>
    </row>
    <row r="107" spans="1:17" s="854" customFormat="1" x14ac:dyDescent="0.2">
      <c r="A107" s="854" t="s">
        <v>555</v>
      </c>
      <c r="B107" s="862">
        <v>15</v>
      </c>
      <c r="C107" s="862">
        <v>7</v>
      </c>
      <c r="D107" s="862">
        <v>15</v>
      </c>
      <c r="E107" s="862">
        <v>20</v>
      </c>
      <c r="F107" s="862">
        <v>14</v>
      </c>
      <c r="G107" s="862">
        <v>10</v>
      </c>
      <c r="H107" s="862">
        <v>30</v>
      </c>
      <c r="I107" s="862">
        <v>30</v>
      </c>
      <c r="J107" s="862">
        <v>30</v>
      </c>
      <c r="K107" s="862">
        <v>15</v>
      </c>
      <c r="L107" s="862">
        <v>30</v>
      </c>
      <c r="M107" s="862">
        <v>10</v>
      </c>
      <c r="N107" s="862">
        <v>30</v>
      </c>
      <c r="O107" s="862">
        <v>10</v>
      </c>
      <c r="P107" s="862">
        <v>30</v>
      </c>
    </row>
    <row r="108" spans="1:17" s="638" customFormat="1" x14ac:dyDescent="0.2">
      <c r="B108" s="637" t="s">
        <v>527</v>
      </c>
      <c r="C108" s="637" t="s">
        <v>528</v>
      </c>
      <c r="D108" s="637" t="s">
        <v>529</v>
      </c>
      <c r="E108" s="637" t="s">
        <v>530</v>
      </c>
      <c r="F108" s="637" t="s">
        <v>531</v>
      </c>
      <c r="G108" s="637" t="s">
        <v>532</v>
      </c>
      <c r="H108" s="637" t="s">
        <v>533</v>
      </c>
      <c r="I108" s="637" t="s">
        <v>534</v>
      </c>
      <c r="J108" s="637" t="s">
        <v>535</v>
      </c>
      <c r="K108" s="637" t="s">
        <v>536</v>
      </c>
      <c r="L108" s="637" t="s">
        <v>537</v>
      </c>
      <c r="M108" s="637" t="s">
        <v>538</v>
      </c>
      <c r="N108" s="637" t="s">
        <v>539</v>
      </c>
      <c r="O108" s="637" t="s">
        <v>540</v>
      </c>
      <c r="P108" s="637" t="s">
        <v>541</v>
      </c>
    </row>
    <row r="109" spans="1:17" x14ac:dyDescent="0.2">
      <c r="A109" t="s">
        <v>542</v>
      </c>
      <c r="B109" s="636">
        <v>98</v>
      </c>
      <c r="C109" s="636">
        <v>19.5</v>
      </c>
      <c r="D109" s="636">
        <v>136</v>
      </c>
      <c r="E109" s="636">
        <v>212</v>
      </c>
      <c r="F109" s="636">
        <v>2</v>
      </c>
      <c r="G109" s="636">
        <v>57</v>
      </c>
      <c r="H109" s="636">
        <v>936.5</v>
      </c>
      <c r="I109" s="636">
        <v>282</v>
      </c>
      <c r="J109" s="636">
        <v>359.5</v>
      </c>
      <c r="K109" s="636">
        <v>17.5</v>
      </c>
      <c r="L109" s="636">
        <v>76.5</v>
      </c>
      <c r="M109" s="636">
        <v>238</v>
      </c>
      <c r="N109" s="636">
        <v>124.5</v>
      </c>
      <c r="O109" s="636">
        <v>106</v>
      </c>
      <c r="P109" s="636">
        <v>62</v>
      </c>
    </row>
    <row r="110" spans="1:17" x14ac:dyDescent="0.2">
      <c r="A110" t="s">
        <v>543</v>
      </c>
      <c r="B110" s="636">
        <v>55.5</v>
      </c>
      <c r="C110" s="636">
        <v>19</v>
      </c>
      <c r="D110" s="636">
        <v>151</v>
      </c>
      <c r="E110" s="636">
        <v>267</v>
      </c>
      <c r="F110" s="636">
        <v>28</v>
      </c>
      <c r="G110" s="636">
        <v>89.5</v>
      </c>
      <c r="H110" s="636">
        <v>790</v>
      </c>
      <c r="I110" s="636">
        <v>289.5</v>
      </c>
      <c r="J110" s="636">
        <v>226.5</v>
      </c>
      <c r="K110" s="636">
        <v>40.5</v>
      </c>
      <c r="L110" s="636">
        <v>165.5</v>
      </c>
      <c r="M110" s="636">
        <v>194.5</v>
      </c>
      <c r="N110" s="636">
        <v>91.5</v>
      </c>
      <c r="O110" s="636">
        <v>64</v>
      </c>
      <c r="P110" s="636">
        <v>47</v>
      </c>
    </row>
    <row r="111" spans="1:17" x14ac:dyDescent="0.2">
      <c r="A111" t="s">
        <v>544</v>
      </c>
      <c r="B111" s="636">
        <v>36.5</v>
      </c>
      <c r="C111" s="636">
        <v>34.5</v>
      </c>
      <c r="D111" s="636">
        <v>197.5</v>
      </c>
      <c r="E111" s="636">
        <v>173</v>
      </c>
      <c r="F111" s="636">
        <v>8.5</v>
      </c>
      <c r="G111" s="636">
        <v>65.5</v>
      </c>
      <c r="H111" s="636">
        <v>848</v>
      </c>
      <c r="I111" s="636">
        <v>312.5</v>
      </c>
      <c r="J111" s="636">
        <v>246.5</v>
      </c>
      <c r="K111" s="636">
        <v>58</v>
      </c>
      <c r="L111" s="636">
        <v>109.5</v>
      </c>
      <c r="M111" s="636">
        <v>275</v>
      </c>
      <c r="N111" s="636">
        <v>120</v>
      </c>
      <c r="O111" s="636">
        <v>164</v>
      </c>
      <c r="P111" s="636">
        <v>13</v>
      </c>
    </row>
    <row r="112" spans="1:17" x14ac:dyDescent="0.2">
      <c r="A112" t="s">
        <v>545</v>
      </c>
      <c r="B112" s="636">
        <v>53</v>
      </c>
      <c r="C112" s="636">
        <v>8</v>
      </c>
      <c r="D112" s="636">
        <v>184.5</v>
      </c>
      <c r="E112" s="636">
        <v>226</v>
      </c>
      <c r="F112" s="636">
        <v>13</v>
      </c>
      <c r="G112" s="636">
        <v>81.5</v>
      </c>
      <c r="H112" s="636">
        <v>764</v>
      </c>
      <c r="I112" s="636">
        <v>357.5</v>
      </c>
      <c r="J112" s="636">
        <v>320.5</v>
      </c>
      <c r="K112" s="636">
        <v>25.5</v>
      </c>
      <c r="L112" s="636">
        <v>80</v>
      </c>
      <c r="M112" s="636">
        <v>351</v>
      </c>
      <c r="N112" s="636">
        <v>134.5</v>
      </c>
      <c r="O112" s="636">
        <v>98.5</v>
      </c>
      <c r="P112" s="636">
        <v>41</v>
      </c>
    </row>
    <row r="113" spans="1:17" x14ac:dyDescent="0.2">
      <c r="A113" t="s">
        <v>546</v>
      </c>
      <c r="B113" s="636">
        <v>5</v>
      </c>
      <c r="C113" s="636">
        <v>25.5</v>
      </c>
      <c r="D113" s="636">
        <v>151</v>
      </c>
      <c r="E113" s="636">
        <v>182</v>
      </c>
      <c r="F113" s="636">
        <v>10</v>
      </c>
      <c r="G113" s="636">
        <v>66</v>
      </c>
      <c r="H113" s="636">
        <v>647</v>
      </c>
      <c r="I113" s="636">
        <v>218</v>
      </c>
      <c r="J113" s="636">
        <v>264</v>
      </c>
      <c r="K113" s="636">
        <v>32</v>
      </c>
      <c r="L113" s="636">
        <v>59.5</v>
      </c>
      <c r="M113" s="636">
        <v>239.5</v>
      </c>
      <c r="N113" s="636">
        <v>161.5</v>
      </c>
      <c r="O113" s="636">
        <v>81</v>
      </c>
      <c r="P113" s="636">
        <v>21</v>
      </c>
    </row>
    <row r="114" spans="1:17" x14ac:dyDescent="0.2">
      <c r="A114" t="s">
        <v>547</v>
      </c>
      <c r="B114" s="636">
        <v>27</v>
      </c>
      <c r="C114" s="636">
        <v>22.5</v>
      </c>
      <c r="D114" s="636">
        <v>103.5</v>
      </c>
      <c r="E114" s="636">
        <v>211</v>
      </c>
      <c r="F114" s="636">
        <v>3</v>
      </c>
      <c r="G114" s="636">
        <v>66.5</v>
      </c>
      <c r="H114" s="636">
        <v>781.5</v>
      </c>
      <c r="I114" s="632">
        <v>266</v>
      </c>
      <c r="J114" s="636">
        <v>193</v>
      </c>
      <c r="K114" s="636">
        <v>19.5</v>
      </c>
      <c r="L114" s="636">
        <v>64</v>
      </c>
      <c r="M114" s="636">
        <v>168.5</v>
      </c>
      <c r="N114" s="636">
        <v>133.5</v>
      </c>
      <c r="O114" s="636">
        <v>50.5</v>
      </c>
      <c r="P114" s="636">
        <v>70</v>
      </c>
    </row>
    <row r="115" spans="1:17" x14ac:dyDescent="0.2">
      <c r="A115" t="s">
        <v>548</v>
      </c>
      <c r="B115" s="636">
        <v>1</v>
      </c>
      <c r="C115" s="636">
        <v>28</v>
      </c>
      <c r="D115" s="636">
        <v>154.5</v>
      </c>
      <c r="E115" s="636">
        <v>154</v>
      </c>
      <c r="F115" s="636">
        <v>26.5</v>
      </c>
      <c r="G115" s="636">
        <v>71</v>
      </c>
      <c r="H115" s="636">
        <v>645.5</v>
      </c>
      <c r="I115" s="636">
        <v>281</v>
      </c>
      <c r="J115" s="636">
        <v>225.5</v>
      </c>
      <c r="K115" s="636">
        <v>88</v>
      </c>
      <c r="L115" s="636">
        <v>53</v>
      </c>
      <c r="M115" s="636">
        <v>255</v>
      </c>
      <c r="N115" s="636">
        <v>87</v>
      </c>
      <c r="O115" s="636">
        <v>80</v>
      </c>
      <c r="P115" s="636">
        <v>131</v>
      </c>
    </row>
    <row r="116" spans="1:17" x14ac:dyDescent="0.2">
      <c r="A116" t="s">
        <v>549</v>
      </c>
      <c r="B116" s="636">
        <v>20</v>
      </c>
      <c r="C116" s="636">
        <v>17.5</v>
      </c>
      <c r="D116" s="636">
        <v>107</v>
      </c>
      <c r="E116" s="857">
        <v>156</v>
      </c>
      <c r="F116" s="636">
        <v>34</v>
      </c>
      <c r="G116" s="636">
        <v>121</v>
      </c>
      <c r="H116" s="636">
        <v>618.5</v>
      </c>
      <c r="I116" s="636">
        <v>272</v>
      </c>
      <c r="J116" s="636">
        <v>208</v>
      </c>
      <c r="K116" s="636">
        <v>11.5</v>
      </c>
      <c r="L116" s="636">
        <v>80</v>
      </c>
      <c r="M116" s="636">
        <v>134</v>
      </c>
      <c r="N116" s="636">
        <v>93</v>
      </c>
      <c r="O116" s="636">
        <v>72</v>
      </c>
      <c r="P116" s="636">
        <v>61</v>
      </c>
    </row>
    <row r="117" spans="1:17" x14ac:dyDescent="0.2">
      <c r="A117" t="s">
        <v>556</v>
      </c>
      <c r="B117" s="636">
        <v>6</v>
      </c>
      <c r="C117" s="636">
        <v>9.5</v>
      </c>
      <c r="D117" s="636">
        <v>101</v>
      </c>
      <c r="E117" s="636">
        <v>147</v>
      </c>
      <c r="F117" s="636">
        <v>16</v>
      </c>
      <c r="G117" s="636">
        <v>68.5</v>
      </c>
      <c r="H117" s="636">
        <v>887</v>
      </c>
      <c r="I117" s="636">
        <v>300.5</v>
      </c>
      <c r="J117" s="636">
        <v>296.5</v>
      </c>
      <c r="K117" s="636">
        <v>50.5</v>
      </c>
      <c r="L117" s="636">
        <v>76</v>
      </c>
      <c r="M117" s="636">
        <v>195.5</v>
      </c>
      <c r="N117" s="636">
        <v>111</v>
      </c>
      <c r="O117" s="636">
        <v>68</v>
      </c>
      <c r="P117" s="636">
        <v>83</v>
      </c>
    </row>
    <row r="118" spans="1:17" x14ac:dyDescent="0.2">
      <c r="A118" t="s">
        <v>557</v>
      </c>
      <c r="B118" s="636">
        <v>6.5</v>
      </c>
      <c r="C118" s="636">
        <v>13</v>
      </c>
      <c r="D118" s="636">
        <v>146.5</v>
      </c>
      <c r="E118" s="636">
        <v>220</v>
      </c>
      <c r="F118" s="636">
        <v>8.5</v>
      </c>
      <c r="G118" s="636">
        <v>37</v>
      </c>
      <c r="H118" s="636">
        <v>640</v>
      </c>
      <c r="I118" s="636">
        <v>268.5</v>
      </c>
      <c r="J118" s="636">
        <v>208.8</v>
      </c>
      <c r="K118" s="636">
        <v>65.5</v>
      </c>
      <c r="L118" s="863">
        <v>73.5</v>
      </c>
      <c r="M118" s="636">
        <v>291.5</v>
      </c>
      <c r="N118" s="636">
        <v>194.5</v>
      </c>
      <c r="O118" s="857">
        <v>37</v>
      </c>
      <c r="P118" s="636">
        <v>114</v>
      </c>
    </row>
    <row r="119" spans="1:17" x14ac:dyDescent="0.2">
      <c r="A119" t="s">
        <v>558</v>
      </c>
      <c r="B119" s="636">
        <v>9</v>
      </c>
      <c r="C119" s="636">
        <v>32</v>
      </c>
      <c r="D119" s="636">
        <v>101.5</v>
      </c>
      <c r="E119" s="636">
        <v>253</v>
      </c>
      <c r="F119" s="636">
        <v>7.5</v>
      </c>
      <c r="G119" s="636">
        <v>100</v>
      </c>
      <c r="H119" s="636">
        <v>574.5</v>
      </c>
      <c r="I119" s="636">
        <v>323</v>
      </c>
      <c r="J119" s="636">
        <v>193.5</v>
      </c>
      <c r="K119" s="636">
        <v>18</v>
      </c>
      <c r="L119" s="636">
        <v>62</v>
      </c>
      <c r="M119" s="636">
        <v>243.5</v>
      </c>
      <c r="N119" s="636">
        <v>73</v>
      </c>
      <c r="O119" s="636">
        <v>90</v>
      </c>
      <c r="P119" s="636">
        <v>77</v>
      </c>
    </row>
    <row r="120" spans="1:17" x14ac:dyDescent="0.2">
      <c r="A120" t="s">
        <v>445</v>
      </c>
      <c r="B120" s="636">
        <v>35.5</v>
      </c>
      <c r="C120" s="636">
        <v>21</v>
      </c>
      <c r="D120" s="636">
        <v>76.5</v>
      </c>
      <c r="E120" s="636">
        <v>188</v>
      </c>
      <c r="F120" s="636">
        <v>1.5</v>
      </c>
      <c r="G120" s="636">
        <v>40</v>
      </c>
      <c r="H120" s="636">
        <v>485.5</v>
      </c>
      <c r="I120" s="636">
        <v>331</v>
      </c>
      <c r="J120" s="636">
        <v>317.5</v>
      </c>
      <c r="K120" s="857">
        <v>55</v>
      </c>
      <c r="L120" s="636">
        <v>60.5</v>
      </c>
      <c r="M120" s="636">
        <v>195.5</v>
      </c>
      <c r="N120" s="636">
        <v>66.5</v>
      </c>
      <c r="O120" s="636">
        <v>65.5</v>
      </c>
      <c r="P120" s="636">
        <v>26</v>
      </c>
      <c r="Q120" s="853" t="s">
        <v>27</v>
      </c>
    </row>
    <row r="121" spans="1:17" x14ac:dyDescent="0.2">
      <c r="A121" s="808" t="s">
        <v>27</v>
      </c>
      <c r="B121" s="859">
        <f t="shared" ref="B121:P121" si="8">SUM(B109:B120)</f>
        <v>353</v>
      </c>
      <c r="C121" s="859">
        <f t="shared" si="8"/>
        <v>250</v>
      </c>
      <c r="D121" s="859">
        <f t="shared" si="8"/>
        <v>1610.5</v>
      </c>
      <c r="E121" s="859">
        <f t="shared" si="8"/>
        <v>2389</v>
      </c>
      <c r="F121" s="859">
        <f t="shared" si="8"/>
        <v>158.5</v>
      </c>
      <c r="G121" s="859">
        <f t="shared" si="8"/>
        <v>863.5</v>
      </c>
      <c r="H121" s="859">
        <f t="shared" si="8"/>
        <v>8618</v>
      </c>
      <c r="I121" s="859">
        <f t="shared" si="8"/>
        <v>3501.5</v>
      </c>
      <c r="J121" s="859">
        <f t="shared" si="8"/>
        <v>3059.8</v>
      </c>
      <c r="K121" s="859">
        <f t="shared" si="8"/>
        <v>481.5</v>
      </c>
      <c r="L121" s="859">
        <f t="shared" si="8"/>
        <v>960</v>
      </c>
      <c r="M121" s="859">
        <f t="shared" si="8"/>
        <v>2781.5</v>
      </c>
      <c r="N121" s="859">
        <f t="shared" si="8"/>
        <v>1390.5</v>
      </c>
      <c r="O121" s="859">
        <f t="shared" si="8"/>
        <v>976.5</v>
      </c>
      <c r="P121" s="859">
        <f t="shared" si="8"/>
        <v>746</v>
      </c>
      <c r="Q121" s="853" t="s">
        <v>559</v>
      </c>
    </row>
    <row r="122" spans="1:17" x14ac:dyDescent="0.2">
      <c r="A122" s="808" t="s">
        <v>655</v>
      </c>
      <c r="B122" s="810">
        <f>AVERAGE(B109:B120)</f>
        <v>29.416666666666668</v>
      </c>
      <c r="C122" s="810">
        <f t="shared" ref="C122:P122" si="9">AVERAGE(C109:C120)</f>
        <v>20.833333333333332</v>
      </c>
      <c r="D122" s="810">
        <f t="shared" si="9"/>
        <v>134.20833333333334</v>
      </c>
      <c r="E122" s="810">
        <f t="shared" si="9"/>
        <v>199.08333333333334</v>
      </c>
      <c r="F122" s="810">
        <f t="shared" si="9"/>
        <v>13.208333333333334</v>
      </c>
      <c r="G122" s="810">
        <f t="shared" si="9"/>
        <v>71.958333333333329</v>
      </c>
      <c r="H122" s="810">
        <f t="shared" si="9"/>
        <v>718.16666666666663</v>
      </c>
      <c r="I122" s="810">
        <f t="shared" si="9"/>
        <v>291.79166666666669</v>
      </c>
      <c r="J122" s="810">
        <f t="shared" si="9"/>
        <v>254.98333333333335</v>
      </c>
      <c r="K122" s="810">
        <f t="shared" si="9"/>
        <v>40.125</v>
      </c>
      <c r="L122" s="810">
        <f t="shared" si="9"/>
        <v>80</v>
      </c>
      <c r="M122" s="810">
        <f t="shared" si="9"/>
        <v>231.79166666666666</v>
      </c>
      <c r="N122" s="810">
        <f t="shared" si="9"/>
        <v>115.875</v>
      </c>
      <c r="O122" s="810">
        <f t="shared" si="9"/>
        <v>81.375</v>
      </c>
      <c r="P122" s="810">
        <f t="shared" si="9"/>
        <v>62.166666666666664</v>
      </c>
      <c r="Q122" s="864">
        <f>SUM(B121:P121)</f>
        <v>28139.8</v>
      </c>
    </row>
    <row r="124" spans="1:17" x14ac:dyDescent="0.2">
      <c r="A124" s="613" t="s">
        <v>703</v>
      </c>
      <c r="B124">
        <f>Q122/365</f>
        <v>77.095342465753419</v>
      </c>
    </row>
    <row r="125" spans="1:17" ht="15.75" x14ac:dyDescent="0.25">
      <c r="A125" s="199" t="s">
        <v>690</v>
      </c>
      <c r="H125" s="842">
        <f>B124</f>
        <v>77.095342465753419</v>
      </c>
    </row>
    <row r="126" spans="1:17" x14ac:dyDescent="0.2">
      <c r="A126" s="812"/>
      <c r="B126" s="812"/>
      <c r="C126" s="812"/>
      <c r="D126" s="812"/>
      <c r="E126" s="812"/>
      <c r="F126" s="812"/>
      <c r="G126" s="812"/>
      <c r="H126" s="812"/>
      <c r="I126" s="812"/>
      <c r="J126" s="812"/>
      <c r="K126" s="812"/>
      <c r="L126" s="812"/>
      <c r="M126" s="812"/>
      <c r="N126" s="812"/>
      <c r="O126" s="812"/>
      <c r="P126" s="812"/>
      <c r="Q126" s="812"/>
    </row>
  </sheetData>
  <phoneticPr fontId="78" type="noConversion"/>
  <pageMargins left="0" right="0" top="0.75" bottom="0.25" header="0.3" footer="0.3"/>
  <pageSetup scale="88" orientation="landscape" r:id="rId1"/>
  <headerFooter>
    <oddHeader>&amp;C&amp;"Arial,Bold"&amp;12COST OF CARE Year 2017
(Based on Fiscal Year 2016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3:S196"/>
  <sheetViews>
    <sheetView showGridLines="0" workbookViewId="0">
      <selection activeCell="R20" sqref="R20"/>
    </sheetView>
  </sheetViews>
  <sheetFormatPr defaultColWidth="9.140625" defaultRowHeight="15" x14ac:dyDescent="0.25"/>
  <cols>
    <col min="1" max="1" width="24.7109375" style="206" customWidth="1"/>
    <col min="2" max="2" width="11.7109375" style="206" customWidth="1"/>
    <col min="3" max="3" width="9.42578125" style="206" customWidth="1"/>
    <col min="4" max="4" width="8" style="206" customWidth="1"/>
    <col min="5" max="5" width="8.140625" style="206" customWidth="1"/>
    <col min="6" max="6" width="6.85546875" style="206" hidden="1" customWidth="1"/>
    <col min="7" max="7" width="0.28515625" style="206" hidden="1" customWidth="1"/>
    <col min="8" max="8" width="9.42578125" style="206" customWidth="1"/>
    <col min="9" max="9" width="7.85546875" style="206" customWidth="1"/>
    <col min="10" max="10" width="8.7109375" style="206" customWidth="1"/>
    <col min="11" max="11" width="1.7109375" style="206" customWidth="1"/>
    <col min="12" max="12" width="7.140625" style="206" customWidth="1"/>
    <col min="13" max="13" width="6.42578125" style="206" customWidth="1"/>
    <col min="14" max="14" width="5.7109375" style="206" customWidth="1"/>
    <col min="15" max="15" width="8.140625" style="206" customWidth="1"/>
    <col min="16" max="16" width="14.85546875" style="206" customWidth="1"/>
    <col min="17" max="16384" width="9.140625" style="206"/>
  </cols>
  <sheetData>
    <row r="3" spans="1:10" customFormat="1" x14ac:dyDescent="0.2">
      <c r="A3" s="1155" t="s">
        <v>960</v>
      </c>
      <c r="B3" s="1155"/>
      <c r="C3" s="1155"/>
      <c r="D3" s="1155"/>
      <c r="E3" s="1155"/>
      <c r="F3" s="1155"/>
      <c r="G3" s="1155"/>
      <c r="H3" s="1155"/>
      <c r="I3" s="1155"/>
      <c r="J3" s="1155"/>
    </row>
    <row r="4" spans="1:10" customFormat="1" ht="13.5" thickBot="1" x14ac:dyDescent="0.25">
      <c r="A4" s="638" t="s">
        <v>961</v>
      </c>
    </row>
    <row r="5" spans="1:10" customFormat="1" ht="45" customHeight="1" thickBot="1" x14ac:dyDescent="0.3">
      <c r="A5" s="1079" t="s">
        <v>962</v>
      </c>
      <c r="B5" s="1080" t="s">
        <v>963</v>
      </c>
      <c r="C5" s="1080" t="s">
        <v>964</v>
      </c>
      <c r="D5" s="1080" t="s">
        <v>965</v>
      </c>
      <c r="E5" s="1080" t="s">
        <v>966</v>
      </c>
      <c r="F5" s="1080" t="s">
        <v>967</v>
      </c>
      <c r="G5" s="1057" t="s">
        <v>968</v>
      </c>
      <c r="H5" s="1080" t="s">
        <v>969</v>
      </c>
      <c r="I5" s="1080" t="s">
        <v>970</v>
      </c>
      <c r="J5" s="1080" t="s">
        <v>971</v>
      </c>
    </row>
    <row r="6" spans="1:10" customFormat="1" ht="12.75" x14ac:dyDescent="0.2">
      <c r="A6" s="1058" t="s">
        <v>640</v>
      </c>
      <c r="B6" s="1059">
        <v>34</v>
      </c>
      <c r="C6" s="1059">
        <v>87</v>
      </c>
      <c r="D6" s="1059">
        <v>2</v>
      </c>
      <c r="E6" s="1059">
        <v>11</v>
      </c>
      <c r="F6" s="1059">
        <v>81</v>
      </c>
      <c r="G6" s="1059">
        <v>210</v>
      </c>
      <c r="H6" s="1059">
        <v>2</v>
      </c>
      <c r="I6" s="1059">
        <v>15</v>
      </c>
      <c r="J6" s="1060">
        <v>442</v>
      </c>
    </row>
    <row r="7" spans="1:10" customFormat="1" ht="12.75" x14ac:dyDescent="0.2">
      <c r="A7" s="1061" t="s">
        <v>642</v>
      </c>
      <c r="B7" s="1062">
        <v>9</v>
      </c>
      <c r="C7" s="1062">
        <v>33</v>
      </c>
      <c r="D7" s="1062">
        <v>0</v>
      </c>
      <c r="E7" s="1062">
        <v>0</v>
      </c>
      <c r="F7" s="1062">
        <v>96</v>
      </c>
      <c r="G7" s="1062">
        <v>273</v>
      </c>
      <c r="H7" s="1062">
        <v>0</v>
      </c>
      <c r="I7" s="1062">
        <v>0</v>
      </c>
      <c r="J7" s="1063">
        <v>411</v>
      </c>
    </row>
    <row r="8" spans="1:10" customFormat="1" ht="12.75" x14ac:dyDescent="0.2">
      <c r="A8" s="1061" t="s">
        <v>384</v>
      </c>
      <c r="B8" s="1062">
        <v>9</v>
      </c>
      <c r="C8" s="1062">
        <v>16</v>
      </c>
      <c r="D8" s="1062">
        <v>1</v>
      </c>
      <c r="E8" s="1062">
        <v>3</v>
      </c>
      <c r="F8" s="1062">
        <v>28</v>
      </c>
      <c r="G8" s="1062">
        <v>50</v>
      </c>
      <c r="H8" s="1062">
        <v>4</v>
      </c>
      <c r="I8" s="1062">
        <v>4</v>
      </c>
      <c r="J8" s="1063">
        <v>115</v>
      </c>
    </row>
    <row r="9" spans="1:10" customFormat="1" ht="12.75" x14ac:dyDescent="0.2">
      <c r="A9" s="1061" t="s">
        <v>386</v>
      </c>
      <c r="B9" s="1062">
        <v>16</v>
      </c>
      <c r="C9" s="1062">
        <v>60</v>
      </c>
      <c r="D9" s="1062">
        <v>3</v>
      </c>
      <c r="E9" s="1062">
        <v>11</v>
      </c>
      <c r="F9" s="1062">
        <v>22</v>
      </c>
      <c r="G9" s="1062">
        <v>150</v>
      </c>
      <c r="H9" s="1062">
        <v>3</v>
      </c>
      <c r="I9" s="1062">
        <v>16</v>
      </c>
      <c r="J9" s="1063">
        <v>281</v>
      </c>
    </row>
    <row r="10" spans="1:10" customFormat="1" ht="12.75" x14ac:dyDescent="0.2">
      <c r="A10" s="1061" t="s">
        <v>521</v>
      </c>
      <c r="B10" s="1062">
        <v>85</v>
      </c>
      <c r="C10" s="1062">
        <v>39</v>
      </c>
      <c r="D10" s="1062">
        <v>0</v>
      </c>
      <c r="E10" s="1062">
        <v>0</v>
      </c>
      <c r="F10" s="1062">
        <v>893</v>
      </c>
      <c r="G10" s="1062">
        <v>211</v>
      </c>
      <c r="H10" s="1062">
        <v>0</v>
      </c>
      <c r="I10" s="1062">
        <v>0</v>
      </c>
      <c r="J10" s="1063">
        <v>1228</v>
      </c>
    </row>
    <row r="11" spans="1:10" customFormat="1" ht="12.75" x14ac:dyDescent="0.2">
      <c r="A11" s="1061" t="s">
        <v>387</v>
      </c>
      <c r="B11" s="1062">
        <v>0</v>
      </c>
      <c r="C11" s="1062">
        <v>0</v>
      </c>
      <c r="D11" s="1062">
        <v>34</v>
      </c>
      <c r="E11" s="1062">
        <v>37</v>
      </c>
      <c r="F11" s="1062">
        <v>0</v>
      </c>
      <c r="G11" s="1062">
        <v>0</v>
      </c>
      <c r="H11" s="1062">
        <v>207</v>
      </c>
      <c r="I11" s="1062">
        <v>98</v>
      </c>
      <c r="J11" s="1063">
        <v>376</v>
      </c>
    </row>
    <row r="12" spans="1:10" customFormat="1" ht="12.75" x14ac:dyDescent="0.2">
      <c r="A12" s="1061" t="s">
        <v>388</v>
      </c>
      <c r="B12" s="1062">
        <v>5</v>
      </c>
      <c r="C12" s="1062">
        <v>7</v>
      </c>
      <c r="D12" s="1062">
        <v>1</v>
      </c>
      <c r="E12" s="1062">
        <v>2</v>
      </c>
      <c r="F12" s="1062">
        <v>11</v>
      </c>
      <c r="G12" s="1062">
        <v>24</v>
      </c>
      <c r="H12" s="1062">
        <v>1</v>
      </c>
      <c r="I12" s="1062">
        <v>5</v>
      </c>
      <c r="J12" s="1063">
        <v>56</v>
      </c>
    </row>
    <row r="13" spans="1:10" customFormat="1" ht="12.75" x14ac:dyDescent="0.2">
      <c r="A13" s="1061" t="s">
        <v>389</v>
      </c>
      <c r="B13" s="1062">
        <v>20</v>
      </c>
      <c r="C13" s="1062">
        <v>20</v>
      </c>
      <c r="D13" s="1062">
        <v>2</v>
      </c>
      <c r="E13" s="1062">
        <v>4</v>
      </c>
      <c r="F13" s="1062">
        <v>110</v>
      </c>
      <c r="G13" s="1062">
        <v>57</v>
      </c>
      <c r="H13" s="1062">
        <v>6</v>
      </c>
      <c r="I13" s="1062">
        <v>9</v>
      </c>
      <c r="J13" s="1063">
        <v>228</v>
      </c>
    </row>
    <row r="14" spans="1:10" customFormat="1" ht="12.75" x14ac:dyDescent="0.2">
      <c r="A14" s="1061" t="s">
        <v>390</v>
      </c>
      <c r="B14" s="1062">
        <v>3</v>
      </c>
      <c r="C14" s="1062">
        <v>19</v>
      </c>
      <c r="D14" s="1062">
        <v>1</v>
      </c>
      <c r="E14" s="1062">
        <v>5</v>
      </c>
      <c r="F14" s="1062">
        <v>10</v>
      </c>
      <c r="G14" s="1062">
        <v>60</v>
      </c>
      <c r="H14" s="1062">
        <v>2</v>
      </c>
      <c r="I14" s="1062">
        <v>8</v>
      </c>
      <c r="J14" s="1063">
        <v>108</v>
      </c>
    </row>
    <row r="15" spans="1:10" customFormat="1" ht="12.75" x14ac:dyDescent="0.2">
      <c r="A15" s="1061" t="s">
        <v>391</v>
      </c>
      <c r="B15" s="1062">
        <v>25</v>
      </c>
      <c r="C15" s="1062">
        <v>1</v>
      </c>
      <c r="D15" s="1062">
        <v>0</v>
      </c>
      <c r="E15" s="1062">
        <v>0</v>
      </c>
      <c r="F15" s="1062">
        <v>289</v>
      </c>
      <c r="G15" s="1062">
        <v>4</v>
      </c>
      <c r="H15" s="1062">
        <v>0</v>
      </c>
      <c r="I15" s="1062">
        <v>0</v>
      </c>
      <c r="J15" s="1063">
        <v>319</v>
      </c>
    </row>
    <row r="16" spans="1:10" customFormat="1" ht="12.75" x14ac:dyDescent="0.2">
      <c r="A16" s="1061" t="s">
        <v>392</v>
      </c>
      <c r="B16" s="1062">
        <v>9</v>
      </c>
      <c r="C16" s="1062">
        <v>0</v>
      </c>
      <c r="D16" s="1062">
        <v>0</v>
      </c>
      <c r="E16" s="1062">
        <v>0</v>
      </c>
      <c r="F16" s="1062">
        <v>167</v>
      </c>
      <c r="G16" s="1062">
        <v>0</v>
      </c>
      <c r="H16" s="1062">
        <v>0</v>
      </c>
      <c r="I16" s="1062">
        <v>0</v>
      </c>
      <c r="J16" s="1063">
        <v>176</v>
      </c>
    </row>
    <row r="17" spans="1:12" customFormat="1" ht="12.75" x14ac:dyDescent="0.2">
      <c r="A17" s="1061" t="s">
        <v>345</v>
      </c>
      <c r="B17" s="1062">
        <v>2</v>
      </c>
      <c r="C17" s="1062">
        <v>0</v>
      </c>
      <c r="D17" s="1062">
        <v>0</v>
      </c>
      <c r="E17" s="1062">
        <v>0</v>
      </c>
      <c r="F17" s="1062">
        <v>35</v>
      </c>
      <c r="G17" s="1062">
        <v>0</v>
      </c>
      <c r="H17" s="1062">
        <v>0</v>
      </c>
      <c r="I17" s="1062">
        <v>0</v>
      </c>
      <c r="J17" s="1063">
        <v>37</v>
      </c>
    </row>
    <row r="18" spans="1:12" customFormat="1" ht="12.75" x14ac:dyDescent="0.2">
      <c r="A18" s="1061" t="s">
        <v>393</v>
      </c>
      <c r="B18" s="1062">
        <v>19</v>
      </c>
      <c r="C18" s="1062">
        <v>0</v>
      </c>
      <c r="D18" s="1062">
        <v>0</v>
      </c>
      <c r="E18" s="1062">
        <v>0</v>
      </c>
      <c r="F18" s="1062">
        <v>493</v>
      </c>
      <c r="G18" s="1062">
        <v>2</v>
      </c>
      <c r="H18" s="1062">
        <v>0</v>
      </c>
      <c r="I18" s="1062">
        <v>0</v>
      </c>
      <c r="J18" s="1063">
        <v>514</v>
      </c>
    </row>
    <row r="19" spans="1:12" customFormat="1" x14ac:dyDescent="0.25">
      <c r="A19" s="1061" t="s">
        <v>394</v>
      </c>
      <c r="B19" s="1062">
        <v>13</v>
      </c>
      <c r="C19" s="1062">
        <v>7</v>
      </c>
      <c r="D19" s="1062">
        <v>0</v>
      </c>
      <c r="E19" s="1062">
        <v>0</v>
      </c>
      <c r="F19" s="1062">
        <v>190</v>
      </c>
      <c r="G19" s="1062">
        <v>30</v>
      </c>
      <c r="H19" s="1062">
        <v>0</v>
      </c>
      <c r="I19" s="1062">
        <v>0</v>
      </c>
      <c r="J19" s="1063">
        <v>240</v>
      </c>
      <c r="L19" s="1064" t="s">
        <v>643</v>
      </c>
    </row>
    <row r="20" spans="1:12" customFormat="1" x14ac:dyDescent="0.25">
      <c r="A20" s="1061" t="s">
        <v>395</v>
      </c>
      <c r="B20" s="1062">
        <v>2</v>
      </c>
      <c r="C20" s="1062">
        <v>14</v>
      </c>
      <c r="D20" s="1062">
        <v>3</v>
      </c>
      <c r="E20" s="1062">
        <v>7</v>
      </c>
      <c r="F20" s="1062">
        <v>4</v>
      </c>
      <c r="G20" s="1062">
        <v>53</v>
      </c>
      <c r="H20" s="1062">
        <v>5</v>
      </c>
      <c r="I20" s="1062">
        <v>22</v>
      </c>
      <c r="J20" s="1063">
        <v>110</v>
      </c>
      <c r="L20" s="1064" t="s">
        <v>972</v>
      </c>
    </row>
    <row r="21" spans="1:12" customFormat="1" x14ac:dyDescent="0.25">
      <c r="A21" s="1061" t="s">
        <v>603</v>
      </c>
      <c r="B21" s="1062">
        <v>6</v>
      </c>
      <c r="C21" s="1062">
        <v>1</v>
      </c>
      <c r="D21" s="1062">
        <v>0</v>
      </c>
      <c r="E21" s="1062">
        <v>0</v>
      </c>
      <c r="F21" s="1062">
        <v>50</v>
      </c>
      <c r="G21" s="1062">
        <v>2</v>
      </c>
      <c r="H21" s="1062">
        <v>0</v>
      </c>
      <c r="I21" s="1062">
        <v>0</v>
      </c>
      <c r="J21" s="1063">
        <v>59</v>
      </c>
      <c r="L21" s="1064" t="s">
        <v>973</v>
      </c>
    </row>
    <row r="22" spans="1:12" customFormat="1" ht="15.75" thickBot="1" x14ac:dyDescent="0.3">
      <c r="A22" s="1065" t="s">
        <v>396</v>
      </c>
      <c r="B22" s="1066">
        <v>27</v>
      </c>
      <c r="C22" s="1066">
        <v>37</v>
      </c>
      <c r="D22" s="1066">
        <v>2</v>
      </c>
      <c r="E22" s="1066">
        <v>4</v>
      </c>
      <c r="F22" s="1066">
        <v>15</v>
      </c>
      <c r="G22" s="1066">
        <v>97</v>
      </c>
      <c r="H22" s="1066">
        <v>2</v>
      </c>
      <c r="I22" s="1066">
        <v>5</v>
      </c>
      <c r="J22" s="1067">
        <v>189</v>
      </c>
      <c r="L22" s="1064" t="s">
        <v>644</v>
      </c>
    </row>
    <row r="23" spans="1:12" customFormat="1" ht="19.149999999999999" customHeight="1" thickBot="1" x14ac:dyDescent="0.3">
      <c r="A23" s="1081" t="s">
        <v>974</v>
      </c>
      <c r="B23" s="1082">
        <v>284</v>
      </c>
      <c r="C23" s="1083">
        <v>341</v>
      </c>
      <c r="D23" s="1068">
        <v>49</v>
      </c>
      <c r="E23" s="1083">
        <v>84</v>
      </c>
      <c r="F23" s="1068">
        <v>2494</v>
      </c>
      <c r="G23" s="1068">
        <v>1223</v>
      </c>
      <c r="H23" s="1068">
        <v>232</v>
      </c>
      <c r="I23" s="1083">
        <v>182</v>
      </c>
      <c r="J23" s="1069">
        <v>4889</v>
      </c>
      <c r="L23" s="1070">
        <f>D23+E23+H23+I23</f>
        <v>547</v>
      </c>
    </row>
    <row r="24" spans="1:12" customFormat="1" ht="12.75" x14ac:dyDescent="0.2">
      <c r="A24" s="1058" t="s">
        <v>397</v>
      </c>
      <c r="B24" s="1071">
        <v>0</v>
      </c>
      <c r="C24" s="1071">
        <v>0</v>
      </c>
      <c r="D24" s="1071">
        <v>0</v>
      </c>
      <c r="E24" s="1071">
        <v>0</v>
      </c>
      <c r="F24" s="1071">
        <v>0</v>
      </c>
      <c r="G24" s="1071">
        <v>0</v>
      </c>
      <c r="H24" s="1071">
        <v>0</v>
      </c>
      <c r="I24" s="1071">
        <v>1</v>
      </c>
      <c r="J24" s="1072">
        <v>1</v>
      </c>
    </row>
    <row r="25" spans="1:12" customFormat="1" ht="12.75" x14ac:dyDescent="0.2">
      <c r="A25" s="1061" t="s">
        <v>398</v>
      </c>
      <c r="B25" s="1073">
        <v>0</v>
      </c>
      <c r="C25" s="1073">
        <v>0</v>
      </c>
      <c r="D25" s="1073">
        <v>0</v>
      </c>
      <c r="E25" s="1073">
        <v>0</v>
      </c>
      <c r="F25" s="1073">
        <v>2</v>
      </c>
      <c r="G25" s="1073">
        <v>0</v>
      </c>
      <c r="H25" s="1073">
        <v>4</v>
      </c>
      <c r="I25" s="1073">
        <v>0</v>
      </c>
      <c r="J25" s="1074">
        <v>6</v>
      </c>
    </row>
    <row r="26" spans="1:12" customFormat="1" ht="12.75" x14ac:dyDescent="0.2">
      <c r="A26" s="1061" t="s">
        <v>399</v>
      </c>
      <c r="B26" s="1073">
        <v>39</v>
      </c>
      <c r="C26" s="1073">
        <v>18</v>
      </c>
      <c r="D26" s="1073">
        <v>1</v>
      </c>
      <c r="E26" s="1073">
        <v>1</v>
      </c>
      <c r="F26" s="1073">
        <v>46</v>
      </c>
      <c r="G26" s="1073">
        <v>16</v>
      </c>
      <c r="H26" s="1073">
        <v>0</v>
      </c>
      <c r="I26" s="1073">
        <v>0</v>
      </c>
      <c r="J26" s="1074">
        <v>121</v>
      </c>
    </row>
    <row r="27" spans="1:12" customFormat="1" ht="12.75" x14ac:dyDescent="0.2">
      <c r="A27" s="1061" t="s">
        <v>400</v>
      </c>
      <c r="B27" s="1073">
        <v>10</v>
      </c>
      <c r="C27" s="1073">
        <v>3</v>
      </c>
      <c r="D27" s="1073">
        <v>1</v>
      </c>
      <c r="E27" s="1073">
        <v>0</v>
      </c>
      <c r="F27" s="1073">
        <v>32</v>
      </c>
      <c r="G27" s="1073">
        <v>6</v>
      </c>
      <c r="H27" s="1073">
        <v>5</v>
      </c>
      <c r="I27" s="1073">
        <v>0</v>
      </c>
      <c r="J27" s="1074">
        <v>57</v>
      </c>
    </row>
    <row r="28" spans="1:12" customFormat="1" ht="12.75" x14ac:dyDescent="0.2">
      <c r="A28" s="1061" t="s">
        <v>401</v>
      </c>
      <c r="B28" s="1073">
        <v>2</v>
      </c>
      <c r="C28" s="1073">
        <v>0</v>
      </c>
      <c r="D28" s="1073">
        <v>2</v>
      </c>
      <c r="E28" s="1073">
        <v>0</v>
      </c>
      <c r="F28" s="1073">
        <v>56</v>
      </c>
      <c r="G28" s="1073">
        <v>0</v>
      </c>
      <c r="H28" s="1073">
        <v>16</v>
      </c>
      <c r="I28" s="1073">
        <v>0</v>
      </c>
      <c r="J28" s="1074">
        <v>76</v>
      </c>
    </row>
    <row r="29" spans="1:12" customFormat="1" ht="12.75" x14ac:dyDescent="0.2">
      <c r="A29" s="1061" t="s">
        <v>402</v>
      </c>
      <c r="B29" s="1073">
        <v>0</v>
      </c>
      <c r="C29" s="1073">
        <v>0</v>
      </c>
      <c r="D29" s="1073">
        <v>11</v>
      </c>
      <c r="E29" s="1073">
        <v>3</v>
      </c>
      <c r="F29" s="1073">
        <v>0</v>
      </c>
      <c r="G29" s="1073">
        <v>0</v>
      </c>
      <c r="H29" s="1073">
        <v>14</v>
      </c>
      <c r="I29" s="1073">
        <v>1</v>
      </c>
      <c r="J29" s="1074">
        <v>29</v>
      </c>
    </row>
    <row r="30" spans="1:12" customFormat="1" ht="12.75" x14ac:dyDescent="0.2">
      <c r="A30" s="1061" t="s">
        <v>403</v>
      </c>
      <c r="B30" s="1073">
        <v>22</v>
      </c>
      <c r="C30" s="1073">
        <v>10</v>
      </c>
      <c r="D30" s="1073">
        <v>3</v>
      </c>
      <c r="E30" s="1073">
        <v>2</v>
      </c>
      <c r="F30" s="1073">
        <v>35</v>
      </c>
      <c r="G30" s="1073">
        <v>11</v>
      </c>
      <c r="H30" s="1073">
        <v>4</v>
      </c>
      <c r="I30" s="1073">
        <v>3</v>
      </c>
      <c r="J30" s="1074">
        <v>90</v>
      </c>
    </row>
    <row r="31" spans="1:12" customFormat="1" ht="12.75" x14ac:dyDescent="0.2">
      <c r="A31" s="1061" t="s">
        <v>404</v>
      </c>
      <c r="B31" s="1073">
        <v>34</v>
      </c>
      <c r="C31" s="1073">
        <v>22</v>
      </c>
      <c r="D31" s="1073">
        <v>0</v>
      </c>
      <c r="E31" s="1073">
        <v>0</v>
      </c>
      <c r="F31" s="1073">
        <v>39</v>
      </c>
      <c r="G31" s="1073">
        <v>5</v>
      </c>
      <c r="H31" s="1073">
        <v>0</v>
      </c>
      <c r="I31" s="1073">
        <v>0</v>
      </c>
      <c r="J31" s="1074">
        <v>100</v>
      </c>
    </row>
    <row r="32" spans="1:12" customFormat="1" ht="12.75" x14ac:dyDescent="0.2">
      <c r="A32" s="1061" t="s">
        <v>233</v>
      </c>
      <c r="B32" s="1073">
        <v>9</v>
      </c>
      <c r="C32" s="1073">
        <v>5</v>
      </c>
      <c r="D32" s="1073">
        <v>2</v>
      </c>
      <c r="E32" s="1073">
        <v>1</v>
      </c>
      <c r="F32" s="1073">
        <v>21</v>
      </c>
      <c r="G32" s="1073">
        <v>3</v>
      </c>
      <c r="H32" s="1073">
        <v>3</v>
      </c>
      <c r="I32" s="1073">
        <v>2</v>
      </c>
      <c r="J32" s="1074">
        <v>46</v>
      </c>
    </row>
    <row r="33" spans="1:17" customFormat="1" ht="13.5" thickBot="1" x14ac:dyDescent="0.25">
      <c r="A33" s="1065" t="s">
        <v>406</v>
      </c>
      <c r="B33" s="1075">
        <v>23</v>
      </c>
      <c r="C33" s="1075">
        <v>8</v>
      </c>
      <c r="D33" s="1075">
        <v>4</v>
      </c>
      <c r="E33" s="1075">
        <v>2</v>
      </c>
      <c r="F33" s="1075">
        <v>16</v>
      </c>
      <c r="G33" s="1075">
        <v>5</v>
      </c>
      <c r="H33" s="1075">
        <v>4</v>
      </c>
      <c r="I33" s="1075">
        <v>1</v>
      </c>
      <c r="J33" s="1076">
        <v>63</v>
      </c>
    </row>
    <row r="34" spans="1:17" customFormat="1" ht="20.45" customHeight="1" thickBot="1" x14ac:dyDescent="0.3">
      <c r="A34" s="1084" t="s">
        <v>975</v>
      </c>
      <c r="B34" s="1077">
        <v>139</v>
      </c>
      <c r="C34" s="1085">
        <v>66</v>
      </c>
      <c r="D34" s="1077">
        <v>24</v>
      </c>
      <c r="E34" s="1085">
        <v>9</v>
      </c>
      <c r="F34" s="1077">
        <v>247</v>
      </c>
      <c r="G34" s="1077">
        <v>46</v>
      </c>
      <c r="H34" s="1077">
        <v>50</v>
      </c>
      <c r="I34" s="1085">
        <v>8</v>
      </c>
      <c r="J34" s="1078">
        <v>589</v>
      </c>
    </row>
    <row r="35" spans="1:17" customFormat="1" ht="12.75" x14ac:dyDescent="0.2">
      <c r="A35" s="1058" t="s">
        <v>407</v>
      </c>
      <c r="B35" s="1071">
        <v>22</v>
      </c>
      <c r="C35" s="1071">
        <v>0</v>
      </c>
      <c r="D35" s="1071">
        <v>14</v>
      </c>
      <c r="E35" s="1071">
        <v>0</v>
      </c>
      <c r="F35" s="1071">
        <v>144</v>
      </c>
      <c r="G35" s="1071">
        <v>5</v>
      </c>
      <c r="H35" s="1071">
        <v>47</v>
      </c>
      <c r="I35" s="1071">
        <v>3</v>
      </c>
      <c r="J35" s="1072">
        <v>235</v>
      </c>
    </row>
    <row r="36" spans="1:17" customFormat="1" ht="12.75" x14ac:dyDescent="0.2">
      <c r="A36" s="1061" t="s">
        <v>648</v>
      </c>
      <c r="B36" s="1073">
        <v>0</v>
      </c>
      <c r="C36" s="1073">
        <v>0</v>
      </c>
      <c r="D36" s="1073">
        <v>0</v>
      </c>
      <c r="E36" s="1073">
        <v>0</v>
      </c>
      <c r="F36" s="1073">
        <v>1</v>
      </c>
      <c r="G36" s="1073">
        <v>0</v>
      </c>
      <c r="H36" s="1073">
        <v>0</v>
      </c>
      <c r="I36" s="1073">
        <v>0</v>
      </c>
      <c r="J36" s="1074">
        <v>1</v>
      </c>
    </row>
    <row r="37" spans="1:17" customFormat="1" ht="12.75" x14ac:dyDescent="0.2">
      <c r="A37" s="1061" t="s">
        <v>408</v>
      </c>
      <c r="B37" s="1073">
        <v>12</v>
      </c>
      <c r="C37" s="1073">
        <v>0</v>
      </c>
      <c r="D37" s="1073">
        <v>3</v>
      </c>
      <c r="E37" s="1073">
        <v>0</v>
      </c>
      <c r="F37" s="1073">
        <v>31</v>
      </c>
      <c r="G37" s="1073">
        <v>0</v>
      </c>
      <c r="H37" s="1073">
        <v>8</v>
      </c>
      <c r="I37" s="1073">
        <v>0</v>
      </c>
      <c r="J37" s="1074">
        <v>54</v>
      </c>
    </row>
    <row r="38" spans="1:17" customFormat="1" ht="12.75" x14ac:dyDescent="0.2">
      <c r="A38" s="1061" t="s">
        <v>409</v>
      </c>
      <c r="B38" s="1073">
        <v>2</v>
      </c>
      <c r="C38" s="1073">
        <v>0</v>
      </c>
      <c r="D38" s="1073">
        <v>2</v>
      </c>
      <c r="E38" s="1073">
        <v>0</v>
      </c>
      <c r="F38" s="1073">
        <v>8</v>
      </c>
      <c r="G38" s="1073">
        <v>0</v>
      </c>
      <c r="H38" s="1073">
        <v>3</v>
      </c>
      <c r="I38" s="1073">
        <v>0</v>
      </c>
      <c r="J38" s="1074">
        <v>15</v>
      </c>
    </row>
    <row r="39" spans="1:17" customFormat="1" ht="12.75" x14ac:dyDescent="0.2">
      <c r="A39" s="1061" t="s">
        <v>410</v>
      </c>
      <c r="B39" s="1073">
        <v>2</v>
      </c>
      <c r="C39" s="1073">
        <v>0</v>
      </c>
      <c r="D39" s="1073">
        <v>0</v>
      </c>
      <c r="E39" s="1073">
        <v>0</v>
      </c>
      <c r="F39" s="1073">
        <v>3</v>
      </c>
      <c r="G39" s="1073">
        <v>0</v>
      </c>
      <c r="H39" s="1073">
        <v>2</v>
      </c>
      <c r="I39" s="1073">
        <v>0</v>
      </c>
      <c r="J39" s="1074">
        <v>7</v>
      </c>
    </row>
    <row r="40" spans="1:17" customFormat="1" ht="12.75" x14ac:dyDescent="0.2">
      <c r="A40" s="1061" t="s">
        <v>411</v>
      </c>
      <c r="B40" s="1073">
        <v>0</v>
      </c>
      <c r="C40" s="1073">
        <v>0</v>
      </c>
      <c r="D40" s="1073">
        <v>0</v>
      </c>
      <c r="E40" s="1073">
        <v>0</v>
      </c>
      <c r="F40" s="1073">
        <v>1</v>
      </c>
      <c r="G40" s="1073">
        <v>0</v>
      </c>
      <c r="H40" s="1073">
        <v>1</v>
      </c>
      <c r="I40" s="1073">
        <v>0</v>
      </c>
      <c r="J40" s="1074">
        <v>2</v>
      </c>
    </row>
    <row r="41" spans="1:17" customFormat="1" ht="12.75" x14ac:dyDescent="0.2">
      <c r="A41" s="1061" t="s">
        <v>649</v>
      </c>
      <c r="B41" s="1073">
        <v>0</v>
      </c>
      <c r="C41" s="1073">
        <v>0</v>
      </c>
      <c r="D41" s="1073">
        <v>0</v>
      </c>
      <c r="E41" s="1073">
        <v>0</v>
      </c>
      <c r="F41" s="1073">
        <v>1</v>
      </c>
      <c r="G41" s="1073">
        <v>0</v>
      </c>
      <c r="H41" s="1073">
        <v>0</v>
      </c>
      <c r="I41" s="1073">
        <v>0</v>
      </c>
      <c r="J41" s="1074">
        <v>1</v>
      </c>
    </row>
    <row r="42" spans="1:17" customFormat="1" ht="13.5" thickBot="1" x14ac:dyDescent="0.25">
      <c r="A42" s="1065" t="s">
        <v>412</v>
      </c>
      <c r="B42" s="1075">
        <v>10</v>
      </c>
      <c r="C42" s="1075">
        <v>0</v>
      </c>
      <c r="D42" s="1075">
        <v>2</v>
      </c>
      <c r="E42" s="1075">
        <v>0</v>
      </c>
      <c r="F42" s="1075">
        <v>39</v>
      </c>
      <c r="G42" s="1075">
        <v>0</v>
      </c>
      <c r="H42" s="1075">
        <v>13</v>
      </c>
      <c r="I42" s="1075">
        <v>0</v>
      </c>
      <c r="J42" s="1076">
        <v>64</v>
      </c>
    </row>
    <row r="43" spans="1:17" customFormat="1" ht="19.899999999999999" customHeight="1" thickBot="1" x14ac:dyDescent="0.3">
      <c r="A43" s="1084" t="s">
        <v>976</v>
      </c>
      <c r="B43" s="1077">
        <v>48</v>
      </c>
      <c r="C43" s="1085">
        <v>0</v>
      </c>
      <c r="D43" s="1077">
        <v>21</v>
      </c>
      <c r="E43" s="1085">
        <v>0</v>
      </c>
      <c r="F43" s="1077">
        <v>228</v>
      </c>
      <c r="G43" s="1077">
        <v>5</v>
      </c>
      <c r="H43" s="1077">
        <v>74</v>
      </c>
      <c r="I43" s="1085">
        <v>3</v>
      </c>
      <c r="J43" s="1078">
        <v>379</v>
      </c>
    </row>
    <row r="44" spans="1:17" customFormat="1" ht="12.75" x14ac:dyDescent="0.2"/>
    <row r="47" spans="1:17" ht="14.45" customHeight="1" x14ac:dyDescent="0.25">
      <c r="A47" s="1154" t="s">
        <v>626</v>
      </c>
      <c r="B47" s="1154"/>
      <c r="C47" s="1154"/>
      <c r="D47" s="1154"/>
      <c r="E47" s="1154"/>
      <c r="F47" s="1154"/>
      <c r="G47" s="1154"/>
      <c r="H47" s="1154"/>
      <c r="I47" s="1154"/>
      <c r="J47" s="1154"/>
      <c r="K47" s="1154"/>
      <c r="L47" s="1154"/>
      <c r="M47" s="1154"/>
      <c r="N47"/>
      <c r="O47"/>
      <c r="P47"/>
      <c r="Q47"/>
    </row>
    <row r="48" spans="1:17" s="613" customFormat="1" ht="22.5" customHeight="1" thickBot="1" x14ac:dyDescent="0.25">
      <c r="A48" s="638" t="s">
        <v>625</v>
      </c>
      <c r="B48"/>
      <c r="C48" s="116"/>
      <c r="D48" s="116"/>
      <c r="E48" s="116"/>
      <c r="F48" s="116"/>
      <c r="G48" s="116"/>
      <c r="H48" s="116"/>
      <c r="I48" s="116"/>
      <c r="J48" s="116"/>
      <c r="K48" s="116"/>
      <c r="L48" s="116"/>
      <c r="M48" s="116"/>
      <c r="N48"/>
      <c r="O48"/>
      <c r="P48"/>
      <c r="Q48"/>
    </row>
    <row r="49" spans="1:17" customFormat="1" ht="46.15" customHeight="1" x14ac:dyDescent="0.2">
      <c r="A49" s="724" t="s">
        <v>627</v>
      </c>
      <c r="B49" s="783" t="s">
        <v>628</v>
      </c>
      <c r="C49" s="784" t="s">
        <v>629</v>
      </c>
      <c r="D49" s="784" t="s">
        <v>630</v>
      </c>
      <c r="E49" s="784" t="s">
        <v>631</v>
      </c>
      <c r="F49" s="784" t="s">
        <v>632</v>
      </c>
      <c r="G49" s="784" t="s">
        <v>633</v>
      </c>
      <c r="H49" s="784" t="s">
        <v>634</v>
      </c>
      <c r="I49" s="784" t="s">
        <v>635</v>
      </c>
      <c r="J49" s="784" t="s">
        <v>636</v>
      </c>
      <c r="K49" s="784" t="s">
        <v>637</v>
      </c>
      <c r="L49" s="784" t="s">
        <v>638</v>
      </c>
      <c r="M49" s="785" t="s">
        <v>639</v>
      </c>
    </row>
    <row r="50" spans="1:17" s="174" customFormat="1" ht="15" customHeight="1" x14ac:dyDescent="0.2">
      <c r="A50" s="786" t="s">
        <v>640</v>
      </c>
      <c r="B50" s="787" t="s">
        <v>641</v>
      </c>
      <c r="C50" s="788">
        <v>3.1122999999999998</v>
      </c>
      <c r="D50" s="788">
        <v>89.200999999999993</v>
      </c>
      <c r="E50" s="788">
        <v>0.4496</v>
      </c>
      <c r="F50" s="788">
        <v>9.1769999999999996</v>
      </c>
      <c r="G50" s="788">
        <v>20.87</v>
      </c>
      <c r="H50" s="788">
        <v>304.44</v>
      </c>
      <c r="I50" s="788">
        <v>0.27500000000000002</v>
      </c>
      <c r="J50" s="788">
        <v>19.809999999999999</v>
      </c>
      <c r="K50" s="788">
        <v>101.94</v>
      </c>
      <c r="L50" s="788">
        <v>345.4</v>
      </c>
      <c r="M50" s="789">
        <v>447.34</v>
      </c>
      <c r="N50"/>
      <c r="O50"/>
      <c r="P50"/>
      <c r="Q50"/>
    </row>
    <row r="51" spans="1:17" customFormat="1" ht="15" customHeight="1" x14ac:dyDescent="0.2">
      <c r="A51" s="786" t="s">
        <v>642</v>
      </c>
      <c r="B51" s="787" t="s">
        <v>641</v>
      </c>
      <c r="C51" s="788">
        <v>0</v>
      </c>
      <c r="D51" s="788">
        <v>11.208</v>
      </c>
      <c r="E51" s="788">
        <v>0</v>
      </c>
      <c r="F51" s="788">
        <v>0</v>
      </c>
      <c r="G51" s="788">
        <v>40.1</v>
      </c>
      <c r="H51" s="788">
        <v>351.65</v>
      </c>
      <c r="I51" s="788">
        <v>0</v>
      </c>
      <c r="J51" s="788">
        <v>0</v>
      </c>
      <c r="K51" s="788">
        <v>11.208</v>
      </c>
      <c r="L51" s="788">
        <v>391.75</v>
      </c>
      <c r="M51" s="789">
        <v>402.95</v>
      </c>
    </row>
    <row r="52" spans="1:17" customFormat="1" ht="15" customHeight="1" x14ac:dyDescent="0.2">
      <c r="A52" s="786" t="s">
        <v>384</v>
      </c>
      <c r="B52" s="787" t="s">
        <v>641</v>
      </c>
      <c r="C52" s="788">
        <v>4.6638999999999999</v>
      </c>
      <c r="D52" s="788">
        <v>17.085000000000001</v>
      </c>
      <c r="E52" s="788">
        <v>0.61680000000000001</v>
      </c>
      <c r="F52" s="788">
        <v>3.1379999999999999</v>
      </c>
      <c r="G52" s="788">
        <v>3.04</v>
      </c>
      <c r="H52" s="788">
        <v>70.17</v>
      </c>
      <c r="I52" s="788">
        <v>0.19400000000000001</v>
      </c>
      <c r="J52" s="788">
        <v>13.279</v>
      </c>
      <c r="K52" s="788">
        <v>25.504000000000001</v>
      </c>
      <c r="L52" s="788">
        <v>86.69</v>
      </c>
      <c r="M52" s="789">
        <v>112.19</v>
      </c>
    </row>
    <row r="53" spans="1:17" customFormat="1" ht="15" customHeight="1" x14ac:dyDescent="0.2">
      <c r="A53" s="786" t="s">
        <v>386</v>
      </c>
      <c r="B53" s="787" t="s">
        <v>641</v>
      </c>
      <c r="C53" s="788">
        <v>2.2191000000000001</v>
      </c>
      <c r="D53" s="788">
        <v>79.126999999999995</v>
      </c>
      <c r="E53" s="788">
        <v>0.3468</v>
      </c>
      <c r="F53" s="788">
        <v>12.252000000000001</v>
      </c>
      <c r="G53" s="788">
        <v>10.39</v>
      </c>
      <c r="H53" s="788">
        <v>150.29</v>
      </c>
      <c r="I53" s="788">
        <v>2.0609999999999999</v>
      </c>
      <c r="J53" s="788">
        <v>12.651999999999999</v>
      </c>
      <c r="K53" s="788">
        <v>93.944999999999993</v>
      </c>
      <c r="L53" s="788">
        <v>175.39</v>
      </c>
      <c r="M53" s="789">
        <v>269.33999999999997</v>
      </c>
    </row>
    <row r="54" spans="1:17" customFormat="1" ht="15" customHeight="1" x14ac:dyDescent="0.2">
      <c r="A54" s="786" t="s">
        <v>521</v>
      </c>
      <c r="B54" s="787" t="s">
        <v>641</v>
      </c>
      <c r="C54" s="788">
        <v>19.491700000000002</v>
      </c>
      <c r="D54" s="788">
        <v>68.557000000000002</v>
      </c>
      <c r="E54" s="788">
        <v>0</v>
      </c>
      <c r="F54" s="788">
        <v>1.9E-2</v>
      </c>
      <c r="G54" s="788">
        <v>810.48</v>
      </c>
      <c r="H54" s="788">
        <v>503.13</v>
      </c>
      <c r="I54" s="788">
        <v>0</v>
      </c>
      <c r="J54" s="788">
        <v>0</v>
      </c>
      <c r="K54" s="788">
        <v>88.067999999999998</v>
      </c>
      <c r="L54" s="788">
        <v>1313.61</v>
      </c>
      <c r="M54" s="789">
        <v>1401.67</v>
      </c>
    </row>
    <row r="55" spans="1:17" customFormat="1" ht="15" customHeight="1" x14ac:dyDescent="0.2">
      <c r="A55" s="786" t="s">
        <v>387</v>
      </c>
      <c r="B55" s="787" t="s">
        <v>641</v>
      </c>
      <c r="C55" s="788">
        <v>0</v>
      </c>
      <c r="D55" s="788">
        <v>0.32300000000000001</v>
      </c>
      <c r="E55" s="788">
        <v>6.6474000000000002</v>
      </c>
      <c r="F55" s="788">
        <v>40.567</v>
      </c>
      <c r="G55" s="788">
        <v>0</v>
      </c>
      <c r="H55" s="788">
        <v>1.1399999999999999</v>
      </c>
      <c r="I55" s="788">
        <v>161.161</v>
      </c>
      <c r="J55" s="788">
        <v>213.81899999999999</v>
      </c>
      <c r="K55" s="788">
        <v>47.537999999999997</v>
      </c>
      <c r="L55" s="788">
        <v>376.12</v>
      </c>
      <c r="M55" s="789">
        <v>423.66</v>
      </c>
    </row>
    <row r="56" spans="1:17" customFormat="1" ht="15" customHeight="1" x14ac:dyDescent="0.2">
      <c r="A56" s="786" t="s">
        <v>388</v>
      </c>
      <c r="B56" s="787" t="s">
        <v>641</v>
      </c>
      <c r="C56" s="788">
        <v>1.6698</v>
      </c>
      <c r="D56" s="788">
        <v>3.3079999999999998</v>
      </c>
      <c r="E56" s="788">
        <v>0.27910000000000001</v>
      </c>
      <c r="F56" s="788">
        <v>1.9930000000000001</v>
      </c>
      <c r="G56" s="788">
        <v>1.68</v>
      </c>
      <c r="H56" s="788">
        <v>44.4</v>
      </c>
      <c r="I56" s="788">
        <v>0.20100000000000001</v>
      </c>
      <c r="J56" s="788">
        <v>9.4359999999999999</v>
      </c>
      <c r="K56" s="788">
        <v>7.25</v>
      </c>
      <c r="L56" s="788">
        <v>55.72</v>
      </c>
      <c r="M56" s="789">
        <v>62.97</v>
      </c>
    </row>
    <row r="57" spans="1:17" customFormat="1" ht="15" customHeight="1" x14ac:dyDescent="0.2">
      <c r="A57" s="786" t="s">
        <v>389</v>
      </c>
      <c r="B57" s="787" t="s">
        <v>641</v>
      </c>
      <c r="C57" s="788">
        <v>7.4816000000000003</v>
      </c>
      <c r="D57" s="788">
        <v>26.417000000000002</v>
      </c>
      <c r="E57" s="788">
        <v>0.30430000000000001</v>
      </c>
      <c r="F57" s="788">
        <v>6.87</v>
      </c>
      <c r="G57" s="788">
        <v>64.63</v>
      </c>
      <c r="H57" s="788">
        <v>106.81</v>
      </c>
      <c r="I57" s="788">
        <v>3.3090000000000002</v>
      </c>
      <c r="J57" s="788">
        <v>20.864999999999998</v>
      </c>
      <c r="K57" s="788">
        <v>41.073</v>
      </c>
      <c r="L57" s="788">
        <v>195.61</v>
      </c>
      <c r="M57" s="789">
        <v>236.69</v>
      </c>
    </row>
    <row r="58" spans="1:17" customFormat="1" ht="15" customHeight="1" x14ac:dyDescent="0.2">
      <c r="A58" s="786" t="s">
        <v>390</v>
      </c>
      <c r="B58" s="787" t="s">
        <v>641</v>
      </c>
      <c r="C58" s="788">
        <v>0.51739999999999997</v>
      </c>
      <c r="D58" s="788">
        <v>24.119</v>
      </c>
      <c r="E58" s="788">
        <v>3.73E-2</v>
      </c>
      <c r="F58" s="788">
        <v>4.7869999999999999</v>
      </c>
      <c r="G58" s="788">
        <v>5.77</v>
      </c>
      <c r="H58" s="788">
        <v>62.68</v>
      </c>
      <c r="I58" s="788">
        <v>6.7000000000000004E-2</v>
      </c>
      <c r="J58" s="788">
        <v>9.43</v>
      </c>
      <c r="K58" s="788">
        <v>29.46</v>
      </c>
      <c r="L58" s="788">
        <v>77.95</v>
      </c>
      <c r="M58" s="789">
        <v>107.41</v>
      </c>
    </row>
    <row r="59" spans="1:17" customFormat="1" ht="15" customHeight="1" x14ac:dyDescent="0.2">
      <c r="A59" s="786" t="s">
        <v>391</v>
      </c>
      <c r="B59" s="787" t="s">
        <v>641</v>
      </c>
      <c r="C59" s="788">
        <v>6.1943999999999999</v>
      </c>
      <c r="D59" s="788">
        <v>0.63300000000000001</v>
      </c>
      <c r="E59" s="788">
        <v>0</v>
      </c>
      <c r="F59" s="788">
        <v>0</v>
      </c>
      <c r="G59" s="788">
        <v>303.32</v>
      </c>
      <c r="H59" s="788">
        <v>16.89</v>
      </c>
      <c r="I59" s="788">
        <v>0</v>
      </c>
      <c r="J59" s="788">
        <v>0</v>
      </c>
      <c r="K59" s="788">
        <v>6.827</v>
      </c>
      <c r="L59" s="788">
        <v>320.20999999999998</v>
      </c>
      <c r="M59" s="789">
        <v>327.04000000000002</v>
      </c>
    </row>
    <row r="60" spans="1:17" customFormat="1" ht="15" customHeight="1" x14ac:dyDescent="0.2">
      <c r="A60" s="786" t="s">
        <v>392</v>
      </c>
      <c r="B60" s="787" t="s">
        <v>641</v>
      </c>
      <c r="C60" s="788">
        <v>3.2082000000000002</v>
      </c>
      <c r="D60" s="788">
        <v>0</v>
      </c>
      <c r="E60" s="788">
        <v>0</v>
      </c>
      <c r="F60" s="788">
        <v>0</v>
      </c>
      <c r="G60" s="788">
        <v>172.63</v>
      </c>
      <c r="H60" s="788">
        <v>0</v>
      </c>
      <c r="I60" s="788">
        <v>0</v>
      </c>
      <c r="J60" s="788">
        <v>0</v>
      </c>
      <c r="K60" s="788">
        <v>3.2080000000000002</v>
      </c>
      <c r="L60" s="788">
        <v>172.63</v>
      </c>
      <c r="M60" s="789">
        <v>175.84</v>
      </c>
    </row>
    <row r="61" spans="1:17" customFormat="1" ht="15" customHeight="1" x14ac:dyDescent="0.2">
      <c r="A61" s="786" t="s">
        <v>345</v>
      </c>
      <c r="B61" s="787" t="s">
        <v>641</v>
      </c>
      <c r="C61" s="788" t="s">
        <v>258</v>
      </c>
      <c r="D61" s="788" t="s">
        <v>258</v>
      </c>
      <c r="E61" s="788" t="s">
        <v>258</v>
      </c>
      <c r="F61" s="788" t="s">
        <v>258</v>
      </c>
      <c r="G61" s="788" t="s">
        <v>258</v>
      </c>
      <c r="H61" s="788" t="s">
        <v>258</v>
      </c>
      <c r="I61" s="788" t="s">
        <v>258</v>
      </c>
      <c r="J61" s="788" t="s">
        <v>258</v>
      </c>
      <c r="K61" s="788" t="s">
        <v>258</v>
      </c>
      <c r="L61" s="788" t="s">
        <v>258</v>
      </c>
      <c r="M61" s="789" t="s">
        <v>258</v>
      </c>
    </row>
    <row r="62" spans="1:17" customFormat="1" ht="15" customHeight="1" x14ac:dyDescent="0.2">
      <c r="A62" s="786" t="s">
        <v>393</v>
      </c>
      <c r="B62" s="787" t="s">
        <v>641</v>
      </c>
      <c r="C62" s="788">
        <v>13.36</v>
      </c>
      <c r="D62" s="788">
        <v>0</v>
      </c>
      <c r="E62" s="788">
        <v>0</v>
      </c>
      <c r="F62" s="788">
        <v>0</v>
      </c>
      <c r="G62" s="788">
        <v>509.45</v>
      </c>
      <c r="H62" s="788">
        <v>4.93</v>
      </c>
      <c r="I62" s="788">
        <v>0</v>
      </c>
      <c r="J62" s="788">
        <v>0</v>
      </c>
      <c r="K62" s="788">
        <v>13.36</v>
      </c>
      <c r="L62" s="788">
        <v>514.38</v>
      </c>
      <c r="M62" s="789">
        <v>527.74</v>
      </c>
    </row>
    <row r="63" spans="1:17" customFormat="1" ht="15" customHeight="1" x14ac:dyDescent="0.2">
      <c r="A63" s="786" t="s">
        <v>394</v>
      </c>
      <c r="B63" s="787" t="s">
        <v>641</v>
      </c>
      <c r="C63" s="788">
        <v>2.9034</v>
      </c>
      <c r="D63" s="788">
        <v>9.6349999999999998</v>
      </c>
      <c r="E63" s="788">
        <v>0</v>
      </c>
      <c r="F63" s="788">
        <v>0</v>
      </c>
      <c r="G63" s="788">
        <v>180.12</v>
      </c>
      <c r="H63" s="788">
        <v>62.36</v>
      </c>
      <c r="I63" s="788">
        <v>0</v>
      </c>
      <c r="J63" s="788">
        <v>0</v>
      </c>
      <c r="K63" s="788">
        <v>12.538</v>
      </c>
      <c r="L63" s="788">
        <v>242.48</v>
      </c>
      <c r="M63" s="789">
        <v>255.02</v>
      </c>
    </row>
    <row r="64" spans="1:17" customFormat="1" ht="15" customHeight="1" x14ac:dyDescent="0.25">
      <c r="A64" s="786" t="s">
        <v>395</v>
      </c>
      <c r="B64" s="787" t="s">
        <v>641</v>
      </c>
      <c r="C64" s="788">
        <v>0.12379999999999999</v>
      </c>
      <c r="D64" s="788">
        <v>6.6369999999999996</v>
      </c>
      <c r="E64" s="788">
        <v>0.86150000000000004</v>
      </c>
      <c r="F64" s="788">
        <v>6.7220000000000004</v>
      </c>
      <c r="G64" s="788">
        <v>2.0299999999999998</v>
      </c>
      <c r="H64" s="788">
        <v>65.760000000000005</v>
      </c>
      <c r="I64" s="788">
        <v>0.56799999999999995</v>
      </c>
      <c r="J64" s="788">
        <v>31.302</v>
      </c>
      <c r="K64" s="788">
        <v>14.343999999999999</v>
      </c>
      <c r="L64" s="788">
        <v>99.66</v>
      </c>
      <c r="M64" s="789">
        <v>114</v>
      </c>
      <c r="O64" s="790" t="s">
        <v>643</v>
      </c>
      <c r="P64" s="790"/>
    </row>
    <row r="65" spans="1:17" customFormat="1" ht="15" customHeight="1" x14ac:dyDescent="0.25">
      <c r="A65" s="786" t="s">
        <v>603</v>
      </c>
      <c r="B65" s="787" t="s">
        <v>641</v>
      </c>
      <c r="C65" s="788">
        <v>2.5579999999999998</v>
      </c>
      <c r="D65" s="788">
        <v>1.85</v>
      </c>
      <c r="E65" s="788">
        <v>0</v>
      </c>
      <c r="F65" s="788">
        <v>0</v>
      </c>
      <c r="G65" s="788">
        <v>51.01</v>
      </c>
      <c r="H65" s="788">
        <v>6.44</v>
      </c>
      <c r="I65" s="788">
        <v>0</v>
      </c>
      <c r="J65" s="788">
        <v>0</v>
      </c>
      <c r="K65" s="788">
        <v>4.4080000000000004</v>
      </c>
      <c r="L65" s="788">
        <v>57.45</v>
      </c>
      <c r="M65" s="789">
        <v>61.86</v>
      </c>
      <c r="O65" s="790" t="s">
        <v>604</v>
      </c>
      <c r="P65" s="790"/>
    </row>
    <row r="66" spans="1:17" customFormat="1" ht="15" customHeight="1" x14ac:dyDescent="0.25">
      <c r="A66" s="786" t="s">
        <v>396</v>
      </c>
      <c r="B66" s="787" t="s">
        <v>641</v>
      </c>
      <c r="C66" s="788">
        <v>3.4678</v>
      </c>
      <c r="D66" s="788">
        <v>35.847999999999999</v>
      </c>
      <c r="E66" s="788">
        <v>0.37769999999999998</v>
      </c>
      <c r="F66" s="788">
        <v>3.8420000000000001</v>
      </c>
      <c r="G66" s="788">
        <v>2.82</v>
      </c>
      <c r="H66" s="788">
        <v>139.61000000000001</v>
      </c>
      <c r="I66" s="788">
        <v>0.45</v>
      </c>
      <c r="J66" s="788">
        <v>6.8620000000000001</v>
      </c>
      <c r="K66" s="788">
        <v>43.534999999999997</v>
      </c>
      <c r="L66" s="788">
        <v>149.74</v>
      </c>
      <c r="M66" s="789">
        <v>193.28</v>
      </c>
      <c r="O66" s="790" t="s">
        <v>644</v>
      </c>
    </row>
    <row r="67" spans="1:17" customFormat="1" ht="15" customHeight="1" x14ac:dyDescent="0.25">
      <c r="A67" s="791" t="s">
        <v>645</v>
      </c>
      <c r="B67" s="792" t="s">
        <v>641</v>
      </c>
      <c r="C67" s="793">
        <v>69.5214</v>
      </c>
      <c r="D67" s="793">
        <v>437.43700000000001</v>
      </c>
      <c r="E67" s="793">
        <v>10.8001</v>
      </c>
      <c r="F67" s="793">
        <v>100.767</v>
      </c>
      <c r="G67" s="793">
        <v>1834.97</v>
      </c>
      <c r="H67" s="793">
        <v>2143.4299999999998</v>
      </c>
      <c r="I67" s="793">
        <v>162.351</v>
      </c>
      <c r="J67" s="793">
        <v>364.38499999999999</v>
      </c>
      <c r="K67" s="793">
        <v>618.52599999999995</v>
      </c>
      <c r="L67" s="793">
        <v>4505.1400000000003</v>
      </c>
      <c r="M67" s="794">
        <v>5123.66</v>
      </c>
      <c r="O67" s="795">
        <f>E67+F67+I67+J67</f>
        <v>638.30309999999997</v>
      </c>
    </row>
    <row r="68" spans="1:17" s="730" customFormat="1" ht="15" customHeight="1" x14ac:dyDescent="0.25">
      <c r="A68" s="732" t="s">
        <v>397</v>
      </c>
      <c r="B68" s="796" t="s">
        <v>646</v>
      </c>
      <c r="C68" s="797" t="s">
        <v>258</v>
      </c>
      <c r="D68" s="797" t="s">
        <v>258</v>
      </c>
      <c r="E68" s="797" t="s">
        <v>258</v>
      </c>
      <c r="F68" s="797" t="s">
        <v>258</v>
      </c>
      <c r="G68" s="797" t="s">
        <v>258</v>
      </c>
      <c r="H68" s="797" t="s">
        <v>258</v>
      </c>
      <c r="I68" s="797" t="s">
        <v>258</v>
      </c>
      <c r="J68" s="797" t="s">
        <v>258</v>
      </c>
      <c r="K68" s="797" t="s">
        <v>258</v>
      </c>
      <c r="L68" s="797" t="s">
        <v>258</v>
      </c>
      <c r="M68" s="798" t="s">
        <v>258</v>
      </c>
      <c r="N68"/>
      <c r="O68"/>
      <c r="P68"/>
      <c r="Q68"/>
    </row>
    <row r="69" spans="1:17" customFormat="1" ht="15" customHeight="1" x14ac:dyDescent="0.2">
      <c r="A69" s="732" t="s">
        <v>365</v>
      </c>
      <c r="B69" s="796" t="s">
        <v>646</v>
      </c>
      <c r="C69" s="797">
        <v>0</v>
      </c>
      <c r="D69" s="797">
        <v>0</v>
      </c>
      <c r="E69" s="797">
        <v>0</v>
      </c>
      <c r="F69" s="797">
        <v>0.70099999999999996</v>
      </c>
      <c r="G69" s="797">
        <v>0</v>
      </c>
      <c r="H69" s="797">
        <v>0</v>
      </c>
      <c r="I69" s="797">
        <v>0</v>
      </c>
      <c r="J69" s="797">
        <v>0</v>
      </c>
      <c r="K69" s="797">
        <v>0.70099999999999996</v>
      </c>
      <c r="L69" s="797">
        <v>0</v>
      </c>
      <c r="M69" s="798">
        <v>0.7</v>
      </c>
    </row>
    <row r="70" spans="1:17" customFormat="1" ht="15" customHeight="1" x14ac:dyDescent="0.2">
      <c r="A70" s="732" t="s">
        <v>398</v>
      </c>
      <c r="B70" s="796" t="s">
        <v>646</v>
      </c>
      <c r="C70" s="797">
        <v>0</v>
      </c>
      <c r="D70" s="797">
        <v>0</v>
      </c>
      <c r="E70" s="797">
        <v>0</v>
      </c>
      <c r="F70" s="797">
        <v>0</v>
      </c>
      <c r="G70" s="797">
        <v>0</v>
      </c>
      <c r="H70" s="797">
        <v>0</v>
      </c>
      <c r="I70" s="797">
        <v>5.0149999999999997</v>
      </c>
      <c r="J70" s="797">
        <v>1.2</v>
      </c>
      <c r="K70" s="797">
        <v>0</v>
      </c>
      <c r="L70" s="797">
        <v>6.21</v>
      </c>
      <c r="M70" s="798">
        <v>6.21</v>
      </c>
    </row>
    <row r="71" spans="1:17" customFormat="1" ht="15" customHeight="1" x14ac:dyDescent="0.2">
      <c r="A71" s="732" t="s">
        <v>399</v>
      </c>
      <c r="B71" s="796" t="s">
        <v>646</v>
      </c>
      <c r="C71" s="797">
        <v>17.746600000000001</v>
      </c>
      <c r="D71" s="797">
        <v>29.486000000000001</v>
      </c>
      <c r="E71" s="797">
        <v>0.31969999999999998</v>
      </c>
      <c r="F71" s="797">
        <v>0.47299999999999998</v>
      </c>
      <c r="G71" s="797">
        <v>11.18</v>
      </c>
      <c r="H71" s="797">
        <v>96.28</v>
      </c>
      <c r="I71" s="797">
        <v>0</v>
      </c>
      <c r="J71" s="797">
        <v>0.248</v>
      </c>
      <c r="K71" s="797">
        <v>48.024999999999999</v>
      </c>
      <c r="L71" s="797">
        <v>107.71</v>
      </c>
      <c r="M71" s="798">
        <v>155.74</v>
      </c>
    </row>
    <row r="72" spans="1:17" customFormat="1" ht="15" customHeight="1" x14ac:dyDescent="0.2">
      <c r="A72" s="732" t="s">
        <v>400</v>
      </c>
      <c r="B72" s="796" t="s">
        <v>646</v>
      </c>
      <c r="C72" s="797">
        <v>1.9086000000000001</v>
      </c>
      <c r="D72" s="797">
        <v>13.368</v>
      </c>
      <c r="E72" s="797">
        <v>2.4299999999999999E-2</v>
      </c>
      <c r="F72" s="797">
        <v>7.2999999999999995E-2</v>
      </c>
      <c r="G72" s="797">
        <v>27.21</v>
      </c>
      <c r="H72" s="797">
        <v>14.81</v>
      </c>
      <c r="I72" s="797">
        <v>3.2829999999999999</v>
      </c>
      <c r="J72" s="797">
        <v>0</v>
      </c>
      <c r="K72" s="797">
        <v>15.374000000000001</v>
      </c>
      <c r="L72" s="797">
        <v>45.3</v>
      </c>
      <c r="M72" s="798">
        <v>60.68</v>
      </c>
    </row>
    <row r="73" spans="1:17" customFormat="1" ht="15" customHeight="1" x14ac:dyDescent="0.2">
      <c r="A73" s="732" t="s">
        <v>401</v>
      </c>
      <c r="B73" s="796" t="s">
        <v>646</v>
      </c>
      <c r="C73" s="797">
        <v>0.39279999999999998</v>
      </c>
      <c r="D73" s="797">
        <v>0.82499999999999996</v>
      </c>
      <c r="E73" s="797">
        <v>2.6615000000000002</v>
      </c>
      <c r="F73" s="797">
        <v>1.62</v>
      </c>
      <c r="G73" s="797">
        <v>49.23</v>
      </c>
      <c r="H73" s="797">
        <v>6.96</v>
      </c>
      <c r="I73" s="797">
        <v>6.5110000000000001</v>
      </c>
      <c r="J73" s="797">
        <v>5.9320000000000004</v>
      </c>
      <c r="K73" s="797">
        <v>5.5</v>
      </c>
      <c r="L73" s="797">
        <v>68.64</v>
      </c>
      <c r="M73" s="798">
        <v>74.14</v>
      </c>
    </row>
    <row r="74" spans="1:17" customFormat="1" ht="15" customHeight="1" x14ac:dyDescent="0.2">
      <c r="A74" s="732" t="s">
        <v>402</v>
      </c>
      <c r="B74" s="796" t="s">
        <v>646</v>
      </c>
      <c r="C74" s="797">
        <v>1.4500000000000001E-2</v>
      </c>
      <c r="D74" s="797">
        <v>0</v>
      </c>
      <c r="E74" s="797">
        <v>6.0568999999999997</v>
      </c>
      <c r="F74" s="797">
        <v>7.6529999999999996</v>
      </c>
      <c r="G74" s="797">
        <v>0</v>
      </c>
      <c r="H74" s="797">
        <v>0</v>
      </c>
      <c r="I74" s="797">
        <v>3.1930000000000001</v>
      </c>
      <c r="J74" s="797">
        <v>11.983000000000001</v>
      </c>
      <c r="K74" s="797">
        <v>13.725</v>
      </c>
      <c r="L74" s="797">
        <v>15.18</v>
      </c>
      <c r="M74" s="798">
        <v>28.9</v>
      </c>
    </row>
    <row r="75" spans="1:17" customFormat="1" ht="15" customHeight="1" x14ac:dyDescent="0.2">
      <c r="A75" s="732" t="s">
        <v>403</v>
      </c>
      <c r="B75" s="796" t="s">
        <v>646</v>
      </c>
      <c r="C75" s="797">
        <v>2.9260000000000002</v>
      </c>
      <c r="D75" s="797">
        <v>36.944000000000003</v>
      </c>
      <c r="E75" s="797">
        <v>1.2479</v>
      </c>
      <c r="F75" s="797">
        <v>7.407</v>
      </c>
      <c r="G75" s="797">
        <v>4.58</v>
      </c>
      <c r="H75" s="797">
        <v>30.02</v>
      </c>
      <c r="I75" s="797">
        <v>2.3239999999999998</v>
      </c>
      <c r="J75" s="797">
        <v>4.5060000000000002</v>
      </c>
      <c r="K75" s="797">
        <v>48.524999999999999</v>
      </c>
      <c r="L75" s="797">
        <v>41.43</v>
      </c>
      <c r="M75" s="798">
        <v>89.95</v>
      </c>
    </row>
    <row r="76" spans="1:17" customFormat="1" ht="15" customHeight="1" x14ac:dyDescent="0.2">
      <c r="A76" s="732" t="s">
        <v>404</v>
      </c>
      <c r="B76" s="796" t="s">
        <v>646</v>
      </c>
      <c r="C76" s="797">
        <v>5.3851000000000004</v>
      </c>
      <c r="D76" s="797">
        <v>63.098999999999997</v>
      </c>
      <c r="E76" s="797">
        <v>0</v>
      </c>
      <c r="F76" s="797">
        <v>0.02</v>
      </c>
      <c r="G76" s="797">
        <v>19.04</v>
      </c>
      <c r="H76" s="797">
        <v>22.39</v>
      </c>
      <c r="I76" s="797">
        <v>0</v>
      </c>
      <c r="J76" s="797">
        <v>0</v>
      </c>
      <c r="K76" s="797">
        <v>68.504999999999995</v>
      </c>
      <c r="L76" s="797">
        <v>41.43</v>
      </c>
      <c r="M76" s="798">
        <v>109.93</v>
      </c>
    </row>
    <row r="77" spans="1:17" customFormat="1" ht="15" customHeight="1" x14ac:dyDescent="0.2">
      <c r="A77" s="739" t="s">
        <v>606</v>
      </c>
      <c r="B77" s="796" t="s">
        <v>646</v>
      </c>
      <c r="C77" s="797">
        <v>0.1754</v>
      </c>
      <c r="D77" s="797">
        <v>0</v>
      </c>
      <c r="E77" s="797">
        <v>0</v>
      </c>
      <c r="F77" s="797">
        <v>0</v>
      </c>
      <c r="G77" s="797">
        <v>0</v>
      </c>
      <c r="H77" s="797">
        <v>0.18</v>
      </c>
      <c r="I77" s="797">
        <v>0</v>
      </c>
      <c r="J77" s="797">
        <v>0</v>
      </c>
      <c r="K77" s="797">
        <v>0.17499999999999999</v>
      </c>
      <c r="L77" s="797">
        <v>0.18</v>
      </c>
      <c r="M77" s="798">
        <v>0.36</v>
      </c>
    </row>
    <row r="78" spans="1:17" customFormat="1" ht="15" customHeight="1" x14ac:dyDescent="0.2">
      <c r="A78" s="732" t="s">
        <v>233</v>
      </c>
      <c r="B78" s="796" t="s">
        <v>646</v>
      </c>
      <c r="C78" s="797">
        <v>6.2933000000000003</v>
      </c>
      <c r="D78" s="797">
        <v>12.255000000000001</v>
      </c>
      <c r="E78" s="797">
        <v>0.78169999999999995</v>
      </c>
      <c r="F78" s="797">
        <v>4.1219999999999999</v>
      </c>
      <c r="G78" s="797">
        <v>5.68</v>
      </c>
      <c r="H78" s="797">
        <v>12.94</v>
      </c>
      <c r="I78" s="797">
        <v>9.5000000000000001E-2</v>
      </c>
      <c r="J78" s="797">
        <v>3.3479999999999999</v>
      </c>
      <c r="K78" s="797">
        <v>23.452000000000002</v>
      </c>
      <c r="L78" s="797">
        <v>22.06</v>
      </c>
      <c r="M78" s="798">
        <v>45.51</v>
      </c>
    </row>
    <row r="79" spans="1:17" customFormat="1" ht="15" customHeight="1" x14ac:dyDescent="0.2">
      <c r="A79" s="732" t="s">
        <v>406</v>
      </c>
      <c r="B79" s="796" t="s">
        <v>646</v>
      </c>
      <c r="C79" s="797">
        <v>4.0815999999999999</v>
      </c>
      <c r="D79" s="797">
        <v>37.316000000000003</v>
      </c>
      <c r="E79" s="797">
        <v>1.5718000000000001</v>
      </c>
      <c r="F79" s="797">
        <v>7.4189999999999996</v>
      </c>
      <c r="G79" s="797">
        <v>5.88</v>
      </c>
      <c r="H79" s="797">
        <v>8.56</v>
      </c>
      <c r="I79" s="797">
        <v>0.47199999999999998</v>
      </c>
      <c r="J79" s="797">
        <v>5.1100000000000003</v>
      </c>
      <c r="K79" s="797">
        <v>50.389000000000003</v>
      </c>
      <c r="L79" s="797">
        <v>20.03</v>
      </c>
      <c r="M79" s="798">
        <v>70.41</v>
      </c>
    </row>
    <row r="80" spans="1:17" customFormat="1" ht="15" customHeight="1" x14ac:dyDescent="0.2">
      <c r="A80" s="732" t="s">
        <v>645</v>
      </c>
      <c r="B80" s="796" t="s">
        <v>646</v>
      </c>
      <c r="C80" s="797">
        <v>43.052100000000003</v>
      </c>
      <c r="D80" s="797">
        <v>191.41800000000001</v>
      </c>
      <c r="E80" s="797">
        <v>13.2859</v>
      </c>
      <c r="F80" s="797">
        <v>30.969000000000001</v>
      </c>
      <c r="G80" s="797">
        <v>99.39</v>
      </c>
      <c r="H80" s="797">
        <v>217.57</v>
      </c>
      <c r="I80" s="797">
        <v>15.178000000000001</v>
      </c>
      <c r="J80" s="797">
        <v>31.905999999999999</v>
      </c>
      <c r="K80" s="797">
        <v>278.72500000000002</v>
      </c>
      <c r="L80" s="797">
        <v>364.04</v>
      </c>
      <c r="M80" s="798">
        <v>642.77</v>
      </c>
    </row>
    <row r="81" spans="1:17" customFormat="1" ht="15" customHeight="1" x14ac:dyDescent="0.2">
      <c r="A81" s="732" t="s">
        <v>407</v>
      </c>
      <c r="B81" s="796" t="s">
        <v>647</v>
      </c>
      <c r="C81" s="797">
        <v>22.0642</v>
      </c>
      <c r="D81" s="797">
        <v>3.5449999999999999</v>
      </c>
      <c r="E81" s="797">
        <v>14.389900000000001</v>
      </c>
      <c r="F81" s="797">
        <v>0.753</v>
      </c>
      <c r="G81" s="797">
        <v>141.61000000000001</v>
      </c>
      <c r="H81" s="797">
        <v>19.829999999999998</v>
      </c>
      <c r="I81" s="797">
        <v>49.098999999999997</v>
      </c>
      <c r="J81" s="797">
        <v>11.555999999999999</v>
      </c>
      <c r="K81" s="797">
        <v>40.752000000000002</v>
      </c>
      <c r="L81" s="797">
        <v>222.1</v>
      </c>
      <c r="M81" s="798">
        <v>262.85000000000002</v>
      </c>
    </row>
    <row r="82" spans="1:17" customFormat="1" ht="15" customHeight="1" x14ac:dyDescent="0.2">
      <c r="A82" s="732" t="s">
        <v>648</v>
      </c>
      <c r="B82" s="796" t="s">
        <v>647</v>
      </c>
      <c r="C82" s="797" t="s">
        <v>258</v>
      </c>
      <c r="D82" s="797" t="s">
        <v>258</v>
      </c>
      <c r="E82" s="797" t="s">
        <v>258</v>
      </c>
      <c r="F82" s="797" t="s">
        <v>258</v>
      </c>
      <c r="G82" s="797" t="s">
        <v>258</v>
      </c>
      <c r="H82" s="797" t="s">
        <v>258</v>
      </c>
      <c r="I82" s="797" t="s">
        <v>258</v>
      </c>
      <c r="J82" s="797" t="s">
        <v>258</v>
      </c>
      <c r="K82" s="797" t="s">
        <v>258</v>
      </c>
      <c r="L82" s="797" t="s">
        <v>258</v>
      </c>
      <c r="M82" s="798" t="s">
        <v>258</v>
      </c>
    </row>
    <row r="83" spans="1:17" customFormat="1" ht="15" customHeight="1" x14ac:dyDescent="0.2">
      <c r="A83" s="732" t="s">
        <v>408</v>
      </c>
      <c r="B83" s="796" t="s">
        <v>647</v>
      </c>
      <c r="C83" s="797">
        <v>9.6900999999999993</v>
      </c>
      <c r="D83" s="797">
        <v>0.59899999999999998</v>
      </c>
      <c r="E83" s="797">
        <v>2.7107000000000001</v>
      </c>
      <c r="F83" s="797">
        <v>1.2999999999999999E-2</v>
      </c>
      <c r="G83" s="797">
        <v>29.58</v>
      </c>
      <c r="H83" s="797">
        <v>0</v>
      </c>
      <c r="I83" s="797">
        <v>4.8289999999999997</v>
      </c>
      <c r="J83" s="797">
        <v>0</v>
      </c>
      <c r="K83" s="797">
        <v>13.012</v>
      </c>
      <c r="L83" s="797">
        <v>34.409999999999997</v>
      </c>
      <c r="M83" s="798">
        <v>47.42</v>
      </c>
    </row>
    <row r="84" spans="1:17" customFormat="1" ht="15" customHeight="1" x14ac:dyDescent="0.2">
      <c r="A84" s="732" t="s">
        <v>409</v>
      </c>
      <c r="B84" s="796" t="s">
        <v>647</v>
      </c>
      <c r="C84" s="797">
        <v>0.74819999999999998</v>
      </c>
      <c r="D84" s="797">
        <v>0</v>
      </c>
      <c r="E84" s="797">
        <v>0.58509999999999995</v>
      </c>
      <c r="F84" s="797">
        <v>3.4000000000000002E-2</v>
      </c>
      <c r="G84" s="797">
        <v>9.73</v>
      </c>
      <c r="H84" s="797">
        <v>1.58</v>
      </c>
      <c r="I84" s="797">
        <v>6.5540000000000003</v>
      </c>
      <c r="J84" s="797">
        <v>5.6000000000000001E-2</v>
      </c>
      <c r="K84" s="797">
        <v>1.367</v>
      </c>
      <c r="L84" s="797">
        <v>17.920000000000002</v>
      </c>
      <c r="M84" s="798">
        <v>19.29</v>
      </c>
    </row>
    <row r="85" spans="1:17" customFormat="1" ht="15" customHeight="1" x14ac:dyDescent="0.2">
      <c r="A85" s="732" t="s">
        <v>410</v>
      </c>
      <c r="B85" s="796" t="s">
        <v>647</v>
      </c>
      <c r="C85" s="797">
        <v>0.55820000000000003</v>
      </c>
      <c r="D85" s="797">
        <v>0</v>
      </c>
      <c r="E85" s="797">
        <v>0.12720000000000001</v>
      </c>
      <c r="F85" s="797">
        <v>0</v>
      </c>
      <c r="G85" s="797">
        <v>6.3</v>
      </c>
      <c r="H85" s="797">
        <v>0.54</v>
      </c>
      <c r="I85" s="797">
        <v>2.5720000000000001</v>
      </c>
      <c r="J85" s="797">
        <v>0</v>
      </c>
      <c r="K85" s="797">
        <v>0.68500000000000005</v>
      </c>
      <c r="L85" s="797">
        <v>9.41</v>
      </c>
      <c r="M85" s="798">
        <v>10.09</v>
      </c>
    </row>
    <row r="86" spans="1:17" customFormat="1" ht="15" customHeight="1" x14ac:dyDescent="0.2">
      <c r="A86" s="732" t="s">
        <v>411</v>
      </c>
      <c r="B86" s="796" t="s">
        <v>647</v>
      </c>
      <c r="C86" s="797">
        <v>0.29520000000000002</v>
      </c>
      <c r="D86" s="797">
        <v>0</v>
      </c>
      <c r="E86" s="797">
        <v>0.3977</v>
      </c>
      <c r="F86" s="797">
        <v>0</v>
      </c>
      <c r="G86" s="797">
        <v>1.64</v>
      </c>
      <c r="H86" s="797">
        <v>0</v>
      </c>
      <c r="I86" s="797">
        <v>1.46</v>
      </c>
      <c r="J86" s="797">
        <v>0</v>
      </c>
      <c r="K86" s="797">
        <v>0.69299999999999995</v>
      </c>
      <c r="L86" s="797">
        <v>3.1</v>
      </c>
      <c r="M86" s="798">
        <v>3.79</v>
      </c>
    </row>
    <row r="87" spans="1:17" customFormat="1" ht="15" customHeight="1" x14ac:dyDescent="0.2">
      <c r="A87" s="732" t="s">
        <v>649</v>
      </c>
      <c r="B87" s="796" t="s">
        <v>647</v>
      </c>
      <c r="C87" s="797">
        <v>0.20050000000000001</v>
      </c>
      <c r="D87" s="797">
        <v>0</v>
      </c>
      <c r="E87" s="797">
        <v>0</v>
      </c>
      <c r="F87" s="797">
        <v>0</v>
      </c>
      <c r="G87" s="797">
        <v>0.13</v>
      </c>
      <c r="H87" s="797">
        <v>0</v>
      </c>
      <c r="I87" s="797">
        <v>0</v>
      </c>
      <c r="J87" s="797">
        <v>0</v>
      </c>
      <c r="K87" s="797">
        <v>0.20100000000000001</v>
      </c>
      <c r="L87" s="797">
        <v>0.13</v>
      </c>
      <c r="M87" s="798">
        <v>0.34</v>
      </c>
    </row>
    <row r="88" spans="1:17" customFormat="1" ht="15" customHeight="1" x14ac:dyDescent="0.2">
      <c r="A88" s="732" t="s">
        <v>412</v>
      </c>
      <c r="B88" s="796" t="s">
        <v>647</v>
      </c>
      <c r="C88" s="797">
        <v>10.0359</v>
      </c>
      <c r="D88" s="797">
        <v>0.57299999999999995</v>
      </c>
      <c r="E88" s="797">
        <v>3.1467999999999998</v>
      </c>
      <c r="F88" s="797">
        <v>0</v>
      </c>
      <c r="G88" s="797">
        <v>30.39</v>
      </c>
      <c r="H88" s="797">
        <v>0.36</v>
      </c>
      <c r="I88" s="797">
        <v>15.336</v>
      </c>
      <c r="J88" s="797">
        <v>0.25700000000000001</v>
      </c>
      <c r="K88" s="797">
        <v>13.755000000000001</v>
      </c>
      <c r="L88" s="797">
        <v>46.34</v>
      </c>
      <c r="M88" s="798">
        <v>60.1</v>
      </c>
    </row>
    <row r="89" spans="1:17" customFormat="1" ht="15" customHeight="1" x14ac:dyDescent="0.2">
      <c r="A89" s="799" t="s">
        <v>645</v>
      </c>
      <c r="B89" s="800" t="s">
        <v>647</v>
      </c>
      <c r="C89" s="801">
        <v>41.951300000000003</v>
      </c>
      <c r="D89" s="801">
        <v>4.7460000000000004</v>
      </c>
      <c r="E89" s="801">
        <v>21.322299999999998</v>
      </c>
      <c r="F89" s="801">
        <v>0.83599999999999997</v>
      </c>
      <c r="G89" s="801">
        <v>218.57</v>
      </c>
      <c r="H89" s="801">
        <v>23.38</v>
      </c>
      <c r="I89" s="801">
        <v>80.614999999999995</v>
      </c>
      <c r="J89" s="801">
        <v>12.587</v>
      </c>
      <c r="K89" s="801">
        <v>68.855999999999995</v>
      </c>
      <c r="L89" s="801">
        <v>335.15</v>
      </c>
      <c r="M89" s="802">
        <v>404.01</v>
      </c>
    </row>
    <row r="90" spans="1:17" customFormat="1" ht="15" customHeight="1" x14ac:dyDescent="0.2">
      <c r="A90" s="732" t="s">
        <v>650</v>
      </c>
      <c r="B90" s="796" t="s">
        <v>651</v>
      </c>
      <c r="C90" s="797">
        <v>0</v>
      </c>
      <c r="D90" s="797">
        <v>0</v>
      </c>
      <c r="E90" s="797">
        <v>0</v>
      </c>
      <c r="F90" s="797">
        <v>0</v>
      </c>
      <c r="G90" s="797">
        <v>2.4700000000000002</v>
      </c>
      <c r="H90" s="797">
        <v>0</v>
      </c>
      <c r="I90" s="797">
        <v>1</v>
      </c>
      <c r="J90" s="797">
        <v>0</v>
      </c>
      <c r="K90" s="797">
        <v>0</v>
      </c>
      <c r="L90" s="797">
        <v>3.47</v>
      </c>
      <c r="M90" s="798">
        <v>3.47</v>
      </c>
    </row>
    <row r="91" spans="1:17" customFormat="1" ht="15" customHeight="1" x14ac:dyDescent="0.2">
      <c r="A91" s="732" t="s">
        <v>652</v>
      </c>
      <c r="B91" s="796" t="s">
        <v>651</v>
      </c>
      <c r="C91" s="797">
        <v>0</v>
      </c>
      <c r="D91" s="797">
        <v>0</v>
      </c>
      <c r="E91" s="797">
        <v>0</v>
      </c>
      <c r="F91" s="797">
        <v>0</v>
      </c>
      <c r="G91" s="797">
        <v>9</v>
      </c>
      <c r="H91" s="797">
        <v>0</v>
      </c>
      <c r="I91" s="797">
        <v>1</v>
      </c>
      <c r="J91" s="797">
        <v>0</v>
      </c>
      <c r="K91" s="797">
        <v>0</v>
      </c>
      <c r="L91" s="797">
        <v>10</v>
      </c>
      <c r="M91" s="798">
        <v>10</v>
      </c>
    </row>
    <row r="92" spans="1:17" customFormat="1" ht="15" customHeight="1" x14ac:dyDescent="0.2">
      <c r="A92" s="732" t="s">
        <v>417</v>
      </c>
      <c r="B92" s="796" t="s">
        <v>651</v>
      </c>
      <c r="C92" s="797" t="s">
        <v>258</v>
      </c>
      <c r="D92" s="797" t="s">
        <v>258</v>
      </c>
      <c r="E92" s="797" t="s">
        <v>258</v>
      </c>
      <c r="F92" s="797" t="s">
        <v>258</v>
      </c>
      <c r="G92" s="797" t="s">
        <v>258</v>
      </c>
      <c r="H92" s="797" t="s">
        <v>258</v>
      </c>
      <c r="I92" s="797" t="s">
        <v>258</v>
      </c>
      <c r="J92" s="797" t="s">
        <v>258</v>
      </c>
      <c r="K92" s="797" t="s">
        <v>258</v>
      </c>
      <c r="L92" s="797" t="s">
        <v>258</v>
      </c>
      <c r="M92" s="798" t="s">
        <v>258</v>
      </c>
    </row>
    <row r="93" spans="1:17" customFormat="1" ht="15" customHeight="1" thickBot="1" x14ac:dyDescent="0.25">
      <c r="A93" s="803" t="s">
        <v>645</v>
      </c>
      <c r="B93" s="804" t="s">
        <v>653</v>
      </c>
      <c r="C93" s="805">
        <v>0</v>
      </c>
      <c r="D93" s="805">
        <v>0</v>
      </c>
      <c r="E93" s="805">
        <v>0</v>
      </c>
      <c r="F93" s="805">
        <v>0</v>
      </c>
      <c r="G93" s="805">
        <v>13.18</v>
      </c>
      <c r="H93" s="805">
        <v>0</v>
      </c>
      <c r="I93" s="805">
        <v>2.2970000000000002</v>
      </c>
      <c r="J93" s="805">
        <v>0</v>
      </c>
      <c r="K93" s="805">
        <v>0</v>
      </c>
      <c r="L93" s="805">
        <v>15.47</v>
      </c>
      <c r="M93" s="806">
        <v>15.47</v>
      </c>
    </row>
    <row r="94" spans="1:17" customFormat="1" ht="15" customHeight="1" x14ac:dyDescent="0.2">
      <c r="C94" s="116"/>
      <c r="D94" s="116"/>
      <c r="E94" s="116"/>
      <c r="F94" s="116"/>
      <c r="G94" s="116"/>
      <c r="H94" s="116"/>
      <c r="I94" s="116"/>
      <c r="J94" s="116"/>
      <c r="K94" s="116"/>
      <c r="L94" s="116"/>
      <c r="M94" s="116"/>
    </row>
    <row r="95" spans="1:17" customFormat="1" x14ac:dyDescent="0.25">
      <c r="A95" s="206"/>
      <c r="B95" s="206"/>
      <c r="C95" s="206"/>
      <c r="D95" s="206"/>
      <c r="E95" s="206"/>
      <c r="F95" s="206"/>
      <c r="G95" s="206"/>
      <c r="H95" s="206"/>
      <c r="I95" s="206"/>
      <c r="J95" s="206"/>
      <c r="K95" s="206"/>
      <c r="L95" s="206"/>
      <c r="M95" s="206"/>
      <c r="N95" s="206"/>
      <c r="O95" s="206"/>
      <c r="P95" s="206"/>
      <c r="Q95" s="206"/>
    </row>
    <row r="96" spans="1:17" s="613" customFormat="1" ht="22.5" customHeight="1" x14ac:dyDescent="0.2">
      <c r="A96" s="614"/>
      <c r="B96" s="614"/>
      <c r="C96" s="614"/>
      <c r="D96" s="615" t="s">
        <v>617</v>
      </c>
      <c r="E96" s="614"/>
      <c r="F96" s="614"/>
      <c r="G96" s="614"/>
      <c r="H96" s="614"/>
      <c r="I96" s="614"/>
      <c r="J96" s="614"/>
      <c r="K96" s="614"/>
      <c r="L96" s="614"/>
      <c r="M96" s="614"/>
      <c r="N96" s="614"/>
    </row>
    <row r="97" spans="1:19" customFormat="1" ht="13.5" thickBot="1" x14ac:dyDescent="0.25">
      <c r="A97" s="638"/>
      <c r="B97" s="173"/>
      <c r="C97" s="173"/>
      <c r="D97" s="173"/>
      <c r="E97" s="173"/>
      <c r="F97" s="173"/>
      <c r="G97" s="173"/>
      <c r="H97" s="173"/>
      <c r="I97" s="173"/>
      <c r="J97" s="173"/>
      <c r="K97" s="173"/>
      <c r="L97" s="173"/>
    </row>
    <row r="98" spans="1:19" customFormat="1" ht="48.6" customHeight="1" x14ac:dyDescent="0.2">
      <c r="A98" s="724" t="s">
        <v>342</v>
      </c>
      <c r="B98" s="725" t="s">
        <v>591</v>
      </c>
      <c r="C98" s="725" t="s">
        <v>592</v>
      </c>
      <c r="D98" s="725" t="s">
        <v>593</v>
      </c>
      <c r="E98" s="725" t="s">
        <v>594</v>
      </c>
      <c r="F98" s="725" t="s">
        <v>595</v>
      </c>
      <c r="G98" s="725" t="s">
        <v>596</v>
      </c>
      <c r="H98" s="725" t="s">
        <v>597</v>
      </c>
      <c r="I98" s="725" t="s">
        <v>598</v>
      </c>
      <c r="J98" s="725" t="s">
        <v>599</v>
      </c>
      <c r="K98" s="725" t="s">
        <v>600</v>
      </c>
      <c r="L98" s="726" t="s">
        <v>601</v>
      </c>
      <c r="M98" s="174"/>
      <c r="N98" s="174"/>
      <c r="O98" s="174"/>
      <c r="P98" s="174"/>
      <c r="Q98" s="174"/>
    </row>
    <row r="99" spans="1:19" customFormat="1" ht="12.75" x14ac:dyDescent="0.2">
      <c r="A99" s="727" t="s">
        <v>259</v>
      </c>
      <c r="B99" s="728">
        <v>84.605000000000004</v>
      </c>
      <c r="C99" s="728">
        <v>50.706800000000001</v>
      </c>
      <c r="D99" s="728">
        <v>3.726</v>
      </c>
      <c r="E99" s="728">
        <v>6.5862999999999996</v>
      </c>
      <c r="F99" s="728">
        <v>145.625</v>
      </c>
      <c r="G99" s="728">
        <v>129.274</v>
      </c>
      <c r="H99" s="728">
        <v>184.93700000000001</v>
      </c>
      <c r="I99" s="728">
        <v>1.1479999999999999</v>
      </c>
      <c r="J99" s="728">
        <v>4.9260000000000002</v>
      </c>
      <c r="K99" s="728">
        <v>320.27999999999997</v>
      </c>
      <c r="L99" s="729">
        <f>F99+K99</f>
        <v>465.90499999999997</v>
      </c>
    </row>
    <row r="100" spans="1:19" customFormat="1" ht="12.75" x14ac:dyDescent="0.2">
      <c r="A100" s="727" t="s">
        <v>384</v>
      </c>
      <c r="B100" s="728">
        <v>27.574999999999999</v>
      </c>
      <c r="C100" s="728">
        <v>10.306800000000001</v>
      </c>
      <c r="D100" s="728">
        <v>2.7972999999999999</v>
      </c>
      <c r="E100" s="728">
        <v>3.7671000000000001</v>
      </c>
      <c r="F100" s="728">
        <v>44.447000000000003</v>
      </c>
      <c r="G100" s="728">
        <v>42.832999999999998</v>
      </c>
      <c r="H100" s="728">
        <v>31.449000000000002</v>
      </c>
      <c r="I100" s="728">
        <v>4.5229999999999997</v>
      </c>
      <c r="J100" s="728">
        <v>5.0679999999999996</v>
      </c>
      <c r="K100" s="728">
        <v>83.87</v>
      </c>
      <c r="L100" s="729">
        <f t="shared" ref="L100:L140" si="0">F100+K100</f>
        <v>128.31700000000001</v>
      </c>
    </row>
    <row r="101" spans="1:19" customFormat="1" ht="12.75" x14ac:dyDescent="0.2">
      <c r="A101" s="727" t="s">
        <v>385</v>
      </c>
      <c r="B101" s="728">
        <v>46.712000000000003</v>
      </c>
      <c r="C101" s="728">
        <v>14.178100000000001</v>
      </c>
      <c r="D101" s="728">
        <v>0</v>
      </c>
      <c r="E101" s="728">
        <v>0</v>
      </c>
      <c r="F101" s="728">
        <v>60.89</v>
      </c>
      <c r="G101" s="728">
        <v>142.22999999999999</v>
      </c>
      <c r="H101" s="728">
        <v>210.31800000000001</v>
      </c>
      <c r="I101" s="728">
        <v>0</v>
      </c>
      <c r="J101" s="728">
        <v>0</v>
      </c>
      <c r="K101" s="728">
        <v>352.55</v>
      </c>
      <c r="L101" s="729">
        <f t="shared" si="0"/>
        <v>413.44</v>
      </c>
      <c r="S101" s="116">
        <f>F149+L149</f>
        <v>490.93099999999998</v>
      </c>
    </row>
    <row r="102" spans="1:19" customFormat="1" ht="12.75" x14ac:dyDescent="0.2">
      <c r="A102" s="727" t="s">
        <v>386</v>
      </c>
      <c r="B102" s="728">
        <v>69.058000000000007</v>
      </c>
      <c r="C102" s="728">
        <v>43.947899999999997</v>
      </c>
      <c r="D102" s="728">
        <v>10.052099999999999</v>
      </c>
      <c r="E102" s="728">
        <v>8.9205000000000005</v>
      </c>
      <c r="F102" s="728">
        <v>131.97800000000001</v>
      </c>
      <c r="G102" s="728">
        <v>48.518000000000001</v>
      </c>
      <c r="H102" s="728">
        <v>80.103999999999999</v>
      </c>
      <c r="I102" s="728">
        <v>6.899</v>
      </c>
      <c r="J102" s="728">
        <v>9.5449999999999999</v>
      </c>
      <c r="K102" s="728">
        <v>145.07</v>
      </c>
      <c r="L102" s="729">
        <f t="shared" si="0"/>
        <v>277.048</v>
      </c>
    </row>
    <row r="103" spans="1:19" customFormat="1" ht="12.75" x14ac:dyDescent="0.2">
      <c r="A103" s="727" t="s">
        <v>521</v>
      </c>
      <c r="B103" s="728">
        <v>114.893</v>
      </c>
      <c r="C103" s="728">
        <v>39.915100000000002</v>
      </c>
      <c r="D103" s="728">
        <v>0</v>
      </c>
      <c r="E103" s="728">
        <v>0</v>
      </c>
      <c r="F103" s="728">
        <v>154.80799999999999</v>
      </c>
      <c r="G103" s="728">
        <v>727.59699999999998</v>
      </c>
      <c r="H103" s="728">
        <v>360.87900000000002</v>
      </c>
      <c r="I103" s="728">
        <v>0</v>
      </c>
      <c r="J103" s="728">
        <v>0</v>
      </c>
      <c r="K103" s="728">
        <v>1088.48</v>
      </c>
      <c r="L103" s="729">
        <f t="shared" si="0"/>
        <v>1243.288</v>
      </c>
    </row>
    <row r="104" spans="1:19" customFormat="1" ht="12.75" x14ac:dyDescent="0.2">
      <c r="A104" s="727" t="s">
        <v>387</v>
      </c>
      <c r="B104" s="728">
        <v>0</v>
      </c>
      <c r="C104" s="728">
        <v>5.4999999999999997E-3</v>
      </c>
      <c r="D104" s="728">
        <v>64.257499999999993</v>
      </c>
      <c r="E104" s="728">
        <v>22.978100000000001</v>
      </c>
      <c r="F104" s="728">
        <v>87.241</v>
      </c>
      <c r="G104" s="728">
        <v>0</v>
      </c>
      <c r="H104" s="728">
        <v>0</v>
      </c>
      <c r="I104" s="728">
        <v>177.244</v>
      </c>
      <c r="J104" s="728">
        <v>124.26600000000001</v>
      </c>
      <c r="K104" s="728">
        <v>301.51</v>
      </c>
      <c r="L104" s="729">
        <f t="shared" si="0"/>
        <v>388.75099999999998</v>
      </c>
    </row>
    <row r="105" spans="1:19" customFormat="1" ht="12.75" x14ac:dyDescent="0.2">
      <c r="A105" s="727" t="s">
        <v>388</v>
      </c>
      <c r="B105" s="728">
        <v>11.827</v>
      </c>
      <c r="C105" s="728">
        <v>6.2877000000000001</v>
      </c>
      <c r="D105" s="728">
        <v>2.1589</v>
      </c>
      <c r="E105" s="728">
        <v>0.53969999999999996</v>
      </c>
      <c r="F105" s="728">
        <v>20.814</v>
      </c>
      <c r="G105" s="728">
        <v>16.164000000000001</v>
      </c>
      <c r="H105" s="728">
        <v>23.984000000000002</v>
      </c>
      <c r="I105" s="728">
        <v>2.9319999999999999</v>
      </c>
      <c r="J105" s="728">
        <v>5.2270000000000003</v>
      </c>
      <c r="K105" s="728">
        <v>48.31</v>
      </c>
      <c r="L105" s="729">
        <f t="shared" si="0"/>
        <v>69.123999999999995</v>
      </c>
    </row>
    <row r="106" spans="1:19" customFormat="1" ht="12.75" x14ac:dyDescent="0.2">
      <c r="A106" s="727" t="s">
        <v>389</v>
      </c>
      <c r="B106" s="728">
        <v>46.344999999999999</v>
      </c>
      <c r="C106" s="728">
        <v>13.071199999999999</v>
      </c>
      <c r="D106" s="728">
        <v>7.6493000000000002</v>
      </c>
      <c r="E106" s="728">
        <v>4.3753000000000002</v>
      </c>
      <c r="F106" s="728">
        <v>71.441000000000003</v>
      </c>
      <c r="G106" s="728">
        <v>91.137</v>
      </c>
      <c r="H106" s="728">
        <v>62.082000000000001</v>
      </c>
      <c r="I106" s="728">
        <v>6.2789999999999999</v>
      </c>
      <c r="J106" s="728">
        <v>7.8140000000000001</v>
      </c>
      <c r="K106" s="728">
        <v>167.31</v>
      </c>
      <c r="L106" s="729">
        <f t="shared" si="0"/>
        <v>238.751</v>
      </c>
    </row>
    <row r="107" spans="1:19" customFormat="1" ht="12.75" x14ac:dyDescent="0.2">
      <c r="A107" s="727" t="s">
        <v>390</v>
      </c>
      <c r="B107" s="728">
        <v>14.558999999999999</v>
      </c>
      <c r="C107" s="728">
        <v>14.9041</v>
      </c>
      <c r="D107" s="728">
        <v>3.3397000000000001</v>
      </c>
      <c r="E107" s="728">
        <v>3.6766999999999999</v>
      </c>
      <c r="F107" s="728">
        <v>36.478999999999999</v>
      </c>
      <c r="G107" s="728">
        <v>25.137</v>
      </c>
      <c r="H107" s="728">
        <v>41.31</v>
      </c>
      <c r="I107" s="728">
        <v>3.742</v>
      </c>
      <c r="J107" s="728">
        <v>7</v>
      </c>
      <c r="K107" s="728">
        <v>77.19</v>
      </c>
      <c r="L107" s="729">
        <f t="shared" si="0"/>
        <v>113.669</v>
      </c>
    </row>
    <row r="108" spans="1:19" customFormat="1" ht="12.75" x14ac:dyDescent="0.2">
      <c r="A108" s="727" t="s">
        <v>391</v>
      </c>
      <c r="B108" s="728">
        <v>36.942</v>
      </c>
      <c r="C108" s="728">
        <v>5.9150999999999998</v>
      </c>
      <c r="D108" s="728">
        <v>0</v>
      </c>
      <c r="E108" s="728">
        <v>0</v>
      </c>
      <c r="F108" s="728">
        <v>42.857999999999997</v>
      </c>
      <c r="G108" s="728">
        <v>229.35900000000001</v>
      </c>
      <c r="H108" s="728">
        <v>53.279000000000003</v>
      </c>
      <c r="I108" s="728">
        <v>0</v>
      </c>
      <c r="J108" s="728">
        <v>0</v>
      </c>
      <c r="K108" s="728">
        <v>282.64</v>
      </c>
      <c r="L108" s="729">
        <f t="shared" si="0"/>
        <v>325.49799999999999</v>
      </c>
    </row>
    <row r="109" spans="1:19" customFormat="1" ht="12.75" x14ac:dyDescent="0.2">
      <c r="A109" s="727" t="s">
        <v>392</v>
      </c>
      <c r="B109" s="728">
        <v>13.345000000000001</v>
      </c>
      <c r="C109" s="728">
        <v>6.1534000000000004</v>
      </c>
      <c r="D109" s="728">
        <v>0</v>
      </c>
      <c r="E109" s="728">
        <v>0</v>
      </c>
      <c r="F109" s="728">
        <v>19.498999999999999</v>
      </c>
      <c r="G109" s="728">
        <v>114.78100000000001</v>
      </c>
      <c r="H109" s="728">
        <v>39.625</v>
      </c>
      <c r="I109" s="728">
        <v>0</v>
      </c>
      <c r="J109" s="728">
        <v>0</v>
      </c>
      <c r="K109" s="728">
        <v>154.41</v>
      </c>
      <c r="L109" s="729">
        <f t="shared" si="0"/>
        <v>173.90899999999999</v>
      </c>
    </row>
    <row r="110" spans="1:19" customFormat="1" ht="12.75" x14ac:dyDescent="0.2">
      <c r="A110" s="727" t="s">
        <v>345</v>
      </c>
      <c r="B110" s="728">
        <v>5.2160000000000002</v>
      </c>
      <c r="C110" s="728">
        <v>2.3068</v>
      </c>
      <c r="D110" s="728">
        <v>0</v>
      </c>
      <c r="E110" s="728">
        <v>0</v>
      </c>
      <c r="F110" s="728">
        <v>7.5229999999999997</v>
      </c>
      <c r="G110" s="728">
        <v>57.317999999999998</v>
      </c>
      <c r="H110" s="728">
        <v>22.786000000000001</v>
      </c>
      <c r="I110" s="728">
        <v>0</v>
      </c>
      <c r="J110" s="728">
        <v>0</v>
      </c>
      <c r="K110" s="728">
        <v>80.099999999999994</v>
      </c>
      <c r="L110" s="729">
        <f t="shared" si="0"/>
        <v>87.62299999999999</v>
      </c>
    </row>
    <row r="111" spans="1:19" customFormat="1" ht="12.75" x14ac:dyDescent="0.2">
      <c r="A111" s="727" t="s">
        <v>393</v>
      </c>
      <c r="B111" s="728">
        <v>37.677</v>
      </c>
      <c r="C111" s="728">
        <v>12.698600000000001</v>
      </c>
      <c r="D111" s="728">
        <v>0</v>
      </c>
      <c r="E111" s="728">
        <v>0</v>
      </c>
      <c r="F111" s="728">
        <v>50.375</v>
      </c>
      <c r="G111" s="728">
        <v>334.214</v>
      </c>
      <c r="H111" s="728">
        <v>73.488</v>
      </c>
      <c r="I111" s="728">
        <v>0</v>
      </c>
      <c r="J111" s="728">
        <v>0</v>
      </c>
      <c r="K111" s="728">
        <v>407.7</v>
      </c>
      <c r="L111" s="729">
        <f t="shared" si="0"/>
        <v>458.07499999999999</v>
      </c>
    </row>
    <row r="112" spans="1:19" customFormat="1" ht="12.75" x14ac:dyDescent="0.2">
      <c r="A112" s="727" t="s">
        <v>394</v>
      </c>
      <c r="B112" s="728">
        <v>24.667999999999999</v>
      </c>
      <c r="C112" s="728">
        <v>10.191800000000001</v>
      </c>
      <c r="D112" s="728">
        <v>0</v>
      </c>
      <c r="E112" s="728">
        <v>0</v>
      </c>
      <c r="F112" s="728">
        <v>34.86</v>
      </c>
      <c r="G112" s="728">
        <v>155.578</v>
      </c>
      <c r="H112" s="728">
        <v>59.625</v>
      </c>
      <c r="I112" s="728">
        <v>0</v>
      </c>
      <c r="J112" s="728">
        <v>0</v>
      </c>
      <c r="K112" s="728">
        <v>215.2</v>
      </c>
      <c r="L112" s="729">
        <f t="shared" si="0"/>
        <v>250.06</v>
      </c>
    </row>
    <row r="113" spans="1:17" customFormat="1" ht="12.75" x14ac:dyDescent="0.2">
      <c r="A113" s="727" t="s">
        <v>395</v>
      </c>
      <c r="B113" s="728">
        <v>13.888</v>
      </c>
      <c r="C113" s="728">
        <v>10.961600000000001</v>
      </c>
      <c r="D113" s="728">
        <v>7.0411000000000001</v>
      </c>
      <c r="E113" s="728">
        <v>3.7014</v>
      </c>
      <c r="F113" s="728">
        <v>35.591999999999999</v>
      </c>
      <c r="G113" s="728">
        <v>18.573</v>
      </c>
      <c r="H113" s="728">
        <v>41.988999999999997</v>
      </c>
      <c r="I113" s="728">
        <v>10.183999999999999</v>
      </c>
      <c r="J113" s="728">
        <v>19.396999999999998</v>
      </c>
      <c r="K113" s="728">
        <v>90.14</v>
      </c>
      <c r="L113" s="729">
        <f t="shared" si="0"/>
        <v>125.732</v>
      </c>
      <c r="N113" s="737" t="s">
        <v>602</v>
      </c>
    </row>
    <row r="114" spans="1:17" customFormat="1" ht="12.75" x14ac:dyDescent="0.2">
      <c r="A114" s="727" t="s">
        <v>603</v>
      </c>
      <c r="B114" s="728">
        <v>8.6579999999999995</v>
      </c>
      <c r="C114" s="728">
        <v>2.8027000000000002</v>
      </c>
      <c r="D114" s="728">
        <v>0</v>
      </c>
      <c r="E114" s="728">
        <v>0</v>
      </c>
      <c r="F114" s="728">
        <v>11.46</v>
      </c>
      <c r="G114" s="728">
        <v>37.819000000000003</v>
      </c>
      <c r="H114" s="728">
        <v>12.013999999999999</v>
      </c>
      <c r="I114" s="728">
        <v>0</v>
      </c>
      <c r="J114" s="728">
        <v>0</v>
      </c>
      <c r="K114" s="728">
        <v>49.83</v>
      </c>
      <c r="L114" s="729">
        <f t="shared" si="0"/>
        <v>61.29</v>
      </c>
      <c r="N114" s="738" t="s">
        <v>604</v>
      </c>
    </row>
    <row r="115" spans="1:17" customFormat="1" ht="12.75" x14ac:dyDescent="0.2">
      <c r="A115" s="727" t="s">
        <v>396</v>
      </c>
      <c r="B115" s="728">
        <v>36.584000000000003</v>
      </c>
      <c r="C115" s="728">
        <v>29.794499999999999</v>
      </c>
      <c r="D115" s="728">
        <v>3.2465999999999999</v>
      </c>
      <c r="E115" s="728">
        <v>3.5205000000000002</v>
      </c>
      <c r="F115" s="728">
        <v>73.144999999999996</v>
      </c>
      <c r="G115" s="728">
        <v>42.082000000000001</v>
      </c>
      <c r="H115" s="728">
        <v>77.679000000000002</v>
      </c>
      <c r="I115" s="728">
        <v>1.17</v>
      </c>
      <c r="J115" s="728">
        <v>7.4189999999999996</v>
      </c>
      <c r="K115" s="728">
        <v>128.35</v>
      </c>
      <c r="L115" s="729">
        <f t="shared" si="0"/>
        <v>201.495</v>
      </c>
      <c r="N115" s="737" t="s">
        <v>605</v>
      </c>
    </row>
    <row r="116" spans="1:17" customFormat="1" x14ac:dyDescent="0.25">
      <c r="A116" s="746" t="s">
        <v>48</v>
      </c>
      <c r="B116" s="747">
        <f>SUM(B99:B115)</f>
        <v>592.55200000000013</v>
      </c>
      <c r="C116" s="747">
        <f t="shared" ref="C116:K116" si="1">SUM(C99:C115)</f>
        <v>274.14769999999999</v>
      </c>
      <c r="D116" s="747">
        <f t="shared" si="1"/>
        <v>104.26849999999999</v>
      </c>
      <c r="E116" s="747">
        <f t="shared" si="1"/>
        <v>58.065600000000003</v>
      </c>
      <c r="F116" s="748">
        <f>SUM(F99:F115)</f>
        <v>1029.0350000000001</v>
      </c>
      <c r="G116" s="748">
        <f t="shared" si="1"/>
        <v>2212.6139999999996</v>
      </c>
      <c r="H116" s="748">
        <f t="shared" si="1"/>
        <v>1375.5480000000002</v>
      </c>
      <c r="I116" s="747">
        <f t="shared" si="1"/>
        <v>214.12099999999995</v>
      </c>
      <c r="J116" s="747">
        <f t="shared" si="1"/>
        <v>190.66200000000001</v>
      </c>
      <c r="K116" s="748">
        <f t="shared" si="1"/>
        <v>3992.9399999999991</v>
      </c>
      <c r="L116" s="749">
        <f>SUM(L99:L115)</f>
        <v>5021.9750000000004</v>
      </c>
      <c r="M116" s="730"/>
      <c r="N116" s="745">
        <f>D116+E116+I116+J116</f>
        <v>567.11709999999994</v>
      </c>
      <c r="O116" s="730"/>
      <c r="P116" s="731"/>
      <c r="Q116" s="730"/>
    </row>
    <row r="117" spans="1:17" customFormat="1" ht="12.75" x14ac:dyDescent="0.2">
      <c r="A117" s="732" t="s">
        <v>397</v>
      </c>
      <c r="B117" s="733">
        <v>0</v>
      </c>
      <c r="C117" s="733">
        <v>0</v>
      </c>
      <c r="D117" s="733">
        <v>0</v>
      </c>
      <c r="E117" s="733">
        <v>0</v>
      </c>
      <c r="F117" s="733">
        <v>0</v>
      </c>
      <c r="G117" s="733">
        <v>0.93400000000000005</v>
      </c>
      <c r="H117" s="733">
        <v>0.247</v>
      </c>
      <c r="I117" s="733">
        <v>0.63800000000000001</v>
      </c>
      <c r="J117" s="733">
        <v>0.52300000000000002</v>
      </c>
      <c r="K117" s="733">
        <v>2.34</v>
      </c>
      <c r="L117" s="734">
        <f t="shared" si="0"/>
        <v>2.34</v>
      </c>
    </row>
    <row r="118" spans="1:17" s="619" customFormat="1" x14ac:dyDescent="0.25">
      <c r="A118" s="732" t="s">
        <v>398</v>
      </c>
      <c r="B118" s="733">
        <v>0</v>
      </c>
      <c r="C118" s="733">
        <v>0.29039999999999999</v>
      </c>
      <c r="D118" s="733">
        <v>0.1699</v>
      </c>
      <c r="E118" s="733">
        <v>0.13700000000000001</v>
      </c>
      <c r="F118" s="733">
        <v>0.59699999999999998</v>
      </c>
      <c r="G118" s="733">
        <v>0.51200000000000001</v>
      </c>
      <c r="H118" s="733">
        <v>0.83799999999999997</v>
      </c>
      <c r="I118" s="733">
        <v>1.3620000000000001</v>
      </c>
      <c r="J118" s="733">
        <v>0.92100000000000004</v>
      </c>
      <c r="K118" s="733">
        <v>3.63</v>
      </c>
      <c r="L118" s="734">
        <f t="shared" si="0"/>
        <v>4.2270000000000003</v>
      </c>
      <c r="M118"/>
      <c r="N118" s="173"/>
      <c r="O118"/>
      <c r="P118"/>
      <c r="Q118"/>
    </row>
    <row r="119" spans="1:17" customFormat="1" ht="12.75" x14ac:dyDescent="0.2">
      <c r="A119" s="732" t="s">
        <v>399</v>
      </c>
      <c r="B119" s="733">
        <v>72.481999999999999</v>
      </c>
      <c r="C119" s="733">
        <v>29.597300000000001</v>
      </c>
      <c r="D119" s="733">
        <v>1.5096000000000001</v>
      </c>
      <c r="E119" s="733">
        <v>0.2384</v>
      </c>
      <c r="F119" s="733">
        <v>103.827</v>
      </c>
      <c r="G119" s="733">
        <v>44.777999999999999</v>
      </c>
      <c r="H119" s="733">
        <v>48.63</v>
      </c>
      <c r="I119" s="733">
        <v>0.184</v>
      </c>
      <c r="J119" s="733">
        <v>0.42499999999999999</v>
      </c>
      <c r="K119" s="733">
        <v>94.02</v>
      </c>
      <c r="L119" s="734">
        <f t="shared" si="0"/>
        <v>197.84699999999998</v>
      </c>
    </row>
    <row r="120" spans="1:17" customFormat="1" ht="12.75" x14ac:dyDescent="0.2">
      <c r="A120" s="732" t="s">
        <v>400</v>
      </c>
      <c r="B120" s="733">
        <v>10.97</v>
      </c>
      <c r="C120" s="733">
        <v>3.4466000000000001</v>
      </c>
      <c r="D120" s="733">
        <v>1.7178</v>
      </c>
      <c r="E120" s="733">
        <v>0.53149999999999997</v>
      </c>
      <c r="F120" s="733">
        <v>16.666</v>
      </c>
      <c r="G120" s="733">
        <v>20.402999999999999</v>
      </c>
      <c r="H120" s="733">
        <v>15.388999999999999</v>
      </c>
      <c r="I120" s="733">
        <v>1.603</v>
      </c>
      <c r="J120" s="733">
        <v>0.83799999999999997</v>
      </c>
      <c r="K120" s="733">
        <v>38.229999999999997</v>
      </c>
      <c r="L120" s="734">
        <f t="shared" si="0"/>
        <v>54.896000000000001</v>
      </c>
    </row>
    <row r="121" spans="1:17" customFormat="1" ht="12.75" x14ac:dyDescent="0.2">
      <c r="A121" s="732" t="s">
        <v>401</v>
      </c>
      <c r="B121" s="733">
        <v>6.8550000000000004</v>
      </c>
      <c r="C121" s="733">
        <v>4.2657999999999996</v>
      </c>
      <c r="D121" s="733">
        <v>2.5013999999999998</v>
      </c>
      <c r="E121" s="733">
        <v>2.2383999999999999</v>
      </c>
      <c r="F121" s="733">
        <v>15.86</v>
      </c>
      <c r="G121" s="733">
        <v>22.625</v>
      </c>
      <c r="H121" s="733">
        <v>21.323</v>
      </c>
      <c r="I121" s="733">
        <v>7.5620000000000003</v>
      </c>
      <c r="J121" s="733">
        <v>7.4580000000000002</v>
      </c>
      <c r="K121" s="733">
        <v>58.97</v>
      </c>
      <c r="L121" s="734">
        <f t="shared" si="0"/>
        <v>74.83</v>
      </c>
    </row>
    <row r="122" spans="1:17" customFormat="1" ht="12.75" x14ac:dyDescent="0.2">
      <c r="A122" s="732" t="s">
        <v>402</v>
      </c>
      <c r="B122" s="733">
        <v>1.0999999999999999E-2</v>
      </c>
      <c r="C122" s="733">
        <v>0</v>
      </c>
      <c r="D122" s="733">
        <v>6.8986000000000001</v>
      </c>
      <c r="E122" s="733">
        <v>1.7918000000000001</v>
      </c>
      <c r="F122" s="733">
        <v>8.7010000000000005</v>
      </c>
      <c r="G122" s="733">
        <v>0</v>
      </c>
      <c r="H122" s="733">
        <v>0</v>
      </c>
      <c r="I122" s="733">
        <v>4.3860000000000001</v>
      </c>
      <c r="J122" s="733">
        <v>8.9480000000000004</v>
      </c>
      <c r="K122" s="733">
        <v>13.33</v>
      </c>
      <c r="L122" s="734">
        <f t="shared" si="0"/>
        <v>22.030999999999999</v>
      </c>
    </row>
    <row r="123" spans="1:17" customFormat="1" ht="12.75" x14ac:dyDescent="0.2">
      <c r="A123" s="732" t="s">
        <v>403</v>
      </c>
      <c r="B123" s="733">
        <v>30.879000000000001</v>
      </c>
      <c r="C123" s="733">
        <v>19.832899999999999</v>
      </c>
      <c r="D123" s="733">
        <v>3.7178</v>
      </c>
      <c r="E123" s="733">
        <v>3.4384000000000001</v>
      </c>
      <c r="F123" s="733">
        <v>57.868000000000002</v>
      </c>
      <c r="G123" s="733">
        <v>24.14</v>
      </c>
      <c r="H123" s="733">
        <v>23.279</v>
      </c>
      <c r="I123" s="733">
        <v>4.4269999999999996</v>
      </c>
      <c r="J123" s="733">
        <v>2.907</v>
      </c>
      <c r="K123" s="733">
        <v>54.75</v>
      </c>
      <c r="L123" s="734">
        <f t="shared" si="0"/>
        <v>112.61799999999999</v>
      </c>
    </row>
    <row r="124" spans="1:17" customFormat="1" ht="12.75" x14ac:dyDescent="0.2">
      <c r="A124" s="732" t="s">
        <v>404</v>
      </c>
      <c r="B124" s="733">
        <v>28.821999999999999</v>
      </c>
      <c r="C124" s="733">
        <v>10.052099999999999</v>
      </c>
      <c r="D124" s="733">
        <v>0</v>
      </c>
      <c r="E124" s="733">
        <v>0</v>
      </c>
      <c r="F124" s="733">
        <v>38.874000000000002</v>
      </c>
      <c r="G124" s="733">
        <v>30.414000000000001</v>
      </c>
      <c r="H124" s="733">
        <v>36.219000000000001</v>
      </c>
      <c r="I124" s="733">
        <v>0</v>
      </c>
      <c r="J124" s="733">
        <v>0</v>
      </c>
      <c r="K124" s="733">
        <v>66.63</v>
      </c>
      <c r="L124" s="734">
        <f t="shared" si="0"/>
        <v>105.50399999999999</v>
      </c>
    </row>
    <row r="125" spans="1:17" customFormat="1" ht="12.75" x14ac:dyDescent="0.2">
      <c r="A125" s="739" t="s">
        <v>606</v>
      </c>
      <c r="B125" s="733">
        <v>0.41899999999999998</v>
      </c>
      <c r="C125" s="733">
        <v>0.22739999999999999</v>
      </c>
      <c r="D125" s="733">
        <v>0</v>
      </c>
      <c r="E125" s="733">
        <v>0</v>
      </c>
      <c r="F125" s="733">
        <v>0.64700000000000002</v>
      </c>
      <c r="G125" s="733">
        <v>0.121</v>
      </c>
      <c r="H125" s="733">
        <v>0.36399999999999999</v>
      </c>
      <c r="I125" s="733">
        <v>0</v>
      </c>
      <c r="J125" s="733">
        <v>0</v>
      </c>
      <c r="K125" s="733">
        <v>0.48</v>
      </c>
      <c r="L125" s="734">
        <f t="shared" si="0"/>
        <v>1.127</v>
      </c>
    </row>
    <row r="126" spans="1:17" customFormat="1" ht="12.75" x14ac:dyDescent="0.2">
      <c r="A126" s="732" t="s">
        <v>485</v>
      </c>
      <c r="B126" s="733">
        <v>0.107</v>
      </c>
      <c r="C126" s="733">
        <v>0</v>
      </c>
      <c r="D126" s="733">
        <v>0</v>
      </c>
      <c r="E126" s="733">
        <v>0</v>
      </c>
      <c r="F126" s="733">
        <v>0.107</v>
      </c>
      <c r="G126" s="733">
        <v>6.6000000000000003E-2</v>
      </c>
      <c r="H126" s="733">
        <v>5.0000000000000001E-3</v>
      </c>
      <c r="I126" s="733">
        <v>0</v>
      </c>
      <c r="J126" s="733">
        <v>0</v>
      </c>
      <c r="K126" s="733">
        <v>7.0000000000000007E-2</v>
      </c>
      <c r="L126" s="734">
        <f t="shared" si="0"/>
        <v>0.17699999999999999</v>
      </c>
    </row>
    <row r="127" spans="1:17" customFormat="1" ht="12.75" x14ac:dyDescent="0.2">
      <c r="A127" s="732" t="s">
        <v>233</v>
      </c>
      <c r="B127" s="733">
        <v>14.766999999999999</v>
      </c>
      <c r="C127" s="733">
        <v>4.7862999999999998</v>
      </c>
      <c r="D127" s="733">
        <v>2.6274000000000002</v>
      </c>
      <c r="E127" s="733">
        <v>1.6</v>
      </c>
      <c r="F127" s="733">
        <v>23.780999999999999</v>
      </c>
      <c r="G127" s="733">
        <v>12.992000000000001</v>
      </c>
      <c r="H127" s="733">
        <v>5.3339999999999996</v>
      </c>
      <c r="I127" s="733">
        <v>3.5339999999999998</v>
      </c>
      <c r="J127" s="733">
        <v>1.085</v>
      </c>
      <c r="K127" s="733">
        <v>22.95</v>
      </c>
      <c r="L127" s="734">
        <f t="shared" si="0"/>
        <v>46.730999999999995</v>
      </c>
    </row>
    <row r="128" spans="1:17" customFormat="1" ht="12.75" x14ac:dyDescent="0.2">
      <c r="A128" s="732" t="s">
        <v>406</v>
      </c>
      <c r="B128" s="733">
        <v>25.805</v>
      </c>
      <c r="C128" s="733">
        <v>12.5589</v>
      </c>
      <c r="D128" s="733">
        <v>4.2492999999999999</v>
      </c>
      <c r="E128" s="733">
        <v>2.7917999999999998</v>
      </c>
      <c r="F128" s="733">
        <v>45.405000000000001</v>
      </c>
      <c r="G128" s="733">
        <v>13.367000000000001</v>
      </c>
      <c r="H128" s="733">
        <v>9.5920000000000005</v>
      </c>
      <c r="I128" s="733">
        <v>1.1259999999999999</v>
      </c>
      <c r="J128" s="733">
        <v>2.5510000000000002</v>
      </c>
      <c r="K128" s="733">
        <v>26.64</v>
      </c>
      <c r="L128" s="734">
        <f t="shared" si="0"/>
        <v>72.045000000000002</v>
      </c>
    </row>
    <row r="129" spans="1:17" customFormat="1" ht="12.75" x14ac:dyDescent="0.2">
      <c r="A129" s="739" t="s">
        <v>607</v>
      </c>
      <c r="B129" s="733">
        <v>7.9000000000000001E-2</v>
      </c>
      <c r="C129" s="733">
        <v>0.34250000000000003</v>
      </c>
      <c r="D129" s="733">
        <v>0</v>
      </c>
      <c r="E129" s="733">
        <v>0</v>
      </c>
      <c r="F129" s="733">
        <v>0.42199999999999999</v>
      </c>
      <c r="G129" s="733">
        <v>0</v>
      </c>
      <c r="H129" s="733">
        <v>0.56699999999999995</v>
      </c>
      <c r="I129" s="733">
        <v>0</v>
      </c>
      <c r="J129" s="733">
        <v>0.10100000000000001</v>
      </c>
      <c r="K129" s="733">
        <v>0.67</v>
      </c>
      <c r="L129" s="734">
        <f t="shared" si="0"/>
        <v>1.0920000000000001</v>
      </c>
    </row>
    <row r="130" spans="1:17" customFormat="1" ht="12.75" x14ac:dyDescent="0.2">
      <c r="A130" s="732" t="s">
        <v>407</v>
      </c>
      <c r="B130" s="733">
        <v>28.341999999999999</v>
      </c>
      <c r="C130" s="733">
        <v>7.7534000000000001</v>
      </c>
      <c r="D130" s="733">
        <v>11.164400000000001</v>
      </c>
      <c r="E130" s="733">
        <v>2.4712000000000001</v>
      </c>
      <c r="F130" s="733">
        <v>49.731999999999999</v>
      </c>
      <c r="G130" s="733">
        <v>72.698999999999998</v>
      </c>
      <c r="H130" s="733">
        <v>62.307000000000002</v>
      </c>
      <c r="I130" s="733">
        <v>20.83</v>
      </c>
      <c r="J130" s="733">
        <v>23.734000000000002</v>
      </c>
      <c r="K130" s="733">
        <v>179.57</v>
      </c>
      <c r="L130" s="734">
        <f t="shared" si="0"/>
        <v>229.30199999999999</v>
      </c>
    </row>
    <row r="131" spans="1:17" customFormat="1" ht="12.75" x14ac:dyDescent="0.2">
      <c r="A131" s="732" t="s">
        <v>408</v>
      </c>
      <c r="B131" s="733">
        <v>9.6329999999999991</v>
      </c>
      <c r="C131" s="733">
        <v>3.5232999999999999</v>
      </c>
      <c r="D131" s="733">
        <v>2.6739999999999999</v>
      </c>
      <c r="E131" s="733">
        <v>1.1698999999999999</v>
      </c>
      <c r="F131" s="733">
        <v>17</v>
      </c>
      <c r="G131" s="733">
        <v>16.952999999999999</v>
      </c>
      <c r="H131" s="733">
        <v>5.9340000000000002</v>
      </c>
      <c r="I131" s="733">
        <v>1.929</v>
      </c>
      <c r="J131" s="733">
        <v>0.76400000000000001</v>
      </c>
      <c r="K131" s="733">
        <v>25.58</v>
      </c>
      <c r="L131" s="734">
        <f t="shared" si="0"/>
        <v>42.58</v>
      </c>
    </row>
    <row r="132" spans="1:17" s="619" customFormat="1" x14ac:dyDescent="0.25">
      <c r="A132" s="732" t="s">
        <v>409</v>
      </c>
      <c r="B132" s="733">
        <v>1.173</v>
      </c>
      <c r="C132" s="733">
        <v>1.7588999999999999</v>
      </c>
      <c r="D132" s="733">
        <v>0.1479</v>
      </c>
      <c r="E132" s="733">
        <v>0.22189999999999999</v>
      </c>
      <c r="F132" s="733">
        <v>3.3010000000000002</v>
      </c>
      <c r="G132" s="733">
        <v>4.2249999999999996</v>
      </c>
      <c r="H132" s="733">
        <v>3.4630000000000001</v>
      </c>
      <c r="I132" s="733">
        <v>3.726</v>
      </c>
      <c r="J132" s="733">
        <v>1.1779999999999999</v>
      </c>
      <c r="K132" s="733">
        <v>12.59</v>
      </c>
      <c r="L132" s="734">
        <f t="shared" si="0"/>
        <v>15.891</v>
      </c>
      <c r="M132"/>
      <c r="N132"/>
      <c r="O132"/>
      <c r="P132"/>
      <c r="Q132"/>
    </row>
    <row r="133" spans="1:17" customFormat="1" ht="12.75" x14ac:dyDescent="0.2">
      <c r="A133" s="732" t="s">
        <v>410</v>
      </c>
      <c r="B133" s="733">
        <v>1.2</v>
      </c>
      <c r="C133" s="733">
        <v>0.2712</v>
      </c>
      <c r="D133" s="733">
        <v>0.41920000000000002</v>
      </c>
      <c r="E133" s="733">
        <v>0</v>
      </c>
      <c r="F133" s="733">
        <v>1.89</v>
      </c>
      <c r="G133" s="733">
        <v>2.258</v>
      </c>
      <c r="H133" s="733">
        <v>1.1639999999999999</v>
      </c>
      <c r="I133" s="733">
        <v>0.61099999999999999</v>
      </c>
      <c r="J133" s="733">
        <v>0.97</v>
      </c>
      <c r="K133" s="733">
        <v>5</v>
      </c>
      <c r="L133" s="734">
        <f t="shared" si="0"/>
        <v>6.89</v>
      </c>
    </row>
    <row r="134" spans="1:17" customFormat="1" ht="12.75" x14ac:dyDescent="0.2">
      <c r="A134" s="732" t="s">
        <v>411</v>
      </c>
      <c r="B134" s="733">
        <v>0.20799999999999999</v>
      </c>
      <c r="C134" s="733">
        <v>6.3E-2</v>
      </c>
      <c r="D134" s="733">
        <v>7.6700000000000004E-2</v>
      </c>
      <c r="E134" s="733">
        <v>0</v>
      </c>
      <c r="F134" s="733">
        <v>0.34799999999999998</v>
      </c>
      <c r="G134" s="733">
        <v>0.441</v>
      </c>
      <c r="H134" s="733">
        <v>0</v>
      </c>
      <c r="I134" s="733">
        <v>1.038</v>
      </c>
      <c r="J134" s="733">
        <v>0.79500000000000004</v>
      </c>
      <c r="K134" s="733">
        <v>2.27</v>
      </c>
      <c r="L134" s="734">
        <f t="shared" si="0"/>
        <v>2.6179999999999999</v>
      </c>
    </row>
    <row r="135" spans="1:17" customFormat="1" ht="12.75" x14ac:dyDescent="0.2">
      <c r="A135" s="732" t="s">
        <v>412</v>
      </c>
      <c r="B135" s="733">
        <v>5.8029999999999999</v>
      </c>
      <c r="C135" s="733">
        <v>1.9973000000000001</v>
      </c>
      <c r="D135" s="733">
        <v>2.6903999999999999</v>
      </c>
      <c r="E135" s="733">
        <v>0.3644</v>
      </c>
      <c r="F135" s="733">
        <v>10.855</v>
      </c>
      <c r="G135" s="733">
        <v>16.489999999999998</v>
      </c>
      <c r="H135" s="733">
        <v>10.26</v>
      </c>
      <c r="I135" s="733">
        <v>2.4710000000000001</v>
      </c>
      <c r="J135" s="733">
        <v>4.5780000000000003</v>
      </c>
      <c r="K135" s="733">
        <v>33.799999999999997</v>
      </c>
      <c r="L135" s="734">
        <f t="shared" si="0"/>
        <v>44.655000000000001</v>
      </c>
    </row>
    <row r="136" spans="1:17" customFormat="1" ht="25.5" x14ac:dyDescent="0.2">
      <c r="A136" s="739" t="s">
        <v>416</v>
      </c>
      <c r="B136" s="733">
        <v>0</v>
      </c>
      <c r="C136" s="733">
        <v>0</v>
      </c>
      <c r="D136" s="733">
        <v>0</v>
      </c>
      <c r="E136" s="733">
        <v>0</v>
      </c>
      <c r="F136" s="733">
        <v>0</v>
      </c>
      <c r="G136" s="733">
        <v>3.9889999999999999</v>
      </c>
      <c r="H136" s="733">
        <v>1.258</v>
      </c>
      <c r="I136" s="733">
        <v>1</v>
      </c>
      <c r="J136" s="733">
        <v>0</v>
      </c>
      <c r="K136" s="733">
        <v>6.25</v>
      </c>
      <c r="L136" s="734">
        <f t="shared" si="0"/>
        <v>6.25</v>
      </c>
    </row>
    <row r="137" spans="1:17" customFormat="1" ht="12.75" x14ac:dyDescent="0.2">
      <c r="A137" s="739" t="s">
        <v>608</v>
      </c>
      <c r="B137" s="733">
        <v>1</v>
      </c>
      <c r="C137" s="733">
        <v>0.82740000000000002</v>
      </c>
      <c r="D137" s="733">
        <v>1</v>
      </c>
      <c r="E137" s="733">
        <v>0</v>
      </c>
      <c r="F137" s="733">
        <v>2.827</v>
      </c>
      <c r="G137" s="733">
        <v>15.458</v>
      </c>
      <c r="H137" s="733">
        <v>5.8739999999999997</v>
      </c>
      <c r="I137" s="733">
        <v>1</v>
      </c>
      <c r="J137" s="733">
        <v>0</v>
      </c>
      <c r="K137" s="733">
        <v>22.33</v>
      </c>
      <c r="L137" s="734">
        <f t="shared" si="0"/>
        <v>25.156999999999996</v>
      </c>
    </row>
    <row r="138" spans="1:17" customFormat="1" ht="12.75" x14ac:dyDescent="0.2">
      <c r="A138" s="732" t="s">
        <v>414</v>
      </c>
      <c r="B138" s="733">
        <v>0.69899999999999995</v>
      </c>
      <c r="C138" s="733">
        <v>1.863</v>
      </c>
      <c r="D138" s="733">
        <v>0</v>
      </c>
      <c r="E138" s="733">
        <v>0</v>
      </c>
      <c r="F138" s="733">
        <v>2.5619999999999998</v>
      </c>
      <c r="G138" s="733">
        <v>64.671000000000006</v>
      </c>
      <c r="H138" s="733">
        <v>8.5370000000000008</v>
      </c>
      <c r="I138" s="733">
        <v>0</v>
      </c>
      <c r="J138" s="733">
        <v>0</v>
      </c>
      <c r="K138" s="733">
        <v>73.209999999999994</v>
      </c>
      <c r="L138" s="734">
        <f t="shared" si="0"/>
        <v>75.771999999999991</v>
      </c>
    </row>
    <row r="139" spans="1:17" customFormat="1" ht="12.75" x14ac:dyDescent="0.2">
      <c r="A139" s="732" t="s">
        <v>417</v>
      </c>
      <c r="B139" s="733">
        <v>0</v>
      </c>
      <c r="C139" s="733">
        <v>0</v>
      </c>
      <c r="D139" s="733">
        <v>0</v>
      </c>
      <c r="E139" s="733">
        <v>0</v>
      </c>
      <c r="F139" s="733">
        <v>0</v>
      </c>
      <c r="G139" s="733">
        <v>0</v>
      </c>
      <c r="H139" s="733">
        <v>4.9000000000000002E-2</v>
      </c>
      <c r="I139" s="733">
        <v>0</v>
      </c>
      <c r="J139" s="733">
        <v>1</v>
      </c>
      <c r="K139" s="733">
        <v>1.05</v>
      </c>
      <c r="L139" s="734">
        <f t="shared" si="0"/>
        <v>1.05</v>
      </c>
    </row>
    <row r="140" spans="1:17" customFormat="1" ht="13.5" thickBot="1" x14ac:dyDescent="0.25">
      <c r="A140" s="735" t="s">
        <v>405</v>
      </c>
      <c r="B140" s="736">
        <v>5.0000000000000001E-3</v>
      </c>
      <c r="C140" s="736">
        <v>0</v>
      </c>
      <c r="D140" s="736">
        <v>0</v>
      </c>
      <c r="E140" s="736">
        <v>0</v>
      </c>
      <c r="F140" s="736">
        <v>5.0000000000000001E-3</v>
      </c>
      <c r="G140" s="736">
        <v>0</v>
      </c>
      <c r="H140" s="736">
        <v>0</v>
      </c>
      <c r="I140" s="736">
        <v>0</v>
      </c>
      <c r="J140" s="736">
        <v>0</v>
      </c>
      <c r="K140" s="736">
        <v>0</v>
      </c>
      <c r="L140" s="734">
        <f t="shared" si="0"/>
        <v>5.0000000000000001E-3</v>
      </c>
    </row>
    <row r="141" spans="1:17" s="619" customFormat="1" x14ac:dyDescent="0.25">
      <c r="A141"/>
      <c r="B141" s="173"/>
      <c r="C141" s="173"/>
      <c r="D141" s="173"/>
      <c r="E141" s="173"/>
      <c r="F141" s="173"/>
      <c r="G141" s="173"/>
      <c r="H141" s="173"/>
      <c r="I141" s="173"/>
      <c r="J141" s="173"/>
      <c r="K141" s="173"/>
      <c r="L141" s="173"/>
      <c r="M141"/>
      <c r="N141"/>
      <c r="O141"/>
      <c r="P141"/>
      <c r="Q141"/>
    </row>
    <row r="142" spans="1:17" customFormat="1" ht="12.75" x14ac:dyDescent="0.2">
      <c r="B142" s="173"/>
      <c r="C142" s="173"/>
      <c r="D142" s="173"/>
      <c r="E142" s="173"/>
      <c r="F142" s="173"/>
      <c r="G142" s="173"/>
      <c r="H142" s="173"/>
      <c r="I142" s="173"/>
      <c r="J142" s="173"/>
      <c r="K142" s="173"/>
      <c r="L142" s="173"/>
    </row>
    <row r="143" spans="1:17" customFormat="1" ht="12.75" x14ac:dyDescent="0.2">
      <c r="B143" s="173"/>
      <c r="C143" s="173"/>
      <c r="D143" s="173"/>
      <c r="E143" s="173"/>
      <c r="F143" s="173"/>
      <c r="G143" s="173"/>
      <c r="H143" s="173"/>
      <c r="I143" s="173"/>
      <c r="J143" s="173"/>
      <c r="K143" s="173"/>
      <c r="L143" s="173"/>
    </row>
    <row r="144" spans="1:17" customFormat="1" ht="12.75" x14ac:dyDescent="0.2">
      <c r="A144" s="614"/>
      <c r="B144" s="614"/>
      <c r="C144" s="614"/>
      <c r="D144" s="615" t="s">
        <v>520</v>
      </c>
      <c r="E144" s="614"/>
      <c r="F144" s="614"/>
      <c r="G144" s="614"/>
      <c r="H144" s="614"/>
      <c r="I144" s="614"/>
      <c r="J144" s="614"/>
      <c r="K144" s="614"/>
      <c r="L144" s="614"/>
      <c r="M144" s="614"/>
      <c r="N144" s="614"/>
      <c r="O144" s="613"/>
      <c r="P144" s="613"/>
      <c r="Q144" s="613"/>
    </row>
    <row r="145" spans="1:17" customFormat="1" ht="12.75" x14ac:dyDescent="0.2"/>
    <row r="146" spans="1:17" customFormat="1" ht="12.75" x14ac:dyDescent="0.2">
      <c r="A146" s="532"/>
      <c r="B146" s="544"/>
      <c r="C146" s="540" t="s">
        <v>225</v>
      </c>
      <c r="D146" s="540"/>
      <c r="E146" s="540"/>
      <c r="F146" s="542"/>
      <c r="G146" s="532"/>
      <c r="H146" s="629"/>
      <c r="I146" s="628" t="s">
        <v>341</v>
      </c>
      <c r="J146" s="628"/>
      <c r="K146" s="628"/>
      <c r="L146" s="627"/>
      <c r="M146" s="532"/>
      <c r="N146" s="532"/>
    </row>
    <row r="147" spans="1:17" s="619" customFormat="1" x14ac:dyDescent="0.25">
      <c r="A147" s="543" t="s">
        <v>342</v>
      </c>
      <c r="B147" s="543" t="s">
        <v>226</v>
      </c>
      <c r="C147" s="539" t="s">
        <v>226</v>
      </c>
      <c r="D147" s="539" t="s">
        <v>227</v>
      </c>
      <c r="E147" s="539" t="s">
        <v>227</v>
      </c>
      <c r="F147" s="534" t="s">
        <v>48</v>
      </c>
      <c r="G147" s="538"/>
      <c r="H147" s="543" t="s">
        <v>226</v>
      </c>
      <c r="I147" s="539" t="s">
        <v>226</v>
      </c>
      <c r="J147" s="539" t="s">
        <v>227</v>
      </c>
      <c r="K147" s="539" t="s">
        <v>227</v>
      </c>
      <c r="L147" s="534" t="s">
        <v>48</v>
      </c>
      <c r="M147" s="538"/>
      <c r="N147" s="533" t="s">
        <v>228</v>
      </c>
      <c r="O147"/>
      <c r="P147"/>
      <c r="Q147"/>
    </row>
    <row r="148" spans="1:17" customFormat="1" ht="12.75" x14ac:dyDescent="0.2">
      <c r="A148" s="541" t="s">
        <v>0</v>
      </c>
      <c r="B148" s="541" t="s">
        <v>343</v>
      </c>
      <c r="C148" s="536" t="s">
        <v>344</v>
      </c>
      <c r="D148" s="536" t="s">
        <v>343</v>
      </c>
      <c r="E148" s="536" t="s">
        <v>344</v>
      </c>
      <c r="F148" s="537"/>
      <c r="G148" s="538"/>
      <c r="H148" s="541" t="s">
        <v>343</v>
      </c>
      <c r="I148" s="536" t="s">
        <v>344</v>
      </c>
      <c r="J148" s="536" t="s">
        <v>343</v>
      </c>
      <c r="K148" s="536" t="s">
        <v>344</v>
      </c>
      <c r="L148" s="537"/>
      <c r="M148" s="538"/>
      <c r="N148" s="535" t="s">
        <v>48</v>
      </c>
    </row>
    <row r="149" spans="1:17" x14ac:dyDescent="0.25">
      <c r="A149" s="626" t="s">
        <v>259</v>
      </c>
      <c r="B149" s="625">
        <v>100.2</v>
      </c>
      <c r="C149" s="625">
        <v>54.443800000000003</v>
      </c>
      <c r="D149" s="625">
        <v>3.3944999999999999</v>
      </c>
      <c r="E149" s="625">
        <v>5.8658000000000001</v>
      </c>
      <c r="F149" s="625">
        <v>163.904</v>
      </c>
      <c r="G149" s="610"/>
      <c r="H149" s="625">
        <v>130.471</v>
      </c>
      <c r="I149" s="625">
        <v>189.86</v>
      </c>
      <c r="J149" s="625">
        <v>1.071</v>
      </c>
      <c r="K149" s="625">
        <v>5.625</v>
      </c>
      <c r="L149" s="625">
        <v>327.02699999999999</v>
      </c>
      <c r="M149" s="610"/>
      <c r="N149" s="625">
        <v>490.93200000000002</v>
      </c>
      <c r="O149" s="116">
        <f>F149+L149</f>
        <v>490.93099999999998</v>
      </c>
      <c r="P149"/>
      <c r="Q149"/>
    </row>
    <row r="150" spans="1:17" x14ac:dyDescent="0.25">
      <c r="A150" s="626" t="s">
        <v>384</v>
      </c>
      <c r="B150" s="625">
        <v>24.978000000000002</v>
      </c>
      <c r="C150" s="625">
        <v>8.3698999999999995</v>
      </c>
      <c r="D150" s="625">
        <v>3.5726</v>
      </c>
      <c r="E150" s="625">
        <v>1.8794999999999999</v>
      </c>
      <c r="F150" s="625">
        <v>38.799999999999997</v>
      </c>
      <c r="G150" s="610"/>
      <c r="H150" s="625">
        <v>39.581000000000003</v>
      </c>
      <c r="I150" s="625">
        <v>25.811</v>
      </c>
      <c r="J150" s="625">
        <v>5.29</v>
      </c>
      <c r="K150" s="625">
        <v>3.367</v>
      </c>
      <c r="L150" s="625">
        <v>74.049000000000007</v>
      </c>
      <c r="M150" s="610"/>
      <c r="N150" s="625">
        <v>112.849</v>
      </c>
      <c r="O150" s="116">
        <f t="shared" ref="O150:O165" si="2">F150+L150</f>
        <v>112.849</v>
      </c>
      <c r="P150"/>
      <c r="Q150"/>
    </row>
    <row r="151" spans="1:17" x14ac:dyDescent="0.25">
      <c r="A151" s="612" t="s">
        <v>524</v>
      </c>
      <c r="B151" s="625">
        <v>65.896000000000001</v>
      </c>
      <c r="C151" s="625">
        <v>13.6219</v>
      </c>
      <c r="D151" s="625">
        <v>0</v>
      </c>
      <c r="E151" s="625">
        <v>0</v>
      </c>
      <c r="F151" s="625">
        <v>79.518000000000001</v>
      </c>
      <c r="G151" s="610"/>
      <c r="H151" s="625">
        <v>129.137</v>
      </c>
      <c r="I151" s="625">
        <v>203.75299999999999</v>
      </c>
      <c r="J151" s="625">
        <v>0</v>
      </c>
      <c r="K151" s="625">
        <v>0</v>
      </c>
      <c r="L151" s="625">
        <v>332.89</v>
      </c>
      <c r="M151" s="610"/>
      <c r="N151" s="625">
        <v>412.40800000000002</v>
      </c>
      <c r="O151" s="116">
        <f t="shared" si="2"/>
        <v>412.40800000000002</v>
      </c>
      <c r="P151"/>
      <c r="Q151"/>
    </row>
    <row r="152" spans="1:17" x14ac:dyDescent="0.25">
      <c r="A152" s="626" t="s">
        <v>386</v>
      </c>
      <c r="B152" s="625">
        <v>72.870999999999995</v>
      </c>
      <c r="C152" s="625">
        <v>42.189</v>
      </c>
      <c r="D152" s="625">
        <v>11.490399999999999</v>
      </c>
      <c r="E152" s="625">
        <v>10.117800000000001</v>
      </c>
      <c r="F152" s="625">
        <v>136.66800000000001</v>
      </c>
      <c r="G152" s="610"/>
      <c r="H152" s="625">
        <v>48.082000000000001</v>
      </c>
      <c r="I152" s="625">
        <v>80.947999999999993</v>
      </c>
      <c r="J152" s="625">
        <v>8.1120000000000001</v>
      </c>
      <c r="K152" s="625">
        <v>10.762</v>
      </c>
      <c r="L152" s="625">
        <v>147.904</v>
      </c>
      <c r="M152" s="610"/>
      <c r="N152" s="625">
        <v>284.57299999999998</v>
      </c>
      <c r="O152" s="116">
        <f t="shared" si="2"/>
        <v>284.572</v>
      </c>
      <c r="P152"/>
      <c r="Q152"/>
    </row>
    <row r="153" spans="1:17" x14ac:dyDescent="0.25">
      <c r="A153" s="626" t="s">
        <v>521</v>
      </c>
      <c r="B153" s="625">
        <v>51.737000000000002</v>
      </c>
      <c r="C153" s="625">
        <v>14.827400000000001</v>
      </c>
      <c r="D153" s="625">
        <v>0</v>
      </c>
      <c r="E153" s="625">
        <v>0</v>
      </c>
      <c r="F153" s="625">
        <v>66.563999999999993</v>
      </c>
      <c r="G153" s="610"/>
      <c r="H153" s="625">
        <v>242.30699999999999</v>
      </c>
      <c r="I153" s="625">
        <v>126.047</v>
      </c>
      <c r="J153" s="625">
        <v>0</v>
      </c>
      <c r="K153" s="625">
        <v>0</v>
      </c>
      <c r="L153" s="625">
        <v>368.35300000000001</v>
      </c>
      <c r="M153" s="610"/>
      <c r="N153" s="625">
        <v>434.91800000000001</v>
      </c>
      <c r="O153" s="116">
        <f t="shared" si="2"/>
        <v>434.91700000000003</v>
      </c>
      <c r="P153"/>
      <c r="Q153"/>
    </row>
    <row r="154" spans="1:17" x14ac:dyDescent="0.25">
      <c r="A154" s="626" t="s">
        <v>387</v>
      </c>
      <c r="B154" s="625">
        <v>0</v>
      </c>
      <c r="C154" s="625">
        <v>0</v>
      </c>
      <c r="D154" s="625">
        <v>59.509599999999999</v>
      </c>
      <c r="E154" s="625">
        <v>24.980799999999999</v>
      </c>
      <c r="F154" s="625">
        <v>84.49</v>
      </c>
      <c r="G154" s="610"/>
      <c r="H154" s="625">
        <v>0</v>
      </c>
      <c r="I154" s="625">
        <v>5.0000000000000001E-3</v>
      </c>
      <c r="J154" s="625">
        <v>162.178</v>
      </c>
      <c r="K154" s="625">
        <v>130.02500000000001</v>
      </c>
      <c r="L154" s="625">
        <v>292.20800000000003</v>
      </c>
      <c r="M154" s="610"/>
      <c r="N154" s="625">
        <v>376.69900000000001</v>
      </c>
      <c r="O154" s="116">
        <f t="shared" si="2"/>
        <v>376.69800000000004</v>
      </c>
      <c r="P154"/>
      <c r="Q154"/>
    </row>
    <row r="155" spans="1:17" x14ac:dyDescent="0.25">
      <c r="A155" s="626" t="s">
        <v>388</v>
      </c>
      <c r="B155" s="625">
        <v>15.183999999999999</v>
      </c>
      <c r="C155" s="625">
        <v>6.4410999999999996</v>
      </c>
      <c r="D155" s="625">
        <v>3.7507000000000001</v>
      </c>
      <c r="E155" s="625">
        <v>1.2658</v>
      </c>
      <c r="F155" s="625">
        <v>26.640999999999998</v>
      </c>
      <c r="G155" s="610"/>
      <c r="H155" s="625">
        <v>13.14</v>
      </c>
      <c r="I155" s="625">
        <v>22.504000000000001</v>
      </c>
      <c r="J155" s="625">
        <v>1.8360000000000001</v>
      </c>
      <c r="K155" s="625">
        <v>4.827</v>
      </c>
      <c r="L155" s="625">
        <v>42.307000000000002</v>
      </c>
      <c r="M155" s="610"/>
      <c r="N155" s="625">
        <v>68.947999999999993</v>
      </c>
      <c r="O155" s="116">
        <f t="shared" si="2"/>
        <v>68.948000000000008</v>
      </c>
      <c r="P155"/>
      <c r="Q155"/>
    </row>
    <row r="156" spans="1:17" x14ac:dyDescent="0.25">
      <c r="A156" s="626" t="s">
        <v>389</v>
      </c>
      <c r="B156" s="625">
        <v>40.284999999999997</v>
      </c>
      <c r="C156" s="625">
        <v>15.411</v>
      </c>
      <c r="D156" s="625">
        <v>7.9836</v>
      </c>
      <c r="E156" s="625">
        <v>2.9889999999999999</v>
      </c>
      <c r="F156" s="625">
        <v>66.668000000000006</v>
      </c>
      <c r="G156" s="610"/>
      <c r="H156" s="625">
        <v>92.281999999999996</v>
      </c>
      <c r="I156" s="625">
        <v>62.396999999999998</v>
      </c>
      <c r="J156" s="625">
        <v>6.5449999999999999</v>
      </c>
      <c r="K156" s="625">
        <v>6.0679999999999996</v>
      </c>
      <c r="L156" s="625">
        <v>167.29300000000001</v>
      </c>
      <c r="M156" s="610"/>
      <c r="N156" s="625">
        <v>233.96199999999999</v>
      </c>
      <c r="O156" s="116">
        <f t="shared" si="2"/>
        <v>233.96100000000001</v>
      </c>
      <c r="P156"/>
      <c r="Q156"/>
    </row>
    <row r="157" spans="1:17" x14ac:dyDescent="0.25">
      <c r="A157" s="626" t="s">
        <v>390</v>
      </c>
      <c r="B157" s="625">
        <v>21.838000000000001</v>
      </c>
      <c r="C157" s="625">
        <v>12.0932</v>
      </c>
      <c r="D157" s="625">
        <v>3.3753000000000002</v>
      </c>
      <c r="E157" s="625">
        <v>3.1753</v>
      </c>
      <c r="F157" s="625">
        <v>40.481999999999999</v>
      </c>
      <c r="G157" s="610"/>
      <c r="H157" s="625">
        <v>23.425000000000001</v>
      </c>
      <c r="I157" s="625">
        <v>38.603000000000002</v>
      </c>
      <c r="J157" s="625">
        <v>2.7010000000000001</v>
      </c>
      <c r="K157" s="625">
        <v>5.2850000000000001</v>
      </c>
      <c r="L157" s="625">
        <v>70.013999999999996</v>
      </c>
      <c r="M157" s="610"/>
      <c r="N157" s="625">
        <v>110.496</v>
      </c>
      <c r="O157" s="116">
        <f t="shared" si="2"/>
        <v>110.496</v>
      </c>
      <c r="P157"/>
      <c r="Q157"/>
    </row>
    <row r="158" spans="1:17" x14ac:dyDescent="0.25">
      <c r="A158" s="626" t="s">
        <v>391</v>
      </c>
      <c r="B158" s="625">
        <v>48.959000000000003</v>
      </c>
      <c r="C158" s="625">
        <v>18.6904</v>
      </c>
      <c r="D158" s="625">
        <v>0</v>
      </c>
      <c r="E158" s="625">
        <v>0</v>
      </c>
      <c r="F158" s="625">
        <v>67.649000000000001</v>
      </c>
      <c r="G158" s="610"/>
      <c r="H158" s="625">
        <v>166.047</v>
      </c>
      <c r="I158" s="625">
        <v>88.742000000000004</v>
      </c>
      <c r="J158" s="625">
        <v>0</v>
      </c>
      <c r="K158" s="625">
        <v>0</v>
      </c>
      <c r="L158" s="625">
        <v>254.78899999999999</v>
      </c>
      <c r="M158" s="610"/>
      <c r="N158" s="625">
        <v>322.43799999999999</v>
      </c>
      <c r="O158" s="116">
        <f t="shared" si="2"/>
        <v>322.43799999999999</v>
      </c>
      <c r="P158"/>
      <c r="Q158"/>
    </row>
    <row r="159" spans="1:17" x14ac:dyDescent="0.25">
      <c r="A159" s="626" t="s">
        <v>392</v>
      </c>
      <c r="B159" s="625">
        <v>27.425000000000001</v>
      </c>
      <c r="C159" s="625">
        <v>7.6356000000000002</v>
      </c>
      <c r="D159" s="625">
        <v>0</v>
      </c>
      <c r="E159" s="625">
        <v>0</v>
      </c>
      <c r="F159" s="625">
        <v>35.06</v>
      </c>
      <c r="G159" s="610"/>
      <c r="H159" s="625">
        <v>98.762</v>
      </c>
      <c r="I159" s="625">
        <v>40.488</v>
      </c>
      <c r="J159" s="625">
        <v>0</v>
      </c>
      <c r="K159" s="625">
        <v>0</v>
      </c>
      <c r="L159" s="625">
        <v>139.249</v>
      </c>
      <c r="M159" s="610"/>
      <c r="N159" s="625">
        <v>174.31</v>
      </c>
      <c r="O159" s="116">
        <f t="shared" si="2"/>
        <v>174.309</v>
      </c>
      <c r="P159"/>
      <c r="Q159"/>
    </row>
    <row r="160" spans="1:17" x14ac:dyDescent="0.25">
      <c r="A160" s="626" t="s">
        <v>345</v>
      </c>
      <c r="B160" s="625">
        <v>5.9340000000000002</v>
      </c>
      <c r="C160" s="625">
        <v>1.5067999999999999</v>
      </c>
      <c r="D160" s="625">
        <v>0</v>
      </c>
      <c r="E160" s="625">
        <v>0</v>
      </c>
      <c r="F160" s="625">
        <v>7.4409999999999998</v>
      </c>
      <c r="G160" s="610"/>
      <c r="H160" s="625">
        <v>43.884999999999998</v>
      </c>
      <c r="I160" s="625">
        <v>15.247</v>
      </c>
      <c r="J160" s="625">
        <v>0</v>
      </c>
      <c r="K160" s="625">
        <v>0</v>
      </c>
      <c r="L160" s="625">
        <v>59.131999999999998</v>
      </c>
      <c r="M160" s="610"/>
      <c r="N160" s="625">
        <v>66.572999999999993</v>
      </c>
      <c r="O160" s="116">
        <f t="shared" si="2"/>
        <v>66.572999999999993</v>
      </c>
      <c r="P160"/>
      <c r="Q160"/>
    </row>
    <row r="161" spans="1:17" x14ac:dyDescent="0.25">
      <c r="A161" s="626" t="s">
        <v>393</v>
      </c>
      <c r="B161" s="625">
        <v>18.018999999999998</v>
      </c>
      <c r="C161" s="625">
        <v>9.4082000000000008</v>
      </c>
      <c r="D161" s="625">
        <v>0</v>
      </c>
      <c r="E161" s="625">
        <v>0</v>
      </c>
      <c r="F161" s="625">
        <v>27.427</v>
      </c>
      <c r="G161" s="610"/>
      <c r="H161" s="625">
        <v>258.03800000000001</v>
      </c>
      <c r="I161" s="625">
        <v>60</v>
      </c>
      <c r="J161" s="625">
        <v>0</v>
      </c>
      <c r="K161" s="625">
        <v>0</v>
      </c>
      <c r="L161" s="625">
        <v>318.03800000000001</v>
      </c>
      <c r="M161" s="610"/>
      <c r="N161" s="625">
        <v>345.46600000000001</v>
      </c>
      <c r="O161" s="116">
        <f t="shared" si="2"/>
        <v>345.46500000000003</v>
      </c>
      <c r="P161"/>
      <c r="Q161"/>
    </row>
    <row r="162" spans="1:17" x14ac:dyDescent="0.25">
      <c r="A162" s="626" t="s">
        <v>394</v>
      </c>
      <c r="B162" s="625">
        <v>31.74</v>
      </c>
      <c r="C162" s="625">
        <v>12.320499999999999</v>
      </c>
      <c r="D162" s="625">
        <v>0</v>
      </c>
      <c r="E162" s="625">
        <v>0</v>
      </c>
      <c r="F162" s="625">
        <v>44.06</v>
      </c>
      <c r="G162" s="610"/>
      <c r="H162" s="625">
        <v>132.99700000000001</v>
      </c>
      <c r="I162" s="625">
        <v>68.188999999999993</v>
      </c>
      <c r="J162" s="625">
        <v>0</v>
      </c>
      <c r="K162" s="625">
        <v>0</v>
      </c>
      <c r="L162" s="625">
        <v>201.18600000000001</v>
      </c>
      <c r="M162" s="610"/>
      <c r="N162" s="625">
        <v>245.24700000000001</v>
      </c>
      <c r="O162" s="116">
        <f t="shared" si="2"/>
        <v>245.24600000000001</v>
      </c>
      <c r="P162"/>
      <c r="Q162"/>
    </row>
    <row r="163" spans="1:17" x14ac:dyDescent="0.25">
      <c r="A163" s="612" t="s">
        <v>523</v>
      </c>
      <c r="B163" s="625">
        <v>16.66</v>
      </c>
      <c r="C163" s="625">
        <v>9.3068000000000008</v>
      </c>
      <c r="D163" s="625">
        <v>7.1699000000000002</v>
      </c>
      <c r="E163" s="625">
        <v>5.1151</v>
      </c>
      <c r="F163" s="625">
        <v>38.252000000000002</v>
      </c>
      <c r="G163" s="610"/>
      <c r="H163" s="625">
        <v>17.388999999999999</v>
      </c>
      <c r="I163" s="625">
        <v>43.610999999999997</v>
      </c>
      <c r="J163" s="625">
        <v>7.86</v>
      </c>
      <c r="K163" s="625">
        <v>17.899000000000001</v>
      </c>
      <c r="L163" s="625">
        <v>86.759</v>
      </c>
      <c r="M163" s="610"/>
      <c r="N163" s="625">
        <v>125.011</v>
      </c>
      <c r="O163" s="116">
        <f t="shared" si="2"/>
        <v>125.011</v>
      </c>
      <c r="P163"/>
      <c r="Q163"/>
    </row>
    <row r="164" spans="1:17" x14ac:dyDescent="0.25">
      <c r="A164" s="612" t="s">
        <v>522</v>
      </c>
      <c r="B164" s="625">
        <v>10.058</v>
      </c>
      <c r="C164" s="625">
        <v>2.1122999999999998</v>
      </c>
      <c r="D164" s="625">
        <v>0</v>
      </c>
      <c r="E164" s="625">
        <v>0</v>
      </c>
      <c r="F164" s="625">
        <v>12.17</v>
      </c>
      <c r="G164" s="610"/>
      <c r="H164" s="625">
        <v>33.271000000000001</v>
      </c>
      <c r="I164" s="625">
        <v>24.481999999999999</v>
      </c>
      <c r="J164" s="625">
        <v>0</v>
      </c>
      <c r="K164" s="625">
        <v>0</v>
      </c>
      <c r="L164" s="625">
        <v>57.753</v>
      </c>
      <c r="M164" s="610"/>
      <c r="N164" s="625">
        <v>69.923000000000002</v>
      </c>
      <c r="O164" s="116">
        <f t="shared" si="2"/>
        <v>69.923000000000002</v>
      </c>
      <c r="P164"/>
      <c r="Q164"/>
    </row>
    <row r="165" spans="1:17" x14ac:dyDescent="0.25">
      <c r="A165" s="612" t="s">
        <v>92</v>
      </c>
      <c r="B165" s="625">
        <v>37.923000000000002</v>
      </c>
      <c r="C165" s="625">
        <v>28.043800000000001</v>
      </c>
      <c r="D165" s="625">
        <v>4.7424999999999997</v>
      </c>
      <c r="E165" s="625">
        <v>5.1726000000000001</v>
      </c>
      <c r="F165" s="625">
        <v>75.882000000000005</v>
      </c>
      <c r="G165" s="610"/>
      <c r="H165" s="625">
        <v>36.767000000000003</v>
      </c>
      <c r="I165" s="625">
        <v>72.033000000000001</v>
      </c>
      <c r="J165" s="625">
        <v>0.96699999999999997</v>
      </c>
      <c r="K165" s="625">
        <v>5.4139999999999997</v>
      </c>
      <c r="L165" s="625">
        <v>115.181</v>
      </c>
      <c r="M165" s="610"/>
      <c r="N165" s="625">
        <v>191.06299999999999</v>
      </c>
      <c r="O165" s="116">
        <f t="shared" si="2"/>
        <v>191.06299999999999</v>
      </c>
      <c r="P165"/>
      <c r="Q165"/>
    </row>
    <row r="166" spans="1:17" ht="36" x14ac:dyDescent="0.25">
      <c r="A166" s="624" t="s">
        <v>48</v>
      </c>
      <c r="B166" s="623">
        <f>SUM(B149:B165)</f>
        <v>589.70700000000011</v>
      </c>
      <c r="C166" s="623">
        <f>SUM(C149:C165)</f>
        <v>256.42170000000004</v>
      </c>
      <c r="D166" s="623">
        <f>SUM(D149:D165)</f>
        <v>104.98909999999998</v>
      </c>
      <c r="E166" s="623">
        <f>SUM(E149:E165)</f>
        <v>60.561700000000002</v>
      </c>
      <c r="F166" s="623">
        <f>SUM(F149:F165)</f>
        <v>1011.6759999999999</v>
      </c>
      <c r="G166" s="622"/>
      <c r="H166" s="623">
        <f>SUM(H149:H165)</f>
        <v>1505.5809999999999</v>
      </c>
      <c r="I166" s="623">
        <f>SUM(I149:I165)</f>
        <v>1162.7199999999998</v>
      </c>
      <c r="J166" s="623">
        <f>SUM(J149:J165)</f>
        <v>196.56000000000003</v>
      </c>
      <c r="K166" s="623">
        <f>SUM(K149:K165)</f>
        <v>189.27199999999999</v>
      </c>
      <c r="L166" s="623">
        <f>SUM(L149:L165)</f>
        <v>3054.1320000000001</v>
      </c>
      <c r="M166" s="622"/>
      <c r="N166" s="623">
        <f>SUM(N149:N165)</f>
        <v>4065.8159999999998</v>
      </c>
      <c r="O166" s="658">
        <f>D166+E166+J166+K166</f>
        <v>551.38280000000009</v>
      </c>
      <c r="P166" s="545" t="s">
        <v>470</v>
      </c>
      <c r="Q166" s="619"/>
    </row>
    <row r="167" spans="1:17" x14ac:dyDescent="0.25">
      <c r="A167" s="621"/>
      <c r="B167" s="610"/>
      <c r="C167" s="610"/>
      <c r="D167" s="610"/>
      <c r="E167" s="610"/>
      <c r="F167" s="610"/>
      <c r="G167" s="610"/>
      <c r="H167" s="610"/>
      <c r="I167" s="610"/>
      <c r="J167" s="610"/>
      <c r="K167" s="610"/>
      <c r="L167" s="610"/>
      <c r="M167" s="610"/>
      <c r="N167" s="610"/>
      <c r="O167"/>
      <c r="P167"/>
      <c r="Q167"/>
    </row>
    <row r="168" spans="1:17" x14ac:dyDescent="0.25">
      <c r="A168" s="626" t="s">
        <v>397</v>
      </c>
      <c r="B168" s="625">
        <v>0</v>
      </c>
      <c r="C168" s="625">
        <v>0</v>
      </c>
      <c r="D168" s="625">
        <v>0</v>
      </c>
      <c r="E168" s="625">
        <v>0</v>
      </c>
      <c r="F168" s="625">
        <v>0</v>
      </c>
      <c r="G168" s="610"/>
      <c r="H168" s="625">
        <v>0.69899999999999995</v>
      </c>
      <c r="I168" s="625">
        <v>1.504</v>
      </c>
      <c r="J168" s="625">
        <v>0.28199999999999997</v>
      </c>
      <c r="K168" s="625">
        <v>1.5640000000000001</v>
      </c>
      <c r="L168" s="625">
        <v>4.0490000000000004</v>
      </c>
      <c r="M168" s="610"/>
      <c r="N168" s="625">
        <v>4.0490000000000004</v>
      </c>
      <c r="O168"/>
      <c r="P168"/>
      <c r="Q168"/>
    </row>
    <row r="169" spans="1:17" x14ac:dyDescent="0.25">
      <c r="A169" s="626" t="s">
        <v>365</v>
      </c>
      <c r="B169" s="625">
        <v>1.548</v>
      </c>
      <c r="C169" s="625">
        <v>0</v>
      </c>
      <c r="D169" s="625">
        <v>0</v>
      </c>
      <c r="E169" s="625">
        <v>0</v>
      </c>
      <c r="F169" s="625">
        <v>1.548</v>
      </c>
      <c r="G169" s="610"/>
      <c r="H169" s="625">
        <v>0</v>
      </c>
      <c r="I169" s="625">
        <v>3.0000000000000001E-3</v>
      </c>
      <c r="J169" s="625">
        <v>0</v>
      </c>
      <c r="K169" s="625">
        <v>0</v>
      </c>
      <c r="L169" s="625">
        <v>3.0000000000000001E-3</v>
      </c>
      <c r="M169" s="610"/>
      <c r="N169" s="625">
        <v>1.5509999999999999</v>
      </c>
      <c r="O169"/>
      <c r="P169"/>
      <c r="Q169"/>
    </row>
    <row r="170" spans="1:17" x14ac:dyDescent="0.25">
      <c r="A170" s="626" t="s">
        <v>398</v>
      </c>
      <c r="B170" s="625">
        <v>0.126</v>
      </c>
      <c r="C170" s="625">
        <v>7.3999999999999996E-2</v>
      </c>
      <c r="D170" s="625">
        <v>0.13150000000000001</v>
      </c>
      <c r="E170" s="625">
        <v>0</v>
      </c>
      <c r="F170" s="625">
        <v>0.33200000000000002</v>
      </c>
      <c r="G170" s="610"/>
      <c r="H170" s="625">
        <v>0.318</v>
      </c>
      <c r="I170" s="625">
        <v>0.373</v>
      </c>
      <c r="J170" s="625">
        <v>0.84699999999999998</v>
      </c>
      <c r="K170" s="625">
        <v>0.68200000000000005</v>
      </c>
      <c r="L170" s="625">
        <v>2.2189999999999999</v>
      </c>
      <c r="M170" s="610"/>
      <c r="N170" s="625">
        <v>2.5510000000000002</v>
      </c>
      <c r="O170"/>
      <c r="P170"/>
      <c r="Q170"/>
    </row>
    <row r="171" spans="1:17" x14ac:dyDescent="0.25">
      <c r="A171" s="626" t="s">
        <v>399</v>
      </c>
      <c r="B171" s="625">
        <v>85.278999999999996</v>
      </c>
      <c r="C171" s="625">
        <v>26.010999999999999</v>
      </c>
      <c r="D171" s="625">
        <v>1.7588999999999999</v>
      </c>
      <c r="E171" s="625">
        <v>0.31780000000000003</v>
      </c>
      <c r="F171" s="625">
        <v>113.367</v>
      </c>
      <c r="G171" s="610"/>
      <c r="H171" s="625">
        <v>38.100999999999999</v>
      </c>
      <c r="I171" s="625">
        <v>57.314999999999998</v>
      </c>
      <c r="J171" s="625">
        <v>0.60299999999999998</v>
      </c>
      <c r="K171" s="625">
        <v>0.78100000000000003</v>
      </c>
      <c r="L171" s="625">
        <v>96.8</v>
      </c>
      <c r="M171" s="610"/>
      <c r="N171" s="625">
        <v>210.167</v>
      </c>
      <c r="O171"/>
      <c r="P171"/>
      <c r="Q171"/>
    </row>
    <row r="172" spans="1:17" x14ac:dyDescent="0.25">
      <c r="A172" s="626" t="s">
        <v>400</v>
      </c>
      <c r="B172" s="625">
        <v>18.704000000000001</v>
      </c>
      <c r="C172" s="625">
        <v>4.8932000000000002</v>
      </c>
      <c r="D172" s="625">
        <v>1.2822</v>
      </c>
      <c r="E172" s="625">
        <v>0.1014</v>
      </c>
      <c r="F172" s="625">
        <v>24.981000000000002</v>
      </c>
      <c r="G172" s="610"/>
      <c r="H172" s="625">
        <v>17.468</v>
      </c>
      <c r="I172" s="625">
        <v>13.041</v>
      </c>
      <c r="J172" s="625">
        <v>1.466</v>
      </c>
      <c r="K172" s="625">
        <v>2.6789999999999998</v>
      </c>
      <c r="L172" s="625">
        <v>34.655000000000001</v>
      </c>
      <c r="M172" s="610"/>
      <c r="N172" s="625">
        <v>59.636000000000003</v>
      </c>
      <c r="O172"/>
      <c r="P172"/>
      <c r="Q172"/>
    </row>
    <row r="173" spans="1:17" x14ac:dyDescent="0.25">
      <c r="A173" s="626" t="s">
        <v>401</v>
      </c>
      <c r="B173" s="625">
        <v>5.66</v>
      </c>
      <c r="C173" s="625">
        <v>2.9260000000000002</v>
      </c>
      <c r="D173" s="625">
        <v>2.8218999999999999</v>
      </c>
      <c r="E173" s="625">
        <v>1.2521</v>
      </c>
      <c r="F173" s="625">
        <v>12.66</v>
      </c>
      <c r="G173" s="610"/>
      <c r="H173" s="625">
        <v>22.37</v>
      </c>
      <c r="I173" s="625">
        <v>24.007999999999999</v>
      </c>
      <c r="J173" s="625">
        <v>6.0490000000000004</v>
      </c>
      <c r="K173" s="625">
        <v>6.3449999999999998</v>
      </c>
      <c r="L173" s="625">
        <v>58.773000000000003</v>
      </c>
      <c r="M173" s="610"/>
      <c r="N173" s="625">
        <v>71.433000000000007</v>
      </c>
      <c r="O173"/>
      <c r="P173"/>
      <c r="Q173"/>
    </row>
    <row r="174" spans="1:17" x14ac:dyDescent="0.25">
      <c r="A174" s="626" t="s">
        <v>402</v>
      </c>
      <c r="B174" s="625">
        <v>0</v>
      </c>
      <c r="C174" s="625">
        <v>0</v>
      </c>
      <c r="D174" s="625">
        <v>9.0739999999999998</v>
      </c>
      <c r="E174" s="625">
        <v>1.7781</v>
      </c>
      <c r="F174" s="625">
        <v>10.852</v>
      </c>
      <c r="G174" s="610"/>
      <c r="H174" s="625">
        <v>0</v>
      </c>
      <c r="I174" s="625">
        <v>0</v>
      </c>
      <c r="J174" s="625">
        <v>4.3010000000000002</v>
      </c>
      <c r="K174" s="625">
        <v>10.920999999999999</v>
      </c>
      <c r="L174" s="625">
        <v>15.222</v>
      </c>
      <c r="M174" s="610"/>
      <c r="N174" s="625">
        <v>26.074000000000002</v>
      </c>
      <c r="O174"/>
      <c r="P174"/>
      <c r="Q174"/>
    </row>
    <row r="175" spans="1:17" x14ac:dyDescent="0.25">
      <c r="A175" s="626" t="s">
        <v>403</v>
      </c>
      <c r="B175" s="625">
        <v>35.189</v>
      </c>
      <c r="C175" s="625">
        <v>17.832899999999999</v>
      </c>
      <c r="D175" s="625">
        <v>3.2629999999999999</v>
      </c>
      <c r="E175" s="625">
        <v>4.5041000000000002</v>
      </c>
      <c r="F175" s="625">
        <v>60.789000000000001</v>
      </c>
      <c r="G175" s="610"/>
      <c r="H175" s="625">
        <v>32.857999999999997</v>
      </c>
      <c r="I175" s="625">
        <v>22.155999999999999</v>
      </c>
      <c r="J175" s="625">
        <v>6.7750000000000004</v>
      </c>
      <c r="K175" s="625">
        <v>4.5259999999999998</v>
      </c>
      <c r="L175" s="625">
        <v>66.314999999999998</v>
      </c>
      <c r="M175" s="610"/>
      <c r="N175" s="625">
        <v>127.104</v>
      </c>
      <c r="O175"/>
      <c r="P175"/>
      <c r="Q175"/>
    </row>
    <row r="176" spans="1:17" x14ac:dyDescent="0.25">
      <c r="A176" s="626" t="s">
        <v>404</v>
      </c>
      <c r="B176" s="625">
        <v>27.129000000000001</v>
      </c>
      <c r="C176" s="625">
        <v>9.4</v>
      </c>
      <c r="D176" s="625">
        <v>0</v>
      </c>
      <c r="E176" s="625">
        <v>0</v>
      </c>
      <c r="F176" s="625">
        <v>36.529000000000003</v>
      </c>
      <c r="G176" s="610"/>
      <c r="H176" s="625">
        <v>27.667999999999999</v>
      </c>
      <c r="I176" s="625">
        <v>40.024999999999999</v>
      </c>
      <c r="J176" s="625">
        <v>0</v>
      </c>
      <c r="K176" s="625">
        <v>0</v>
      </c>
      <c r="L176" s="625">
        <v>67.692999999999998</v>
      </c>
      <c r="M176" s="610"/>
      <c r="N176" s="625">
        <v>104.22199999999999</v>
      </c>
      <c r="O176"/>
      <c r="P176"/>
      <c r="Q176"/>
    </row>
    <row r="177" spans="1:17" x14ac:dyDescent="0.25">
      <c r="A177" s="626" t="s">
        <v>485</v>
      </c>
      <c r="B177" s="625">
        <v>0</v>
      </c>
      <c r="C177" s="625">
        <v>0.1041</v>
      </c>
      <c r="D177" s="625">
        <v>0</v>
      </c>
      <c r="E177" s="625">
        <v>0</v>
      </c>
      <c r="F177" s="625">
        <v>0.104</v>
      </c>
      <c r="G177" s="610"/>
      <c r="H177" s="625">
        <v>3.3000000000000002E-2</v>
      </c>
      <c r="I177" s="625">
        <v>1.008</v>
      </c>
      <c r="J177" s="625">
        <v>0</v>
      </c>
      <c r="K177" s="625">
        <v>0</v>
      </c>
      <c r="L177" s="625">
        <v>1.0409999999999999</v>
      </c>
      <c r="M177" s="610"/>
      <c r="N177" s="625">
        <v>1.145</v>
      </c>
      <c r="O177"/>
      <c r="P177"/>
      <c r="Q177"/>
    </row>
    <row r="178" spans="1:17" x14ac:dyDescent="0.25">
      <c r="A178" s="626" t="s">
        <v>233</v>
      </c>
      <c r="B178" s="625">
        <v>13.093</v>
      </c>
      <c r="C178" s="625">
        <v>3.9096000000000002</v>
      </c>
      <c r="D178" s="625">
        <v>2.9918</v>
      </c>
      <c r="E178" s="625">
        <v>0.78080000000000005</v>
      </c>
      <c r="F178" s="625">
        <v>20.774999999999999</v>
      </c>
      <c r="G178" s="610"/>
      <c r="H178" s="625">
        <v>12.31</v>
      </c>
      <c r="I178" s="625">
        <v>6.0190000000000001</v>
      </c>
      <c r="J178" s="625">
        <v>2.1179999999999999</v>
      </c>
      <c r="K178" s="625">
        <v>2.4489999999999998</v>
      </c>
      <c r="L178" s="625">
        <v>22.896000000000001</v>
      </c>
      <c r="M178" s="610"/>
      <c r="N178" s="625">
        <v>43.670999999999999</v>
      </c>
      <c r="O178"/>
      <c r="P178"/>
      <c r="Q178"/>
    </row>
    <row r="179" spans="1:17" x14ac:dyDescent="0.25">
      <c r="A179" s="626" t="s">
        <v>406</v>
      </c>
      <c r="B179" s="625">
        <v>26.498999999999999</v>
      </c>
      <c r="C179" s="625">
        <v>14.915100000000001</v>
      </c>
      <c r="D179" s="625">
        <v>5.3396999999999997</v>
      </c>
      <c r="E179" s="625">
        <v>3.9533999999999998</v>
      </c>
      <c r="F179" s="625">
        <v>50.707000000000001</v>
      </c>
      <c r="G179" s="610"/>
      <c r="H179" s="625">
        <v>5.3070000000000004</v>
      </c>
      <c r="I179" s="625">
        <v>11.654999999999999</v>
      </c>
      <c r="J179" s="625">
        <v>1.0189999999999999</v>
      </c>
      <c r="K179" s="625">
        <v>1.0269999999999999</v>
      </c>
      <c r="L179" s="625">
        <v>19.007999999999999</v>
      </c>
      <c r="M179" s="610"/>
      <c r="N179" s="625">
        <v>69.715000000000003</v>
      </c>
      <c r="O179"/>
      <c r="P179"/>
      <c r="Q179"/>
    </row>
    <row r="180" spans="1:17" x14ac:dyDescent="0.25">
      <c r="A180" s="624" t="s">
        <v>48</v>
      </c>
      <c r="B180" s="620">
        <f>SUM(B168:B179)</f>
        <v>213.22699999999998</v>
      </c>
      <c r="C180" s="620">
        <f>SUM(C168:C179)</f>
        <v>80.065899999999999</v>
      </c>
      <c r="D180" s="620">
        <f>SUM(D168:D179)</f>
        <v>26.663</v>
      </c>
      <c r="E180" s="620">
        <f>SUM(E168:E179)</f>
        <v>12.6877</v>
      </c>
      <c r="F180" s="620">
        <f>SUM(F168:F179)</f>
        <v>332.64399999999995</v>
      </c>
      <c r="G180" s="619"/>
      <c r="H180" s="620">
        <f>SUM(H168:H179)</f>
        <v>157.13199999999998</v>
      </c>
      <c r="I180" s="620">
        <f>SUM(I168:I179)</f>
        <v>177.10700000000003</v>
      </c>
      <c r="J180" s="620">
        <f>SUM(J168:J179)</f>
        <v>23.459999999999997</v>
      </c>
      <c r="K180" s="620">
        <f>SUM(K168:K179)</f>
        <v>30.973999999999997</v>
      </c>
      <c r="L180" s="620">
        <f>SUM(L168:L179)</f>
        <v>388.67399999999998</v>
      </c>
      <c r="M180" s="619"/>
      <c r="N180" s="620">
        <f>SUM(N168:N179)</f>
        <v>721.3180000000001</v>
      </c>
      <c r="O180" s="619"/>
      <c r="P180" s="619"/>
      <c r="Q180" s="619"/>
    </row>
    <row r="181" spans="1:17" x14ac:dyDescent="0.25">
      <c r="A181" s="621"/>
      <c r="B181" s="610"/>
      <c r="C181" s="610"/>
      <c r="D181" s="610"/>
      <c r="E181" s="610"/>
      <c r="F181" s="610"/>
      <c r="G181" s="610"/>
      <c r="H181" s="610"/>
      <c r="I181" s="610"/>
      <c r="J181" s="610"/>
      <c r="K181" s="610"/>
      <c r="L181" s="610"/>
      <c r="M181" s="610"/>
      <c r="N181" s="610"/>
      <c r="O181"/>
      <c r="P181"/>
      <c r="Q181"/>
    </row>
    <row r="182" spans="1:17" x14ac:dyDescent="0.25">
      <c r="A182" s="626" t="s">
        <v>407</v>
      </c>
      <c r="B182" s="625">
        <v>25.814</v>
      </c>
      <c r="C182" s="625">
        <v>7.2657999999999996</v>
      </c>
      <c r="D182" s="625">
        <v>13.334199999999999</v>
      </c>
      <c r="E182" s="625">
        <v>2.5425</v>
      </c>
      <c r="F182" s="625">
        <v>48.956000000000003</v>
      </c>
      <c r="G182" s="610"/>
      <c r="H182" s="625">
        <v>37.567</v>
      </c>
      <c r="I182" s="625">
        <v>61.484999999999999</v>
      </c>
      <c r="J182" s="625">
        <v>14.010999999999999</v>
      </c>
      <c r="K182" s="625">
        <v>25.216000000000001</v>
      </c>
      <c r="L182" s="625">
        <v>138.279</v>
      </c>
      <c r="M182" s="610"/>
      <c r="N182" s="625">
        <v>187.23599999999999</v>
      </c>
      <c r="O182"/>
      <c r="P182"/>
      <c r="Q182"/>
    </row>
    <row r="183" spans="1:17" x14ac:dyDescent="0.25">
      <c r="A183" s="626" t="s">
        <v>408</v>
      </c>
      <c r="B183" s="625">
        <v>8.9480000000000004</v>
      </c>
      <c r="C183" s="625">
        <v>3.7425000000000002</v>
      </c>
      <c r="D183" s="625">
        <v>1.6218999999999999</v>
      </c>
      <c r="E183" s="625">
        <v>0.77259999999999995</v>
      </c>
      <c r="F183" s="625">
        <v>15.085000000000001</v>
      </c>
      <c r="G183" s="610"/>
      <c r="H183" s="625">
        <v>7.4790000000000001</v>
      </c>
      <c r="I183" s="625">
        <v>11.304</v>
      </c>
      <c r="J183" s="625">
        <v>2.274</v>
      </c>
      <c r="K183" s="625">
        <v>1.6140000000000001</v>
      </c>
      <c r="L183" s="625">
        <v>22.670999999999999</v>
      </c>
      <c r="M183" s="610"/>
      <c r="N183" s="625">
        <v>37.756</v>
      </c>
      <c r="O183"/>
      <c r="P183"/>
      <c r="Q183"/>
    </row>
    <row r="184" spans="1:17" x14ac:dyDescent="0.25">
      <c r="A184" s="626" t="s">
        <v>409</v>
      </c>
      <c r="B184" s="625">
        <v>1.427</v>
      </c>
      <c r="C184" s="625">
        <v>1.3562000000000001</v>
      </c>
      <c r="D184" s="625">
        <v>1.274</v>
      </c>
      <c r="E184" s="625">
        <v>0.24379999999999999</v>
      </c>
      <c r="F184" s="625">
        <v>4.3010000000000002</v>
      </c>
      <c r="G184" s="610"/>
      <c r="H184" s="625">
        <v>3.1120000000000001</v>
      </c>
      <c r="I184" s="625">
        <v>4.0990000000000002</v>
      </c>
      <c r="J184" s="625">
        <v>3.5859999999999999</v>
      </c>
      <c r="K184" s="625">
        <v>2.4489999999999998</v>
      </c>
      <c r="L184" s="625">
        <v>13.247</v>
      </c>
      <c r="M184" s="610"/>
      <c r="N184" s="625">
        <v>17.547999999999998</v>
      </c>
      <c r="O184"/>
      <c r="P184"/>
      <c r="Q184"/>
    </row>
    <row r="185" spans="1:17" x14ac:dyDescent="0.25">
      <c r="A185" s="626" t="s">
        <v>410</v>
      </c>
      <c r="B185" s="625">
        <v>0.92600000000000005</v>
      </c>
      <c r="C185" s="625">
        <v>0</v>
      </c>
      <c r="D185" s="625">
        <v>0.13150000000000001</v>
      </c>
      <c r="E185" s="625">
        <v>3.2899999999999999E-2</v>
      </c>
      <c r="F185" s="625">
        <v>1.0900000000000001</v>
      </c>
      <c r="G185" s="610"/>
      <c r="H185" s="625">
        <v>0.52100000000000002</v>
      </c>
      <c r="I185" s="625">
        <v>1.0900000000000001</v>
      </c>
      <c r="J185" s="625">
        <v>0.36199999999999999</v>
      </c>
      <c r="K185" s="625">
        <v>0.91200000000000003</v>
      </c>
      <c r="L185" s="625">
        <v>2.8849999999999998</v>
      </c>
      <c r="M185" s="610"/>
      <c r="N185" s="625">
        <v>3.9750000000000001</v>
      </c>
      <c r="O185"/>
      <c r="P185"/>
      <c r="Q185"/>
    </row>
    <row r="186" spans="1:17" x14ac:dyDescent="0.25">
      <c r="A186" s="626" t="s">
        <v>411</v>
      </c>
      <c r="B186" s="625">
        <v>0.14499999999999999</v>
      </c>
      <c r="C186" s="625">
        <v>0.16159999999999999</v>
      </c>
      <c r="D186" s="625">
        <v>5.21E-2</v>
      </c>
      <c r="E186" s="625">
        <v>0</v>
      </c>
      <c r="F186" s="625">
        <v>0.35899999999999999</v>
      </c>
      <c r="G186" s="610"/>
      <c r="H186" s="625">
        <v>0</v>
      </c>
      <c r="I186" s="625">
        <v>0</v>
      </c>
      <c r="J186" s="625">
        <v>0.49</v>
      </c>
      <c r="K186" s="625">
        <v>0</v>
      </c>
      <c r="L186" s="625">
        <v>0.49</v>
      </c>
      <c r="M186" s="610"/>
      <c r="N186" s="625">
        <v>0.84899999999999998</v>
      </c>
      <c r="O186"/>
      <c r="P186"/>
      <c r="Q186"/>
    </row>
    <row r="187" spans="1:17" x14ac:dyDescent="0.25">
      <c r="A187" s="626" t="s">
        <v>412</v>
      </c>
      <c r="B187" s="625">
        <v>7.5419999999999998</v>
      </c>
      <c r="C187" s="625">
        <v>0.75339999999999996</v>
      </c>
      <c r="D187" s="625">
        <v>2.9479000000000002</v>
      </c>
      <c r="E187" s="625">
        <v>1.5835999999999999</v>
      </c>
      <c r="F187" s="625">
        <v>12.827</v>
      </c>
      <c r="G187" s="610"/>
      <c r="H187" s="625">
        <v>15.337</v>
      </c>
      <c r="I187" s="625">
        <v>13.071</v>
      </c>
      <c r="J187" s="625">
        <v>3.6440000000000001</v>
      </c>
      <c r="K187" s="625">
        <v>4.5839999999999996</v>
      </c>
      <c r="L187" s="625">
        <v>36.636000000000003</v>
      </c>
      <c r="M187" s="610"/>
      <c r="N187" s="625">
        <v>49.463000000000001</v>
      </c>
      <c r="O187"/>
      <c r="P187"/>
      <c r="Q187"/>
    </row>
    <row r="188" spans="1:17" x14ac:dyDescent="0.25">
      <c r="A188" s="626" t="s">
        <v>413</v>
      </c>
      <c r="B188" s="618">
        <v>0</v>
      </c>
      <c r="C188" s="618">
        <v>4.9299999999999997E-2</v>
      </c>
      <c r="D188" s="618">
        <v>0</v>
      </c>
      <c r="E188" s="618">
        <v>0</v>
      </c>
      <c r="F188" s="618">
        <v>4.9000000000000002E-2</v>
      </c>
      <c r="G188" s="617"/>
      <c r="H188" s="618">
        <v>0</v>
      </c>
      <c r="I188" s="618">
        <v>0</v>
      </c>
      <c r="J188" s="618">
        <v>0</v>
      </c>
      <c r="K188" s="618">
        <v>0</v>
      </c>
      <c r="L188" s="618">
        <v>0</v>
      </c>
      <c r="M188" s="617"/>
      <c r="N188" s="618">
        <v>4.9000000000000002E-2</v>
      </c>
      <c r="O188"/>
      <c r="P188"/>
      <c r="Q188"/>
    </row>
    <row r="189" spans="1:17" x14ac:dyDescent="0.25">
      <c r="A189" s="624" t="s">
        <v>48</v>
      </c>
      <c r="B189" s="623">
        <f>SUM(B182:B188)</f>
        <v>44.802000000000007</v>
      </c>
      <c r="C189" s="623">
        <f>SUM(C182:C188)</f>
        <v>13.328799999999999</v>
      </c>
      <c r="D189" s="623">
        <f>SUM(D182:D188)</f>
        <v>19.361599999999999</v>
      </c>
      <c r="E189" s="623">
        <f>SUM(E182:E188)</f>
        <v>5.1753999999999998</v>
      </c>
      <c r="F189" s="623">
        <f>SUM(F182:F188)</f>
        <v>82.667000000000002</v>
      </c>
      <c r="G189" s="622"/>
      <c r="H189" s="623">
        <f>SUM(H182:H188)</f>
        <v>64.016000000000005</v>
      </c>
      <c r="I189" s="623">
        <f>SUM(I182:I188)</f>
        <v>91.049000000000007</v>
      </c>
      <c r="J189" s="623">
        <f>SUM(J182:J188)</f>
        <v>24.366999999999997</v>
      </c>
      <c r="K189" s="623">
        <f>SUM(K182:K188)</f>
        <v>34.775000000000006</v>
      </c>
      <c r="L189" s="623">
        <f>SUM(L182:L188)</f>
        <v>214.208</v>
      </c>
      <c r="M189" s="622"/>
      <c r="N189" s="623">
        <f>SUM(N182:N188)</f>
        <v>296.87599999999998</v>
      </c>
      <c r="O189" s="619"/>
      <c r="P189" s="619"/>
      <c r="Q189" s="619"/>
    </row>
    <row r="190" spans="1:17" x14ac:dyDescent="0.25">
      <c r="A190" s="621"/>
      <c r="B190" s="610"/>
      <c r="C190" s="610"/>
      <c r="D190" s="610"/>
      <c r="E190" s="610"/>
      <c r="F190" s="610"/>
      <c r="G190" s="610"/>
      <c r="H190" s="610"/>
      <c r="I190" s="610"/>
      <c r="J190" s="610"/>
      <c r="K190" s="610"/>
      <c r="L190" s="610"/>
      <c r="M190" s="610"/>
      <c r="N190" s="610"/>
      <c r="O190"/>
      <c r="P190"/>
      <c r="Q190"/>
    </row>
    <row r="191" spans="1:17" ht="25.5" x14ac:dyDescent="0.25">
      <c r="A191" s="626" t="s">
        <v>416</v>
      </c>
      <c r="B191" s="625">
        <v>0</v>
      </c>
      <c r="C191" s="625">
        <v>0</v>
      </c>
      <c r="D191" s="625">
        <v>0</v>
      </c>
      <c r="E191" s="625">
        <v>0</v>
      </c>
      <c r="F191" s="625">
        <v>0</v>
      </c>
      <c r="G191" s="610"/>
      <c r="H191" s="625">
        <v>4.8550000000000004</v>
      </c>
      <c r="I191" s="625">
        <v>1.0049999999999999</v>
      </c>
      <c r="J191" s="625">
        <v>1</v>
      </c>
      <c r="K191" s="625">
        <v>0</v>
      </c>
      <c r="L191" s="625">
        <v>6.86</v>
      </c>
      <c r="M191" s="610"/>
      <c r="N191" s="625">
        <v>6.86</v>
      </c>
      <c r="O191"/>
      <c r="P191"/>
      <c r="Q191"/>
    </row>
    <row r="192" spans="1:17" ht="25.5" x14ac:dyDescent="0.25">
      <c r="A192" s="626" t="s">
        <v>415</v>
      </c>
      <c r="B192" s="625">
        <v>5.1340000000000003</v>
      </c>
      <c r="C192" s="625">
        <v>0.18629999999999999</v>
      </c>
      <c r="D192" s="625">
        <v>1</v>
      </c>
      <c r="E192" s="625">
        <v>0</v>
      </c>
      <c r="F192" s="625">
        <v>6.3209999999999997</v>
      </c>
      <c r="G192" s="610"/>
      <c r="H192" s="625">
        <v>16.244</v>
      </c>
      <c r="I192" s="625">
        <v>5.7750000000000004</v>
      </c>
      <c r="J192" s="625">
        <v>1</v>
      </c>
      <c r="K192" s="625">
        <v>0</v>
      </c>
      <c r="L192" s="625">
        <v>23.018999999999998</v>
      </c>
      <c r="M192" s="610"/>
      <c r="N192" s="625">
        <v>29.34</v>
      </c>
      <c r="O192"/>
      <c r="P192"/>
      <c r="Q192"/>
    </row>
    <row r="193" spans="1:17" x14ac:dyDescent="0.25">
      <c r="A193" s="626" t="s">
        <v>414</v>
      </c>
      <c r="B193" s="625">
        <v>19.701000000000001</v>
      </c>
      <c r="C193" s="625">
        <v>13.8795</v>
      </c>
      <c r="D193" s="625">
        <v>0</v>
      </c>
      <c r="E193" s="625">
        <v>0</v>
      </c>
      <c r="F193" s="625">
        <v>33.581000000000003</v>
      </c>
      <c r="G193" s="610"/>
      <c r="H193" s="625">
        <v>709.38900000000001</v>
      </c>
      <c r="I193" s="625">
        <v>155.53399999999999</v>
      </c>
      <c r="J193" s="625">
        <v>0</v>
      </c>
      <c r="K193" s="625">
        <v>0</v>
      </c>
      <c r="L193" s="625">
        <v>864.923</v>
      </c>
      <c r="M193" s="610"/>
      <c r="N193" s="625">
        <v>898.50400000000002</v>
      </c>
      <c r="O193"/>
      <c r="P193"/>
      <c r="Q193"/>
    </row>
    <row r="194" spans="1:17" x14ac:dyDescent="0.25">
      <c r="A194" s="626" t="s">
        <v>417</v>
      </c>
      <c r="B194" s="625">
        <v>0</v>
      </c>
      <c r="C194" s="625">
        <v>0</v>
      </c>
      <c r="D194" s="625">
        <v>0</v>
      </c>
      <c r="E194" s="625">
        <v>0</v>
      </c>
      <c r="F194" s="625">
        <v>0</v>
      </c>
      <c r="G194" s="610"/>
      <c r="H194" s="625">
        <v>0</v>
      </c>
      <c r="I194" s="625">
        <v>1.66</v>
      </c>
      <c r="J194" s="625">
        <v>0</v>
      </c>
      <c r="K194" s="625">
        <v>1</v>
      </c>
      <c r="L194" s="625">
        <v>2.66</v>
      </c>
      <c r="M194" s="610"/>
      <c r="N194" s="625">
        <v>2.66</v>
      </c>
      <c r="O194"/>
      <c r="P194"/>
      <c r="Q194"/>
    </row>
    <row r="195" spans="1:17" x14ac:dyDescent="0.25">
      <c r="A195" s="624" t="s">
        <v>48</v>
      </c>
      <c r="B195" s="620">
        <f>SUM(B191:B194)</f>
        <v>24.835000000000001</v>
      </c>
      <c r="C195" s="620">
        <f>SUM(C191:C194)</f>
        <v>14.065799999999999</v>
      </c>
      <c r="D195" s="620">
        <f>SUM(D191:D194)</f>
        <v>1</v>
      </c>
      <c r="E195" s="620">
        <f>SUM(E191:E194)</f>
        <v>0</v>
      </c>
      <c r="F195" s="620">
        <f>SUM(F191:F194)</f>
        <v>39.902000000000001</v>
      </c>
      <c r="G195" s="619"/>
      <c r="H195" s="620">
        <f>SUM(H191:H194)</f>
        <v>730.48800000000006</v>
      </c>
      <c r="I195" s="616">
        <f>SUM(I191:I194)</f>
        <v>163.97399999999999</v>
      </c>
      <c r="J195" s="616">
        <f>SUM(J191:J194)</f>
        <v>2</v>
      </c>
      <c r="K195" s="616">
        <f>SUM(K191:K194)</f>
        <v>1</v>
      </c>
      <c r="L195" s="616">
        <f>SUM(L191:L194)</f>
        <v>897.46199999999999</v>
      </c>
      <c r="M195" s="619"/>
      <c r="N195" s="620">
        <f>SUM(N191:N194)</f>
        <v>937.36400000000003</v>
      </c>
      <c r="O195" s="619"/>
      <c r="P195" s="619"/>
      <c r="Q195" s="619"/>
    </row>
    <row r="196" spans="1:17" x14ac:dyDescent="0.25">
      <c r="A196"/>
      <c r="B196"/>
      <c r="C196"/>
      <c r="D196"/>
      <c r="E196"/>
      <c r="F196"/>
      <c r="G196"/>
      <c r="H196"/>
      <c r="I196" s="659"/>
      <c r="J196" s="660"/>
      <c r="K196" s="660"/>
      <c r="L196" s="661" t="s">
        <v>229</v>
      </c>
      <c r="M196" s="662"/>
      <c r="N196" s="663">
        <f>N195+N189+N180+N166</f>
        <v>6021.3739999999998</v>
      </c>
      <c r="O196"/>
      <c r="P196"/>
      <c r="Q196"/>
    </row>
  </sheetData>
  <mergeCells count="2">
    <mergeCell ref="A47:M47"/>
    <mergeCell ref="A3:J3"/>
  </mergeCells>
  <phoneticPr fontId="19" type="noConversion"/>
  <printOptions horizontalCentered="1"/>
  <pageMargins left="0" right="0" top="1.47" bottom="0.75" header="0.33" footer="0.5"/>
  <pageSetup orientation="portrait" r:id="rId1"/>
  <headerFooter alignWithMargins="0">
    <oddHeader>&amp;C&amp;"Arial,Bold"&amp;12DEPARTMENT OF CORRECTIONS
 COST OF CARE Year 2017
(Based on Fiscal Year 2016 Actuals)</oddHeader>
    <oddFooter>&amp;L&amp;8&amp;F &amp;A&amp;R&amp;8&amp;D &amp;T</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R1293"/>
  <sheetViews>
    <sheetView topLeftCell="A259" workbookViewId="0">
      <selection activeCell="G282" sqref="G282"/>
    </sheetView>
  </sheetViews>
  <sheetFormatPr defaultRowHeight="12.75" x14ac:dyDescent="0.2"/>
  <cols>
    <col min="1" max="1" width="17.28515625" customWidth="1"/>
    <col min="2" max="2" width="6.7109375" customWidth="1"/>
    <col min="3" max="3" width="7.28515625" customWidth="1"/>
    <col min="4" max="5" width="9.42578125" bestFit="1" customWidth="1"/>
    <col min="6" max="6" width="8" customWidth="1"/>
    <col min="7" max="7" width="7.7109375" customWidth="1"/>
    <col min="8" max="8" width="7.85546875" customWidth="1"/>
    <col min="9" max="10" width="9.42578125" bestFit="1" customWidth="1"/>
    <col min="11" max="11" width="8.28515625" customWidth="1"/>
    <col min="12" max="12" width="9.42578125" bestFit="1" customWidth="1"/>
    <col min="13" max="13" width="6.7109375" customWidth="1"/>
    <col min="14" max="14" width="7.140625" customWidth="1"/>
    <col min="15" max="15" width="10.42578125" bestFit="1" customWidth="1"/>
    <col min="16" max="16" width="9.5703125" customWidth="1"/>
    <col min="17" max="17" width="9.7109375" customWidth="1"/>
    <col min="18" max="18" width="11.28515625" customWidth="1"/>
  </cols>
  <sheetData>
    <row r="1" spans="1:17" x14ac:dyDescent="0.2">
      <c r="A1" s="554"/>
      <c r="B1" s="554"/>
      <c r="C1" s="554"/>
      <c r="D1" s="554"/>
      <c r="E1" s="554"/>
      <c r="F1" s="554"/>
      <c r="G1" s="554"/>
      <c r="H1" s="554"/>
      <c r="I1" s="554"/>
      <c r="J1" s="554"/>
      <c r="K1" s="554"/>
      <c r="L1" s="554"/>
      <c r="M1" s="554"/>
      <c r="N1" s="554"/>
      <c r="O1" s="554"/>
      <c r="P1" s="554"/>
      <c r="Q1" s="554"/>
    </row>
    <row r="2" spans="1:17" ht="38.25" x14ac:dyDescent="0.2">
      <c r="A2" s="175" t="s">
        <v>432</v>
      </c>
      <c r="B2" s="176" t="s">
        <v>433</v>
      </c>
      <c r="C2" s="179" t="s">
        <v>434</v>
      </c>
      <c r="D2" s="179" t="s">
        <v>435</v>
      </c>
      <c r="E2" s="179" t="s">
        <v>436</v>
      </c>
      <c r="F2" s="179" t="s">
        <v>437</v>
      </c>
      <c r="G2" s="179" t="s">
        <v>438</v>
      </c>
      <c r="H2" s="179" t="s">
        <v>439</v>
      </c>
      <c r="I2" s="179" t="s">
        <v>440</v>
      </c>
      <c r="J2" s="179" t="s">
        <v>441</v>
      </c>
      <c r="K2" s="179" t="s">
        <v>442</v>
      </c>
      <c r="L2" s="179" t="s">
        <v>443</v>
      </c>
      <c r="M2" s="179" t="s">
        <v>444</v>
      </c>
      <c r="N2" s="179" t="s">
        <v>445</v>
      </c>
      <c r="O2" s="174" t="s">
        <v>446</v>
      </c>
      <c r="P2" s="555" t="s">
        <v>447</v>
      </c>
      <c r="Q2" s="555" t="s">
        <v>448</v>
      </c>
    </row>
    <row r="3" spans="1:17" x14ac:dyDescent="0.2">
      <c r="B3" t="s">
        <v>449</v>
      </c>
      <c r="C3">
        <v>1998</v>
      </c>
      <c r="D3">
        <v>2016</v>
      </c>
      <c r="E3">
        <v>1984</v>
      </c>
      <c r="F3">
        <v>2010</v>
      </c>
      <c r="G3">
        <v>2067</v>
      </c>
      <c r="H3">
        <v>2078</v>
      </c>
      <c r="I3">
        <v>2078</v>
      </c>
      <c r="J3">
        <v>2085</v>
      </c>
      <c r="K3">
        <v>2134</v>
      </c>
      <c r="L3">
        <v>2136</v>
      </c>
      <c r="M3">
        <v>2135</v>
      </c>
      <c r="N3">
        <v>2143</v>
      </c>
      <c r="O3">
        <f>SUM(C3:N3)/12</f>
        <v>2072</v>
      </c>
    </row>
    <row r="4" spans="1:17" x14ac:dyDescent="0.2">
      <c r="B4" t="s">
        <v>450</v>
      </c>
      <c r="C4">
        <v>2155</v>
      </c>
      <c r="D4">
        <v>2157</v>
      </c>
      <c r="E4">
        <v>2172</v>
      </c>
      <c r="F4">
        <v>2180</v>
      </c>
      <c r="G4">
        <v>2183</v>
      </c>
      <c r="H4">
        <v>2205</v>
      </c>
      <c r="I4">
        <v>2192</v>
      </c>
      <c r="J4">
        <v>2191</v>
      </c>
      <c r="K4">
        <v>2183</v>
      </c>
      <c r="L4">
        <v>2183</v>
      </c>
      <c r="M4">
        <v>2191</v>
      </c>
      <c r="N4">
        <v>2189</v>
      </c>
      <c r="O4" s="173">
        <f t="shared" ref="O4:O11" si="0">SUM(C4:N4)/12</f>
        <v>2181.75</v>
      </c>
      <c r="P4" s="173">
        <f t="shared" ref="P4:P18" si="1">SUM(O4-O3)</f>
        <v>109.75</v>
      </c>
      <c r="Q4" s="177">
        <f>SUM(P4/O3)</f>
        <v>5.2968146718146716E-2</v>
      </c>
    </row>
    <row r="5" spans="1:17" x14ac:dyDescent="0.2">
      <c r="B5" t="s">
        <v>451</v>
      </c>
      <c r="C5">
        <v>2201</v>
      </c>
      <c r="D5">
        <v>2233</v>
      </c>
      <c r="E5">
        <v>2235</v>
      </c>
      <c r="F5">
        <v>2252</v>
      </c>
      <c r="G5">
        <v>2259</v>
      </c>
      <c r="H5">
        <v>2271</v>
      </c>
      <c r="I5">
        <v>2271</v>
      </c>
      <c r="J5">
        <v>2307</v>
      </c>
      <c r="K5">
        <v>2319</v>
      </c>
      <c r="L5">
        <v>2331</v>
      </c>
      <c r="M5">
        <v>2343</v>
      </c>
      <c r="N5">
        <v>2355</v>
      </c>
      <c r="O5" s="173">
        <f t="shared" si="0"/>
        <v>2281.4166666666665</v>
      </c>
      <c r="P5" s="173">
        <f t="shared" si="1"/>
        <v>99.666666666666515</v>
      </c>
      <c r="Q5" s="177">
        <f t="shared" ref="Q5:Q16" si="2">SUM(P5/O4)</f>
        <v>4.5681983117527906E-2</v>
      </c>
    </row>
    <row r="6" spans="1:17" x14ac:dyDescent="0.2">
      <c r="B6" t="s">
        <v>267</v>
      </c>
      <c r="C6">
        <v>2324</v>
      </c>
      <c r="D6">
        <v>2433</v>
      </c>
      <c r="E6">
        <v>2266</v>
      </c>
      <c r="F6">
        <v>2266</v>
      </c>
      <c r="G6">
        <v>2306</v>
      </c>
      <c r="H6">
        <v>2306</v>
      </c>
      <c r="I6">
        <v>2306</v>
      </c>
      <c r="J6">
        <v>2334</v>
      </c>
      <c r="K6">
        <v>2230</v>
      </c>
      <c r="L6">
        <v>2230</v>
      </c>
      <c r="M6">
        <v>2230</v>
      </c>
      <c r="N6">
        <v>2230</v>
      </c>
      <c r="O6" s="173">
        <f t="shared" si="0"/>
        <v>2288.4166666666665</v>
      </c>
      <c r="P6" s="173">
        <f t="shared" si="1"/>
        <v>7</v>
      </c>
      <c r="Q6" s="177">
        <f t="shared" si="2"/>
        <v>3.0682689849143444E-3</v>
      </c>
    </row>
    <row r="7" spans="1:17" x14ac:dyDescent="0.2">
      <c r="B7" t="s">
        <v>266</v>
      </c>
      <c r="C7">
        <v>2408</v>
      </c>
      <c r="D7">
        <v>2335</v>
      </c>
      <c r="E7">
        <v>2353</v>
      </c>
      <c r="F7">
        <v>2353</v>
      </c>
      <c r="G7">
        <v>2311</v>
      </c>
      <c r="H7">
        <v>2367</v>
      </c>
      <c r="I7">
        <v>2367</v>
      </c>
      <c r="J7">
        <v>2352</v>
      </c>
      <c r="K7">
        <v>2336</v>
      </c>
      <c r="L7">
        <v>2336</v>
      </c>
      <c r="M7">
        <v>2292</v>
      </c>
      <c r="N7">
        <v>2318</v>
      </c>
      <c r="O7" s="173">
        <f t="shared" si="0"/>
        <v>2344</v>
      </c>
      <c r="P7" s="173">
        <f t="shared" si="1"/>
        <v>55.583333333333485</v>
      </c>
      <c r="Q7" s="177">
        <f t="shared" si="2"/>
        <v>2.4288991660900983E-2</v>
      </c>
    </row>
    <row r="8" spans="1:17" x14ac:dyDescent="0.2">
      <c r="B8" t="s">
        <v>287</v>
      </c>
      <c r="C8">
        <v>2312</v>
      </c>
      <c r="D8">
        <v>2305</v>
      </c>
      <c r="E8">
        <v>2318</v>
      </c>
      <c r="F8">
        <v>2318</v>
      </c>
      <c r="G8">
        <v>2350</v>
      </c>
      <c r="H8">
        <v>2314</v>
      </c>
      <c r="I8">
        <v>2314</v>
      </c>
      <c r="J8">
        <v>2426</v>
      </c>
      <c r="K8">
        <v>2400</v>
      </c>
      <c r="L8">
        <v>2454</v>
      </c>
      <c r="M8">
        <v>2536</v>
      </c>
      <c r="N8">
        <v>2334</v>
      </c>
      <c r="O8" s="173">
        <f t="shared" si="0"/>
        <v>2365.0833333333335</v>
      </c>
      <c r="P8" s="173">
        <f t="shared" si="1"/>
        <v>21.083333333333485</v>
      </c>
      <c r="Q8" s="177">
        <f t="shared" si="2"/>
        <v>8.9945961319682095E-3</v>
      </c>
    </row>
    <row r="9" spans="1:17" x14ac:dyDescent="0.2">
      <c r="B9" t="s">
        <v>297</v>
      </c>
      <c r="C9">
        <v>2357</v>
      </c>
      <c r="D9">
        <v>2384</v>
      </c>
      <c r="E9">
        <v>2387</v>
      </c>
      <c r="F9">
        <v>2410</v>
      </c>
      <c r="G9">
        <v>2414</v>
      </c>
      <c r="H9">
        <v>2444</v>
      </c>
      <c r="I9">
        <v>2444</v>
      </c>
      <c r="J9">
        <v>2433</v>
      </c>
      <c r="K9">
        <v>2417</v>
      </c>
      <c r="L9">
        <v>2424</v>
      </c>
      <c r="M9">
        <v>2443</v>
      </c>
      <c r="N9">
        <v>2445</v>
      </c>
      <c r="O9" s="173">
        <f t="shared" si="0"/>
        <v>2416.8333333333335</v>
      </c>
      <c r="P9" s="173">
        <f t="shared" si="1"/>
        <v>51.75</v>
      </c>
      <c r="Q9" s="177">
        <f t="shared" si="2"/>
        <v>2.1880835770409779E-2</v>
      </c>
    </row>
    <row r="10" spans="1:17" x14ac:dyDescent="0.2">
      <c r="B10" t="s">
        <v>300</v>
      </c>
      <c r="C10">
        <v>2453</v>
      </c>
      <c r="D10">
        <v>2437</v>
      </c>
      <c r="E10">
        <v>2420</v>
      </c>
      <c r="F10">
        <v>2487</v>
      </c>
      <c r="G10">
        <v>2437</v>
      </c>
      <c r="H10">
        <v>2479</v>
      </c>
      <c r="I10">
        <v>2466</v>
      </c>
      <c r="J10">
        <v>2488</v>
      </c>
      <c r="K10">
        <v>2477</v>
      </c>
      <c r="L10">
        <v>2562</v>
      </c>
      <c r="M10">
        <v>2557</v>
      </c>
      <c r="N10">
        <v>2455</v>
      </c>
      <c r="O10" s="173">
        <f t="shared" si="0"/>
        <v>2476.5</v>
      </c>
      <c r="P10" s="173">
        <f t="shared" si="1"/>
        <v>59.666666666666515</v>
      </c>
      <c r="Q10" s="177">
        <f t="shared" si="2"/>
        <v>2.4687952554996142E-2</v>
      </c>
    </row>
    <row r="11" spans="1:17" x14ac:dyDescent="0.2">
      <c r="B11" t="s">
        <v>301</v>
      </c>
      <c r="C11">
        <v>2495</v>
      </c>
      <c r="D11">
        <v>2542</v>
      </c>
      <c r="E11">
        <v>2644</v>
      </c>
      <c r="F11">
        <v>2580</v>
      </c>
      <c r="G11">
        <v>2273</v>
      </c>
      <c r="H11">
        <v>2302</v>
      </c>
      <c r="I11">
        <v>2395</v>
      </c>
      <c r="J11">
        <v>2404</v>
      </c>
      <c r="K11">
        <v>2394</v>
      </c>
      <c r="L11">
        <v>2426</v>
      </c>
      <c r="M11">
        <v>2689</v>
      </c>
      <c r="N11">
        <v>2739</v>
      </c>
      <c r="O11" s="173">
        <f t="shared" si="0"/>
        <v>2490.25</v>
      </c>
      <c r="P11" s="173">
        <f t="shared" si="1"/>
        <v>13.75</v>
      </c>
      <c r="Q11" s="177">
        <f t="shared" si="2"/>
        <v>5.5521905915606705E-3</v>
      </c>
    </row>
    <row r="12" spans="1:17" x14ac:dyDescent="0.2">
      <c r="B12" t="s">
        <v>302</v>
      </c>
      <c r="C12">
        <v>2704</v>
      </c>
      <c r="D12">
        <v>2698</v>
      </c>
      <c r="E12">
        <v>2694</v>
      </c>
      <c r="F12">
        <v>2677</v>
      </c>
      <c r="G12">
        <v>2732</v>
      </c>
      <c r="H12">
        <v>2755</v>
      </c>
      <c r="I12">
        <v>2778</v>
      </c>
      <c r="J12">
        <v>2778</v>
      </c>
      <c r="K12">
        <v>2775</v>
      </c>
      <c r="L12">
        <v>2782</v>
      </c>
      <c r="M12">
        <v>2819</v>
      </c>
      <c r="N12">
        <v>2864</v>
      </c>
      <c r="O12" s="173">
        <f t="shared" ref="O12:O19" si="3">SUM(C12:N12)/12</f>
        <v>2754.6666666666665</v>
      </c>
      <c r="P12" s="173">
        <f t="shared" si="1"/>
        <v>264.41666666666652</v>
      </c>
      <c r="Q12" s="177">
        <f t="shared" si="2"/>
        <v>0.10618077167620379</v>
      </c>
    </row>
    <row r="13" spans="1:17" x14ac:dyDescent="0.2">
      <c r="B13" t="s">
        <v>347</v>
      </c>
      <c r="C13">
        <v>2871</v>
      </c>
      <c r="D13">
        <v>2904</v>
      </c>
      <c r="E13">
        <v>2884</v>
      </c>
      <c r="F13">
        <v>2895</v>
      </c>
      <c r="G13">
        <v>2826</v>
      </c>
      <c r="H13">
        <v>2865</v>
      </c>
      <c r="I13">
        <v>2853</v>
      </c>
      <c r="J13">
        <v>2903</v>
      </c>
      <c r="K13">
        <v>2885</v>
      </c>
      <c r="L13">
        <v>2910</v>
      </c>
      <c r="M13">
        <v>2930</v>
      </c>
      <c r="N13">
        <v>2884</v>
      </c>
      <c r="O13" s="173">
        <f t="shared" si="3"/>
        <v>2884.1666666666665</v>
      </c>
      <c r="P13" s="173">
        <f t="shared" si="1"/>
        <v>129.5</v>
      </c>
      <c r="Q13" s="177">
        <f t="shared" si="2"/>
        <v>4.7011132623426911E-2</v>
      </c>
    </row>
    <row r="14" spans="1:17" x14ac:dyDescent="0.2">
      <c r="B14" t="s">
        <v>370</v>
      </c>
      <c r="C14">
        <v>2896</v>
      </c>
      <c r="D14">
        <v>2980</v>
      </c>
      <c r="E14">
        <v>2969</v>
      </c>
      <c r="F14">
        <v>2961</v>
      </c>
      <c r="G14">
        <v>3022</v>
      </c>
      <c r="H14">
        <v>3037</v>
      </c>
      <c r="I14">
        <v>3049</v>
      </c>
      <c r="J14">
        <v>3076</v>
      </c>
      <c r="K14">
        <v>3088</v>
      </c>
      <c r="L14">
        <v>3074</v>
      </c>
      <c r="M14">
        <v>3058</v>
      </c>
      <c r="N14">
        <v>2954</v>
      </c>
      <c r="O14" s="173">
        <f t="shared" si="3"/>
        <v>3013.6666666666665</v>
      </c>
      <c r="P14" s="173">
        <f t="shared" si="1"/>
        <v>129.5</v>
      </c>
      <c r="Q14" s="177">
        <f t="shared" si="2"/>
        <v>4.4900317827217567E-2</v>
      </c>
    </row>
    <row r="15" spans="1:17" x14ac:dyDescent="0.2">
      <c r="B15" t="s">
        <v>452</v>
      </c>
      <c r="C15">
        <v>3027</v>
      </c>
      <c r="D15">
        <v>3039</v>
      </c>
      <c r="E15">
        <v>3034</v>
      </c>
      <c r="F15">
        <v>3040</v>
      </c>
      <c r="G15">
        <v>3022</v>
      </c>
      <c r="H15">
        <v>3057</v>
      </c>
      <c r="I15">
        <v>3074</v>
      </c>
      <c r="J15">
        <v>3088</v>
      </c>
      <c r="K15">
        <v>3056</v>
      </c>
      <c r="L15">
        <v>3094</v>
      </c>
      <c r="M15">
        <v>3138</v>
      </c>
      <c r="N15">
        <v>3130</v>
      </c>
      <c r="O15" s="173">
        <f t="shared" si="3"/>
        <v>3066.5833333333335</v>
      </c>
      <c r="P15" s="173">
        <f t="shared" si="1"/>
        <v>52.91666666666697</v>
      </c>
      <c r="Q15" s="177">
        <f t="shared" si="2"/>
        <v>1.7558898351952318E-2</v>
      </c>
    </row>
    <row r="16" spans="1:17" x14ac:dyDescent="0.2">
      <c r="B16" t="s">
        <v>487</v>
      </c>
      <c r="C16">
        <v>3123</v>
      </c>
      <c r="D16">
        <v>3065</v>
      </c>
      <c r="E16">
        <v>3115</v>
      </c>
      <c r="F16">
        <v>3134</v>
      </c>
      <c r="G16">
        <v>3160</v>
      </c>
      <c r="H16">
        <v>3165</v>
      </c>
      <c r="I16">
        <v>3166</v>
      </c>
      <c r="J16">
        <v>3187</v>
      </c>
      <c r="K16">
        <v>3069</v>
      </c>
      <c r="L16">
        <v>3020</v>
      </c>
      <c r="M16">
        <v>3040</v>
      </c>
      <c r="N16">
        <v>3070</v>
      </c>
      <c r="O16" s="173">
        <f t="shared" si="3"/>
        <v>3109.5</v>
      </c>
      <c r="P16" s="173">
        <f t="shared" si="1"/>
        <v>42.916666666666515</v>
      </c>
      <c r="Q16" s="177">
        <f t="shared" si="2"/>
        <v>1.3994945514823722E-2</v>
      </c>
    </row>
    <row r="17" spans="1:17" x14ac:dyDescent="0.2">
      <c r="B17" t="s">
        <v>561</v>
      </c>
      <c r="C17">
        <v>3068</v>
      </c>
      <c r="D17">
        <v>3065</v>
      </c>
      <c r="E17">
        <v>3103</v>
      </c>
      <c r="F17">
        <v>3034</v>
      </c>
      <c r="G17">
        <v>3036</v>
      </c>
      <c r="H17">
        <v>3045</v>
      </c>
      <c r="I17">
        <v>3049</v>
      </c>
      <c r="J17">
        <v>3041</v>
      </c>
      <c r="K17">
        <v>2986</v>
      </c>
      <c r="L17">
        <v>2936</v>
      </c>
      <c r="M17">
        <v>2897</v>
      </c>
      <c r="N17">
        <v>2906</v>
      </c>
      <c r="O17" s="173">
        <f t="shared" si="3"/>
        <v>3013.8333333333335</v>
      </c>
      <c r="P17" s="173">
        <f t="shared" si="1"/>
        <v>-95.666666666666515</v>
      </c>
      <c r="Q17" s="177">
        <f>SUM(P17/O16)</f>
        <v>-3.0765932357828114E-2</v>
      </c>
    </row>
    <row r="18" spans="1:17" x14ac:dyDescent="0.2">
      <c r="B18" t="s">
        <v>660</v>
      </c>
      <c r="C18">
        <v>2911</v>
      </c>
      <c r="D18">
        <v>2880</v>
      </c>
      <c r="E18">
        <v>2853</v>
      </c>
      <c r="F18">
        <v>2835</v>
      </c>
      <c r="G18">
        <v>2828</v>
      </c>
      <c r="H18">
        <v>2758</v>
      </c>
      <c r="I18">
        <v>2810</v>
      </c>
      <c r="J18">
        <v>2815</v>
      </c>
      <c r="K18">
        <v>2770</v>
      </c>
      <c r="L18">
        <v>2722</v>
      </c>
      <c r="M18">
        <v>2761</v>
      </c>
      <c r="N18">
        <v>2747</v>
      </c>
      <c r="O18" s="173">
        <f t="shared" si="3"/>
        <v>2807.5</v>
      </c>
      <c r="P18" s="173">
        <f t="shared" si="1"/>
        <v>-206.33333333333348</v>
      </c>
      <c r="Q18" s="177">
        <f>SUM(P18/O17)</f>
        <v>-6.846209146712387E-2</v>
      </c>
    </row>
    <row r="19" spans="1:17" x14ac:dyDescent="0.2">
      <c r="B19" t="s">
        <v>661</v>
      </c>
      <c r="C19">
        <v>2607</v>
      </c>
      <c r="D19">
        <v>2654</v>
      </c>
      <c r="E19">
        <v>2602</v>
      </c>
      <c r="F19">
        <v>2660</v>
      </c>
      <c r="G19">
        <v>2612</v>
      </c>
      <c r="H19">
        <v>2542</v>
      </c>
      <c r="I19">
        <v>2515</v>
      </c>
      <c r="J19">
        <v>2539</v>
      </c>
      <c r="K19">
        <v>2614</v>
      </c>
      <c r="L19">
        <v>2633</v>
      </c>
      <c r="M19">
        <v>2586</v>
      </c>
      <c r="N19">
        <v>2590</v>
      </c>
      <c r="O19" s="173">
        <f t="shared" si="3"/>
        <v>2596.1666666666665</v>
      </c>
      <c r="P19" s="173">
        <f>SUM(O19-O18)</f>
        <v>-211.33333333333348</v>
      </c>
      <c r="Q19" s="177">
        <f>SUM(P19/O18)</f>
        <v>-7.5274562184624569E-2</v>
      </c>
    </row>
    <row r="20" spans="1:17" x14ac:dyDescent="0.2">
      <c r="O20" s="173"/>
      <c r="P20" s="173"/>
      <c r="Q20" s="177"/>
    </row>
    <row r="21" spans="1:17" ht="25.5" x14ac:dyDescent="0.2">
      <c r="A21" s="175" t="s">
        <v>453</v>
      </c>
      <c r="B21" s="176" t="s">
        <v>433</v>
      </c>
      <c r="C21" s="179" t="s">
        <v>434</v>
      </c>
      <c r="D21" s="179" t="s">
        <v>435</v>
      </c>
      <c r="E21" s="179" t="s">
        <v>436</v>
      </c>
      <c r="F21" s="179" t="s">
        <v>437</v>
      </c>
      <c r="G21" s="179" t="s">
        <v>438</v>
      </c>
      <c r="H21" s="179" t="s">
        <v>439</v>
      </c>
      <c r="I21" s="179" t="s">
        <v>440</v>
      </c>
      <c r="J21" s="179" t="s">
        <v>441</v>
      </c>
      <c r="K21" s="179" t="s">
        <v>442</v>
      </c>
      <c r="L21" s="179" t="s">
        <v>443</v>
      </c>
      <c r="M21" s="179" t="s">
        <v>444</v>
      </c>
      <c r="N21" s="179" t="s">
        <v>445</v>
      </c>
    </row>
    <row r="22" spans="1:17" x14ac:dyDescent="0.2">
      <c r="B22" t="s">
        <v>449</v>
      </c>
      <c r="C22">
        <v>83</v>
      </c>
      <c r="D22">
        <v>80</v>
      </c>
      <c r="E22">
        <v>74</v>
      </c>
      <c r="F22">
        <v>78</v>
      </c>
      <c r="G22">
        <v>79</v>
      </c>
      <c r="H22">
        <v>81</v>
      </c>
      <c r="I22">
        <v>82</v>
      </c>
      <c r="J22">
        <v>83</v>
      </c>
      <c r="K22">
        <v>82</v>
      </c>
      <c r="L22">
        <v>83</v>
      </c>
      <c r="M22">
        <v>85</v>
      </c>
      <c r="N22">
        <v>87</v>
      </c>
      <c r="O22" s="173">
        <f t="shared" ref="O22:O30" si="4">SUM(C22:N22)/12</f>
        <v>81.416666666666671</v>
      </c>
      <c r="P22" s="173"/>
    </row>
    <row r="23" spans="1:17" x14ac:dyDescent="0.2">
      <c r="B23" t="s">
        <v>450</v>
      </c>
      <c r="C23">
        <v>92</v>
      </c>
      <c r="D23">
        <v>93</v>
      </c>
      <c r="E23">
        <v>94</v>
      </c>
      <c r="F23">
        <v>97</v>
      </c>
      <c r="G23">
        <v>98</v>
      </c>
      <c r="H23">
        <v>95</v>
      </c>
      <c r="I23">
        <v>89</v>
      </c>
      <c r="J23">
        <v>93</v>
      </c>
      <c r="K23">
        <v>90</v>
      </c>
      <c r="L23">
        <v>97</v>
      </c>
      <c r="M23">
        <v>99</v>
      </c>
      <c r="N23">
        <v>92</v>
      </c>
      <c r="O23" s="173">
        <f t="shared" si="4"/>
        <v>94.083333333333329</v>
      </c>
      <c r="P23" s="173">
        <f t="shared" ref="P23:P36" si="5">SUM(O23-O22)</f>
        <v>12.666666666666657</v>
      </c>
      <c r="Q23" s="177">
        <f t="shared" ref="Q23:Q36" si="6">SUM(P23/O22)</f>
        <v>0.15557830092118718</v>
      </c>
    </row>
    <row r="24" spans="1:17" x14ac:dyDescent="0.2">
      <c r="B24" t="s">
        <v>451</v>
      </c>
      <c r="C24">
        <v>90</v>
      </c>
      <c r="D24">
        <v>91</v>
      </c>
      <c r="E24">
        <v>92</v>
      </c>
      <c r="F24">
        <v>100</v>
      </c>
      <c r="G24">
        <v>99</v>
      </c>
      <c r="H24">
        <v>111</v>
      </c>
      <c r="I24">
        <v>102</v>
      </c>
      <c r="J24">
        <v>94</v>
      </c>
      <c r="K24">
        <v>96</v>
      </c>
      <c r="L24">
        <v>98</v>
      </c>
      <c r="M24">
        <v>93</v>
      </c>
      <c r="N24">
        <v>89</v>
      </c>
      <c r="O24" s="173">
        <f t="shared" si="4"/>
        <v>96.25</v>
      </c>
      <c r="P24" s="173">
        <f t="shared" si="5"/>
        <v>2.1666666666666714</v>
      </c>
      <c r="Q24" s="177">
        <f t="shared" si="6"/>
        <v>2.3029229406554524E-2</v>
      </c>
    </row>
    <row r="25" spans="1:17" x14ac:dyDescent="0.2">
      <c r="B25" t="s">
        <v>267</v>
      </c>
      <c r="C25">
        <v>72</v>
      </c>
      <c r="D25">
        <v>74</v>
      </c>
      <c r="E25">
        <v>73</v>
      </c>
      <c r="F25">
        <v>73</v>
      </c>
      <c r="G25">
        <v>73</v>
      </c>
      <c r="H25">
        <v>73</v>
      </c>
      <c r="I25">
        <v>73</v>
      </c>
      <c r="J25">
        <v>65</v>
      </c>
      <c r="K25">
        <v>65</v>
      </c>
      <c r="L25">
        <v>65</v>
      </c>
      <c r="M25">
        <v>65</v>
      </c>
      <c r="N25">
        <v>60</v>
      </c>
      <c r="O25" s="173">
        <f t="shared" si="4"/>
        <v>69.25</v>
      </c>
      <c r="P25" s="173">
        <f t="shared" si="5"/>
        <v>-27</v>
      </c>
      <c r="Q25" s="177">
        <f t="shared" si="6"/>
        <v>-0.2805194805194805</v>
      </c>
    </row>
    <row r="26" spans="1:17" x14ac:dyDescent="0.2">
      <c r="B26" t="s">
        <v>266</v>
      </c>
      <c r="C26">
        <v>59</v>
      </c>
      <c r="D26">
        <v>58</v>
      </c>
      <c r="E26">
        <v>59</v>
      </c>
      <c r="F26">
        <v>60</v>
      </c>
      <c r="G26">
        <v>56</v>
      </c>
      <c r="H26">
        <v>54</v>
      </c>
      <c r="I26">
        <v>54</v>
      </c>
      <c r="J26">
        <v>51</v>
      </c>
      <c r="K26">
        <v>53</v>
      </c>
      <c r="L26">
        <v>59</v>
      </c>
      <c r="M26">
        <v>64</v>
      </c>
      <c r="N26">
        <v>62</v>
      </c>
      <c r="O26" s="173">
        <f t="shared" si="4"/>
        <v>57.416666666666664</v>
      </c>
      <c r="P26" s="173">
        <f t="shared" si="5"/>
        <v>-11.833333333333336</v>
      </c>
      <c r="Q26" s="177">
        <f t="shared" si="6"/>
        <v>-0.17087845968712398</v>
      </c>
    </row>
    <row r="27" spans="1:17" x14ac:dyDescent="0.2">
      <c r="B27" t="s">
        <v>287</v>
      </c>
      <c r="C27">
        <v>66</v>
      </c>
      <c r="D27">
        <v>68</v>
      </c>
      <c r="E27">
        <v>66</v>
      </c>
      <c r="F27">
        <v>65</v>
      </c>
      <c r="G27">
        <v>63</v>
      </c>
      <c r="H27">
        <v>68</v>
      </c>
      <c r="I27">
        <v>63</v>
      </c>
      <c r="J27">
        <v>57</v>
      </c>
      <c r="K27">
        <v>45</v>
      </c>
      <c r="L27">
        <v>45</v>
      </c>
      <c r="M27">
        <v>47</v>
      </c>
      <c r="N27">
        <v>49</v>
      </c>
      <c r="O27" s="173">
        <f t="shared" si="4"/>
        <v>58.5</v>
      </c>
      <c r="P27" s="173">
        <f t="shared" si="5"/>
        <v>1.0833333333333357</v>
      </c>
      <c r="Q27" s="177">
        <f t="shared" si="6"/>
        <v>1.8867924528301928E-2</v>
      </c>
    </row>
    <row r="28" spans="1:17" x14ac:dyDescent="0.2">
      <c r="B28" t="s">
        <v>297</v>
      </c>
      <c r="C28">
        <v>47</v>
      </c>
      <c r="D28">
        <v>45</v>
      </c>
      <c r="E28">
        <v>45</v>
      </c>
      <c r="F28">
        <v>47</v>
      </c>
      <c r="G28">
        <v>47</v>
      </c>
      <c r="H28">
        <v>42</v>
      </c>
      <c r="I28">
        <v>40</v>
      </c>
      <c r="J28">
        <v>42</v>
      </c>
      <c r="K28">
        <v>47</v>
      </c>
      <c r="L28">
        <v>46</v>
      </c>
      <c r="M28">
        <v>41</v>
      </c>
      <c r="N28">
        <v>39</v>
      </c>
      <c r="O28" s="173">
        <f t="shared" si="4"/>
        <v>44</v>
      </c>
      <c r="P28" s="173">
        <f t="shared" si="5"/>
        <v>-14.5</v>
      </c>
      <c r="Q28" s="177">
        <f t="shared" si="6"/>
        <v>-0.24786324786324787</v>
      </c>
    </row>
    <row r="29" spans="1:17" x14ac:dyDescent="0.2">
      <c r="B29" t="s">
        <v>300</v>
      </c>
      <c r="C29">
        <v>40</v>
      </c>
      <c r="D29">
        <v>40</v>
      </c>
      <c r="E29">
        <v>40</v>
      </c>
      <c r="F29">
        <v>43</v>
      </c>
      <c r="G29">
        <v>37</v>
      </c>
      <c r="H29">
        <v>38</v>
      </c>
      <c r="I29">
        <v>37</v>
      </c>
      <c r="J29">
        <v>39</v>
      </c>
      <c r="K29">
        <v>41</v>
      </c>
      <c r="L29">
        <v>51</v>
      </c>
      <c r="M29">
        <v>50</v>
      </c>
      <c r="N29">
        <v>37</v>
      </c>
      <c r="O29" s="173">
        <f t="shared" si="4"/>
        <v>41.083333333333336</v>
      </c>
      <c r="P29" s="173">
        <f t="shared" si="5"/>
        <v>-2.9166666666666643</v>
      </c>
      <c r="Q29" s="177">
        <f t="shared" si="6"/>
        <v>-6.6287878787878729E-2</v>
      </c>
    </row>
    <row r="30" spans="1:17" x14ac:dyDescent="0.2">
      <c r="B30" t="s">
        <v>301</v>
      </c>
      <c r="C30">
        <v>39</v>
      </c>
      <c r="D30">
        <v>39</v>
      </c>
      <c r="E30">
        <v>44</v>
      </c>
      <c r="F30">
        <v>39</v>
      </c>
      <c r="G30">
        <v>42</v>
      </c>
      <c r="H30">
        <v>41</v>
      </c>
      <c r="I30">
        <v>40</v>
      </c>
      <c r="J30">
        <v>37</v>
      </c>
      <c r="K30">
        <v>36</v>
      </c>
      <c r="L30">
        <v>36</v>
      </c>
      <c r="M30">
        <v>40</v>
      </c>
      <c r="N30">
        <v>41</v>
      </c>
      <c r="O30" s="173">
        <f t="shared" si="4"/>
        <v>39.5</v>
      </c>
      <c r="P30" s="173">
        <f t="shared" si="5"/>
        <v>-1.5833333333333357</v>
      </c>
      <c r="Q30" s="177">
        <f t="shared" si="6"/>
        <v>-3.8539553752535552E-2</v>
      </c>
    </row>
    <row r="31" spans="1:17" x14ac:dyDescent="0.2">
      <c r="B31" t="s">
        <v>302</v>
      </c>
      <c r="C31">
        <v>32</v>
      </c>
      <c r="D31">
        <v>34</v>
      </c>
      <c r="E31">
        <v>31</v>
      </c>
      <c r="F31">
        <v>32</v>
      </c>
      <c r="G31">
        <v>33</v>
      </c>
      <c r="H31">
        <v>31</v>
      </c>
      <c r="I31">
        <v>31</v>
      </c>
      <c r="J31">
        <v>31</v>
      </c>
      <c r="K31">
        <v>34</v>
      </c>
      <c r="L31">
        <v>36</v>
      </c>
      <c r="M31">
        <v>40</v>
      </c>
      <c r="N31">
        <v>39</v>
      </c>
      <c r="O31" s="173">
        <f>SUM(C31:N31)/12</f>
        <v>33.666666666666664</v>
      </c>
      <c r="P31" s="173">
        <f t="shared" si="5"/>
        <v>-5.8333333333333357</v>
      </c>
      <c r="Q31" s="177">
        <f t="shared" si="6"/>
        <v>-0.14767932489451482</v>
      </c>
    </row>
    <row r="32" spans="1:17" x14ac:dyDescent="0.2">
      <c r="B32" t="s">
        <v>347</v>
      </c>
      <c r="C32">
        <v>43</v>
      </c>
      <c r="D32">
        <v>43</v>
      </c>
      <c r="E32">
        <v>41</v>
      </c>
      <c r="F32">
        <v>0</v>
      </c>
      <c r="G32">
        <v>0</v>
      </c>
      <c r="H32">
        <v>0</v>
      </c>
      <c r="I32">
        <v>35</v>
      </c>
      <c r="J32">
        <v>35</v>
      </c>
      <c r="K32">
        <v>38</v>
      </c>
      <c r="L32">
        <v>36</v>
      </c>
      <c r="M32">
        <v>35</v>
      </c>
      <c r="N32">
        <v>32</v>
      </c>
      <c r="O32" s="173">
        <f>SUM(C32:N32)/9</f>
        <v>37.555555555555557</v>
      </c>
      <c r="P32" s="173">
        <f t="shared" si="5"/>
        <v>3.8888888888888928</v>
      </c>
      <c r="Q32" s="177">
        <f t="shared" si="6"/>
        <v>0.11551155115511563</v>
      </c>
    </row>
    <row r="33" spans="1:17" x14ac:dyDescent="0.2">
      <c r="B33" t="s">
        <v>370</v>
      </c>
      <c r="C33">
        <v>32</v>
      </c>
      <c r="D33">
        <v>33</v>
      </c>
      <c r="E33">
        <v>46</v>
      </c>
      <c r="F33">
        <v>60</v>
      </c>
      <c r="G33">
        <v>63</v>
      </c>
      <c r="H33">
        <v>62</v>
      </c>
      <c r="I33">
        <v>63</v>
      </c>
      <c r="J33">
        <v>64</v>
      </c>
      <c r="K33">
        <v>61</v>
      </c>
      <c r="L33">
        <v>60</v>
      </c>
      <c r="M33">
        <v>67</v>
      </c>
      <c r="N33">
        <v>70</v>
      </c>
      <c r="O33" s="173">
        <f t="shared" ref="O33:O38" si="7">SUM(C33:N33)/12</f>
        <v>56.75</v>
      </c>
      <c r="P33" s="173">
        <f t="shared" si="5"/>
        <v>19.194444444444443</v>
      </c>
      <c r="Q33" s="177">
        <f t="shared" si="6"/>
        <v>0.51109467455621294</v>
      </c>
    </row>
    <row r="34" spans="1:17" x14ac:dyDescent="0.2">
      <c r="B34" t="s">
        <v>452</v>
      </c>
      <c r="C34">
        <v>68</v>
      </c>
      <c r="D34">
        <v>65</v>
      </c>
      <c r="E34">
        <v>62</v>
      </c>
      <c r="F34">
        <v>61</v>
      </c>
      <c r="G34">
        <v>65</v>
      </c>
      <c r="H34">
        <v>66</v>
      </c>
      <c r="I34">
        <v>68</v>
      </c>
      <c r="J34">
        <v>66</v>
      </c>
      <c r="K34">
        <v>70</v>
      </c>
      <c r="L34">
        <v>68</v>
      </c>
      <c r="M34">
        <v>65</v>
      </c>
      <c r="N34">
        <v>68</v>
      </c>
      <c r="O34" s="173">
        <f t="shared" si="7"/>
        <v>66</v>
      </c>
      <c r="P34" s="173">
        <f t="shared" si="5"/>
        <v>9.25</v>
      </c>
      <c r="Q34" s="177">
        <f t="shared" si="6"/>
        <v>0.16299559471365638</v>
      </c>
    </row>
    <row r="35" spans="1:17" x14ac:dyDescent="0.2">
      <c r="B35" t="s">
        <v>487</v>
      </c>
      <c r="C35">
        <v>70</v>
      </c>
      <c r="D35">
        <v>71</v>
      </c>
      <c r="E35">
        <v>74</v>
      </c>
      <c r="F35">
        <v>74</v>
      </c>
      <c r="G35">
        <v>74</v>
      </c>
      <c r="H35">
        <v>79</v>
      </c>
      <c r="I35">
        <v>77</v>
      </c>
      <c r="J35">
        <v>80</v>
      </c>
      <c r="K35">
        <v>70</v>
      </c>
      <c r="L35">
        <v>66</v>
      </c>
      <c r="M35">
        <v>65</v>
      </c>
      <c r="N35">
        <v>57</v>
      </c>
      <c r="O35" s="173">
        <f t="shared" si="7"/>
        <v>71.416666666666671</v>
      </c>
      <c r="P35" s="173">
        <f t="shared" si="5"/>
        <v>5.4166666666666714</v>
      </c>
      <c r="Q35" s="177">
        <f t="shared" si="6"/>
        <v>8.2070707070707141E-2</v>
      </c>
    </row>
    <row r="36" spans="1:17" x14ac:dyDescent="0.2">
      <c r="B36" t="s">
        <v>561</v>
      </c>
      <c r="C36">
        <v>55</v>
      </c>
      <c r="D36">
        <v>70</v>
      </c>
      <c r="E36">
        <v>75</v>
      </c>
      <c r="F36">
        <v>77</v>
      </c>
      <c r="G36">
        <v>78</v>
      </c>
      <c r="H36">
        <v>51</v>
      </c>
      <c r="I36">
        <v>46</v>
      </c>
      <c r="J36">
        <v>50</v>
      </c>
      <c r="K36">
        <v>52</v>
      </c>
      <c r="L36">
        <v>52</v>
      </c>
      <c r="M36">
        <v>53</v>
      </c>
      <c r="N36">
        <v>59</v>
      </c>
      <c r="O36" s="173">
        <f t="shared" si="7"/>
        <v>59.833333333333336</v>
      </c>
      <c r="P36" s="173">
        <f t="shared" si="5"/>
        <v>-11.583333333333336</v>
      </c>
      <c r="Q36" s="177">
        <f t="shared" si="6"/>
        <v>-0.16219369894982499</v>
      </c>
    </row>
    <row r="37" spans="1:17" x14ac:dyDescent="0.2">
      <c r="B37" t="s">
        <v>660</v>
      </c>
      <c r="C37">
        <v>56</v>
      </c>
      <c r="D37">
        <v>56</v>
      </c>
      <c r="E37">
        <v>56</v>
      </c>
      <c r="F37">
        <v>60</v>
      </c>
      <c r="G37">
        <v>51</v>
      </c>
      <c r="H37">
        <v>50</v>
      </c>
      <c r="I37">
        <v>54</v>
      </c>
      <c r="J37">
        <v>54</v>
      </c>
      <c r="K37">
        <v>7</v>
      </c>
      <c r="L37">
        <v>7</v>
      </c>
      <c r="M37">
        <v>8</v>
      </c>
      <c r="N37">
        <v>8</v>
      </c>
      <c r="O37" s="173">
        <f t="shared" si="7"/>
        <v>38.916666666666664</v>
      </c>
      <c r="P37" s="173">
        <f>SUM(O37-O36)</f>
        <v>-20.916666666666671</v>
      </c>
      <c r="Q37" s="177">
        <f>SUM(P37/O36)</f>
        <v>-0.34958217270194991</v>
      </c>
    </row>
    <row r="38" spans="1:17" x14ac:dyDescent="0.2">
      <c r="B38" t="s">
        <v>661</v>
      </c>
      <c r="C38">
        <v>8</v>
      </c>
      <c r="D38">
        <v>7</v>
      </c>
      <c r="E38">
        <v>7</v>
      </c>
      <c r="F38">
        <v>6</v>
      </c>
      <c r="G38">
        <v>4</v>
      </c>
      <c r="H38">
        <v>4</v>
      </c>
      <c r="I38">
        <v>5</v>
      </c>
      <c r="J38">
        <v>5</v>
      </c>
      <c r="K38">
        <v>5</v>
      </c>
      <c r="L38">
        <v>5</v>
      </c>
      <c r="M38">
        <v>32</v>
      </c>
      <c r="N38">
        <v>29</v>
      </c>
      <c r="O38" s="173">
        <f t="shared" si="7"/>
        <v>9.75</v>
      </c>
      <c r="P38" s="173">
        <f>SUM(O38-O37)</f>
        <v>-29.166666666666664</v>
      </c>
      <c r="Q38" s="177">
        <f>SUM(P38/O37)</f>
        <v>-0.74946466809421841</v>
      </c>
    </row>
    <row r="39" spans="1:17" x14ac:dyDescent="0.2">
      <c r="O39" s="173"/>
      <c r="P39" s="173"/>
      <c r="Q39" s="177"/>
    </row>
    <row r="40" spans="1:17" ht="25.5" x14ac:dyDescent="0.2">
      <c r="A40" s="175" t="s">
        <v>454</v>
      </c>
      <c r="B40" s="176" t="s">
        <v>433</v>
      </c>
      <c r="C40" s="179" t="s">
        <v>434</v>
      </c>
      <c r="D40" s="179" t="s">
        <v>435</v>
      </c>
      <c r="E40" s="179" t="s">
        <v>436</v>
      </c>
      <c r="F40" s="179" t="s">
        <v>437</v>
      </c>
      <c r="G40" s="179" t="s">
        <v>438</v>
      </c>
      <c r="H40" s="179" t="s">
        <v>439</v>
      </c>
      <c r="I40" s="179" t="s">
        <v>440</v>
      </c>
      <c r="J40" s="179" t="s">
        <v>441</v>
      </c>
      <c r="K40" s="179" t="s">
        <v>442</v>
      </c>
      <c r="L40" s="179" t="s">
        <v>443</v>
      </c>
      <c r="M40" s="179" t="s">
        <v>444</v>
      </c>
      <c r="N40" s="179" t="s">
        <v>445</v>
      </c>
    </row>
    <row r="41" spans="1:17" x14ac:dyDescent="0.2">
      <c r="B41" t="s">
        <v>449</v>
      </c>
      <c r="C41">
        <v>305</v>
      </c>
      <c r="D41">
        <v>299</v>
      </c>
      <c r="E41">
        <v>289</v>
      </c>
      <c r="F41">
        <v>276</v>
      </c>
      <c r="G41">
        <v>277</v>
      </c>
      <c r="H41">
        <v>295</v>
      </c>
      <c r="I41">
        <v>283</v>
      </c>
      <c r="J41">
        <v>273</v>
      </c>
      <c r="K41">
        <v>259</v>
      </c>
      <c r="L41">
        <v>249</v>
      </c>
      <c r="M41">
        <v>241</v>
      </c>
      <c r="N41">
        <v>237</v>
      </c>
      <c r="O41" s="173">
        <f t="shared" ref="O41:O57" si="8">SUM(C41:N41)/12</f>
        <v>273.58333333333331</v>
      </c>
      <c r="P41" s="173"/>
    </row>
    <row r="42" spans="1:17" x14ac:dyDescent="0.2">
      <c r="B42" t="s">
        <v>450</v>
      </c>
      <c r="C42">
        <v>237</v>
      </c>
      <c r="D42">
        <v>230</v>
      </c>
      <c r="E42">
        <v>230</v>
      </c>
      <c r="F42">
        <v>230</v>
      </c>
      <c r="G42">
        <v>231</v>
      </c>
      <c r="H42">
        <v>215</v>
      </c>
      <c r="I42">
        <v>218</v>
      </c>
      <c r="J42">
        <v>212</v>
      </c>
      <c r="K42">
        <v>214</v>
      </c>
      <c r="L42">
        <v>217</v>
      </c>
      <c r="M42">
        <v>220</v>
      </c>
      <c r="N42">
        <v>218</v>
      </c>
      <c r="O42" s="173">
        <f t="shared" si="8"/>
        <v>222.66666666666666</v>
      </c>
      <c r="P42" s="173">
        <f t="shared" ref="P42:P55" si="9">SUM(O42-O41)</f>
        <v>-50.916666666666657</v>
      </c>
      <c r="Q42" s="177">
        <f t="shared" ref="Q42:Q55" si="10">SUM(P42/O41)</f>
        <v>-0.18611026500152297</v>
      </c>
    </row>
    <row r="43" spans="1:17" x14ac:dyDescent="0.2">
      <c r="B43" t="s">
        <v>451</v>
      </c>
      <c r="C43">
        <v>231</v>
      </c>
      <c r="D43">
        <v>230</v>
      </c>
      <c r="E43">
        <v>234</v>
      </c>
      <c r="F43">
        <v>229</v>
      </c>
      <c r="G43">
        <v>230</v>
      </c>
      <c r="H43">
        <v>240</v>
      </c>
      <c r="I43">
        <v>245</v>
      </c>
      <c r="J43">
        <v>250</v>
      </c>
      <c r="K43">
        <v>255</v>
      </c>
      <c r="L43">
        <v>260</v>
      </c>
      <c r="M43">
        <v>265</v>
      </c>
      <c r="N43">
        <v>270</v>
      </c>
      <c r="O43" s="173">
        <f t="shared" si="8"/>
        <v>244.91666666666666</v>
      </c>
      <c r="P43" s="173">
        <f t="shared" si="9"/>
        <v>22.25</v>
      </c>
      <c r="Q43" s="177">
        <f t="shared" si="10"/>
        <v>9.9925149700598806E-2</v>
      </c>
    </row>
    <row r="44" spans="1:17" x14ac:dyDescent="0.2">
      <c r="B44" t="s">
        <v>267</v>
      </c>
      <c r="C44">
        <v>280</v>
      </c>
      <c r="D44">
        <v>237</v>
      </c>
      <c r="E44">
        <v>253</v>
      </c>
      <c r="F44">
        <v>253</v>
      </c>
      <c r="G44">
        <v>253</v>
      </c>
      <c r="H44">
        <v>253</v>
      </c>
      <c r="I44">
        <v>253</v>
      </c>
      <c r="J44">
        <v>253</v>
      </c>
      <c r="K44">
        <v>253</v>
      </c>
      <c r="L44">
        <v>260</v>
      </c>
      <c r="M44">
        <v>265</v>
      </c>
      <c r="N44">
        <v>270</v>
      </c>
      <c r="O44" s="173">
        <f t="shared" si="8"/>
        <v>256.91666666666669</v>
      </c>
      <c r="P44" s="173">
        <f t="shared" si="9"/>
        <v>12.000000000000028</v>
      </c>
      <c r="Q44" s="177">
        <f t="shared" si="10"/>
        <v>4.899625723035058E-2</v>
      </c>
    </row>
    <row r="45" spans="1:17" x14ac:dyDescent="0.2">
      <c r="B45" t="s">
        <v>266</v>
      </c>
      <c r="C45">
        <v>288</v>
      </c>
      <c r="D45">
        <v>261</v>
      </c>
      <c r="E45">
        <v>258</v>
      </c>
      <c r="F45">
        <v>267</v>
      </c>
      <c r="G45">
        <v>259</v>
      </c>
      <c r="H45">
        <v>267</v>
      </c>
      <c r="I45">
        <v>272</v>
      </c>
      <c r="J45">
        <v>273</v>
      </c>
      <c r="K45">
        <v>300</v>
      </c>
      <c r="L45">
        <v>296</v>
      </c>
      <c r="M45">
        <v>319</v>
      </c>
      <c r="N45">
        <v>317</v>
      </c>
      <c r="O45" s="173">
        <f t="shared" si="8"/>
        <v>281.41666666666669</v>
      </c>
      <c r="P45" s="173">
        <f t="shared" si="9"/>
        <v>24.5</v>
      </c>
      <c r="Q45" s="177">
        <f t="shared" si="10"/>
        <v>9.5361660720077845E-2</v>
      </c>
    </row>
    <row r="46" spans="1:17" x14ac:dyDescent="0.2">
      <c r="B46" t="s">
        <v>287</v>
      </c>
      <c r="C46">
        <v>297</v>
      </c>
      <c r="D46">
        <v>306</v>
      </c>
      <c r="E46">
        <v>312</v>
      </c>
      <c r="F46">
        <v>311</v>
      </c>
      <c r="G46">
        <v>312</v>
      </c>
      <c r="H46">
        <v>252</v>
      </c>
      <c r="I46">
        <v>312</v>
      </c>
      <c r="J46">
        <v>314</v>
      </c>
      <c r="K46">
        <v>316</v>
      </c>
      <c r="L46">
        <v>235</v>
      </c>
      <c r="M46">
        <v>248</v>
      </c>
      <c r="N46">
        <v>323</v>
      </c>
      <c r="O46" s="173">
        <f t="shared" si="8"/>
        <v>294.83333333333331</v>
      </c>
      <c r="P46" s="173">
        <f t="shared" si="9"/>
        <v>13.416666666666629</v>
      </c>
      <c r="Q46" s="177">
        <f t="shared" si="10"/>
        <v>4.7675451584246235E-2</v>
      </c>
    </row>
    <row r="47" spans="1:17" x14ac:dyDescent="0.2">
      <c r="B47" t="s">
        <v>297</v>
      </c>
      <c r="C47">
        <v>322</v>
      </c>
      <c r="D47">
        <v>318</v>
      </c>
      <c r="E47">
        <v>302</v>
      </c>
      <c r="F47">
        <v>299</v>
      </c>
      <c r="G47">
        <v>301</v>
      </c>
      <c r="H47">
        <v>296</v>
      </c>
      <c r="I47">
        <v>286</v>
      </c>
      <c r="J47">
        <v>290</v>
      </c>
      <c r="K47">
        <v>283</v>
      </c>
      <c r="L47">
        <v>284</v>
      </c>
      <c r="M47">
        <v>289</v>
      </c>
      <c r="N47">
        <v>279</v>
      </c>
      <c r="O47" s="173">
        <f t="shared" si="8"/>
        <v>295.75</v>
      </c>
      <c r="P47" s="173">
        <f t="shared" si="9"/>
        <v>0.91666666666668561</v>
      </c>
      <c r="Q47" s="177">
        <f t="shared" si="10"/>
        <v>3.109101187111427E-3</v>
      </c>
    </row>
    <row r="48" spans="1:17" x14ac:dyDescent="0.2">
      <c r="B48" t="s">
        <v>300</v>
      </c>
      <c r="C48">
        <v>278</v>
      </c>
      <c r="D48">
        <v>270</v>
      </c>
      <c r="E48">
        <v>262</v>
      </c>
      <c r="F48">
        <v>253</v>
      </c>
      <c r="G48">
        <v>261</v>
      </c>
      <c r="H48">
        <v>259</v>
      </c>
      <c r="I48">
        <v>254</v>
      </c>
      <c r="J48">
        <v>255</v>
      </c>
      <c r="K48">
        <v>249</v>
      </c>
      <c r="L48">
        <v>267</v>
      </c>
      <c r="M48">
        <v>263</v>
      </c>
      <c r="N48">
        <v>250</v>
      </c>
      <c r="O48" s="173">
        <f t="shared" si="8"/>
        <v>260.08333333333331</v>
      </c>
      <c r="P48" s="173">
        <f t="shared" si="9"/>
        <v>-35.666666666666686</v>
      </c>
      <c r="Q48" s="177">
        <f t="shared" si="10"/>
        <v>-0.1205973513665822</v>
      </c>
    </row>
    <row r="49" spans="1:18" x14ac:dyDescent="0.2">
      <c r="B49" t="s">
        <v>301</v>
      </c>
      <c r="C49">
        <v>247</v>
      </c>
      <c r="D49">
        <v>250</v>
      </c>
      <c r="E49">
        <v>240</v>
      </c>
      <c r="F49">
        <v>238</v>
      </c>
      <c r="G49">
        <v>230</v>
      </c>
      <c r="H49">
        <v>228</v>
      </c>
      <c r="I49">
        <v>230</v>
      </c>
      <c r="J49">
        <v>228</v>
      </c>
      <c r="K49">
        <v>226</v>
      </c>
      <c r="L49">
        <v>224</v>
      </c>
      <c r="M49">
        <v>228</v>
      </c>
      <c r="N49">
        <v>233</v>
      </c>
      <c r="O49" s="173">
        <f t="shared" si="8"/>
        <v>233.5</v>
      </c>
      <c r="P49" s="173">
        <f t="shared" si="9"/>
        <v>-26.583333333333314</v>
      </c>
      <c r="Q49" s="177">
        <f t="shared" si="10"/>
        <v>-0.10221082986222359</v>
      </c>
    </row>
    <row r="50" spans="1:18" x14ac:dyDescent="0.2">
      <c r="B50" t="s">
        <v>302</v>
      </c>
      <c r="C50">
        <v>212</v>
      </c>
      <c r="D50">
        <v>216</v>
      </c>
      <c r="E50">
        <v>221</v>
      </c>
      <c r="F50">
        <v>228</v>
      </c>
      <c r="G50">
        <v>226</v>
      </c>
      <c r="H50">
        <v>230</v>
      </c>
      <c r="I50">
        <v>222</v>
      </c>
      <c r="J50">
        <v>225</v>
      </c>
      <c r="K50">
        <v>236</v>
      </c>
      <c r="L50">
        <v>242</v>
      </c>
      <c r="M50">
        <v>246</v>
      </c>
      <c r="N50">
        <v>252</v>
      </c>
      <c r="O50" s="173">
        <f t="shared" si="8"/>
        <v>229.66666666666666</v>
      </c>
      <c r="P50" s="173">
        <f t="shared" si="9"/>
        <v>-3.8333333333333428</v>
      </c>
      <c r="Q50" s="177">
        <f t="shared" si="10"/>
        <v>-1.6416845110635302E-2</v>
      </c>
    </row>
    <row r="51" spans="1:18" x14ac:dyDescent="0.2">
      <c r="B51" t="s">
        <v>347</v>
      </c>
      <c r="C51">
        <v>247</v>
      </c>
      <c r="D51">
        <v>248</v>
      </c>
      <c r="E51">
        <v>247</v>
      </c>
      <c r="F51">
        <v>247</v>
      </c>
      <c r="G51">
        <v>254</v>
      </c>
      <c r="H51">
        <v>258</v>
      </c>
      <c r="I51">
        <v>257</v>
      </c>
      <c r="J51">
        <v>255</v>
      </c>
      <c r="K51">
        <v>252</v>
      </c>
      <c r="L51">
        <v>251</v>
      </c>
      <c r="M51">
        <v>249</v>
      </c>
      <c r="N51">
        <v>259</v>
      </c>
      <c r="O51" s="173">
        <f t="shared" si="8"/>
        <v>252</v>
      </c>
      <c r="P51" s="173">
        <f t="shared" si="9"/>
        <v>22.333333333333343</v>
      </c>
      <c r="Q51" s="177">
        <f t="shared" si="10"/>
        <v>9.7242380261248235E-2</v>
      </c>
    </row>
    <row r="52" spans="1:18" x14ac:dyDescent="0.2">
      <c r="B52" t="s">
        <v>370</v>
      </c>
      <c r="C52">
        <v>264</v>
      </c>
      <c r="D52">
        <v>260</v>
      </c>
      <c r="E52">
        <v>262</v>
      </c>
      <c r="F52">
        <v>259</v>
      </c>
      <c r="G52">
        <v>247</v>
      </c>
      <c r="H52">
        <v>238</v>
      </c>
      <c r="I52">
        <v>224</v>
      </c>
      <c r="J52">
        <v>232</v>
      </c>
      <c r="K52">
        <v>239</v>
      </c>
      <c r="L52">
        <v>243</v>
      </c>
      <c r="M52">
        <v>246</v>
      </c>
      <c r="N52">
        <v>247</v>
      </c>
      <c r="O52" s="173">
        <f t="shared" si="8"/>
        <v>246.75</v>
      </c>
      <c r="P52" s="173">
        <f t="shared" si="9"/>
        <v>-5.25</v>
      </c>
      <c r="Q52" s="177">
        <f t="shared" si="10"/>
        <v>-2.0833333333333332E-2</v>
      </c>
      <c r="R52" t="s">
        <v>455</v>
      </c>
    </row>
    <row r="53" spans="1:18" x14ac:dyDescent="0.2">
      <c r="B53" t="s">
        <v>452</v>
      </c>
      <c r="C53">
        <v>257</v>
      </c>
      <c r="D53">
        <v>248</v>
      </c>
      <c r="E53">
        <v>250</v>
      </c>
      <c r="F53">
        <v>264</v>
      </c>
      <c r="G53">
        <v>265</v>
      </c>
      <c r="H53">
        <v>270</v>
      </c>
      <c r="I53">
        <v>279</v>
      </c>
      <c r="J53">
        <v>279</v>
      </c>
      <c r="K53">
        <v>266</v>
      </c>
      <c r="L53">
        <v>260</v>
      </c>
      <c r="M53">
        <v>260</v>
      </c>
      <c r="N53">
        <v>272</v>
      </c>
      <c r="O53" s="173">
        <f t="shared" si="8"/>
        <v>264.16666666666669</v>
      </c>
      <c r="P53" s="173">
        <f t="shared" si="9"/>
        <v>17.416666666666686</v>
      </c>
      <c r="Q53" s="177">
        <f t="shared" si="10"/>
        <v>7.0584262073623852E-2</v>
      </c>
    </row>
    <row r="54" spans="1:18" x14ac:dyDescent="0.2">
      <c r="B54" t="s">
        <v>487</v>
      </c>
      <c r="C54">
        <v>276</v>
      </c>
      <c r="D54">
        <v>277</v>
      </c>
      <c r="E54">
        <v>283</v>
      </c>
      <c r="F54">
        <v>298</v>
      </c>
      <c r="G54">
        <v>294</v>
      </c>
      <c r="H54">
        <v>295</v>
      </c>
      <c r="I54">
        <v>289</v>
      </c>
      <c r="J54">
        <v>284</v>
      </c>
      <c r="K54">
        <v>288</v>
      </c>
      <c r="L54">
        <v>290</v>
      </c>
      <c r="M54">
        <v>303</v>
      </c>
      <c r="N54">
        <v>300</v>
      </c>
      <c r="O54" s="173">
        <f t="shared" si="8"/>
        <v>289.75</v>
      </c>
      <c r="P54" s="173">
        <f t="shared" si="9"/>
        <v>25.583333333333314</v>
      </c>
      <c r="Q54" s="177">
        <f t="shared" si="10"/>
        <v>9.6845425867507814E-2</v>
      </c>
    </row>
    <row r="55" spans="1:18" x14ac:dyDescent="0.2">
      <c r="B55" t="s">
        <v>561</v>
      </c>
      <c r="C55">
        <v>305</v>
      </c>
      <c r="D55">
        <v>296</v>
      </c>
      <c r="E55">
        <v>293</v>
      </c>
      <c r="F55">
        <v>294</v>
      </c>
      <c r="G55">
        <v>286</v>
      </c>
      <c r="H55">
        <v>283</v>
      </c>
      <c r="I55">
        <v>274</v>
      </c>
      <c r="J55">
        <v>260</v>
      </c>
      <c r="K55">
        <v>259</v>
      </c>
      <c r="L55">
        <v>266</v>
      </c>
      <c r="M55">
        <v>259</v>
      </c>
      <c r="N55">
        <v>266</v>
      </c>
      <c r="O55" s="173">
        <f t="shared" si="8"/>
        <v>278.41666666666669</v>
      </c>
      <c r="P55" s="173">
        <f t="shared" si="9"/>
        <v>-11.333333333333314</v>
      </c>
      <c r="Q55" s="177">
        <f t="shared" si="10"/>
        <v>-3.9114178889847508E-2</v>
      </c>
    </row>
    <row r="56" spans="1:18" x14ac:dyDescent="0.2">
      <c r="B56" t="s">
        <v>660</v>
      </c>
      <c r="C56">
        <v>256</v>
      </c>
      <c r="D56">
        <v>252</v>
      </c>
      <c r="E56">
        <v>248</v>
      </c>
      <c r="F56">
        <v>249</v>
      </c>
      <c r="G56">
        <v>253</v>
      </c>
      <c r="H56">
        <v>244</v>
      </c>
      <c r="I56">
        <v>234</v>
      </c>
      <c r="J56">
        <v>221</v>
      </c>
      <c r="K56">
        <v>233</v>
      </c>
      <c r="L56">
        <v>230</v>
      </c>
      <c r="M56">
        <v>238</v>
      </c>
      <c r="N56">
        <v>251</v>
      </c>
      <c r="O56" s="173">
        <f t="shared" si="8"/>
        <v>242.41666666666666</v>
      </c>
      <c r="P56" s="173">
        <f>SUM(O56-O55)</f>
        <v>-36.000000000000028</v>
      </c>
      <c r="Q56" s="177">
        <f>SUM(P56/O55)</f>
        <v>-0.12930260401077531</v>
      </c>
    </row>
    <row r="57" spans="1:18" x14ac:dyDescent="0.2">
      <c r="B57" t="s">
        <v>661</v>
      </c>
      <c r="C57">
        <v>254</v>
      </c>
      <c r="D57">
        <v>242</v>
      </c>
      <c r="E57">
        <v>239</v>
      </c>
      <c r="F57">
        <v>236</v>
      </c>
      <c r="G57">
        <v>231</v>
      </c>
      <c r="H57">
        <v>238</v>
      </c>
      <c r="I57">
        <v>229</v>
      </c>
      <c r="J57">
        <v>248</v>
      </c>
      <c r="K57">
        <v>244</v>
      </c>
      <c r="L57">
        <v>254</v>
      </c>
      <c r="M57">
        <v>257</v>
      </c>
      <c r="N57">
        <v>258</v>
      </c>
      <c r="O57" s="173">
        <f t="shared" si="8"/>
        <v>244.16666666666666</v>
      </c>
      <c r="P57" s="173">
        <f>SUM(O57-O56)</f>
        <v>1.75</v>
      </c>
      <c r="Q57" s="177">
        <f>SUM(P57/O56)</f>
        <v>7.2189755929872815E-3</v>
      </c>
    </row>
    <row r="58" spans="1:18" x14ac:dyDescent="0.2">
      <c r="O58" s="173"/>
      <c r="P58" s="173"/>
      <c r="Q58" s="177"/>
    </row>
    <row r="59" spans="1:18" x14ac:dyDescent="0.2">
      <c r="A59" s="178"/>
      <c r="B59" s="178"/>
      <c r="C59" s="178"/>
      <c r="D59" s="178"/>
      <c r="E59" s="178"/>
      <c r="F59" s="178"/>
      <c r="G59" s="178"/>
      <c r="H59" s="178"/>
      <c r="I59" s="178"/>
      <c r="J59" s="178"/>
      <c r="K59" s="178"/>
      <c r="L59" s="178"/>
      <c r="M59" s="178"/>
      <c r="N59" s="178"/>
      <c r="O59" s="178"/>
      <c r="P59" s="178"/>
      <c r="Q59" s="178"/>
    </row>
    <row r="60" spans="1:18" ht="25.5" x14ac:dyDescent="0.2">
      <c r="A60" s="175" t="s">
        <v>456</v>
      </c>
      <c r="B60" s="176" t="s">
        <v>433</v>
      </c>
      <c r="C60" s="179" t="s">
        <v>434</v>
      </c>
      <c r="D60" s="179" t="s">
        <v>435</v>
      </c>
      <c r="E60" s="179" t="s">
        <v>436</v>
      </c>
      <c r="F60" s="179" t="s">
        <v>437</v>
      </c>
      <c r="G60" s="179" t="s">
        <v>438</v>
      </c>
      <c r="H60" s="179" t="s">
        <v>439</v>
      </c>
      <c r="I60" s="179" t="s">
        <v>440</v>
      </c>
      <c r="J60" s="179" t="s">
        <v>441</v>
      </c>
      <c r="K60" s="179" t="s">
        <v>442</v>
      </c>
      <c r="L60" s="179" t="s">
        <v>443</v>
      </c>
      <c r="M60" s="179" t="s">
        <v>444</v>
      </c>
      <c r="N60" s="179" t="s">
        <v>445</v>
      </c>
    </row>
    <row r="61" spans="1:18" x14ac:dyDescent="0.2">
      <c r="B61" t="s">
        <v>449</v>
      </c>
      <c r="C61">
        <v>65</v>
      </c>
      <c r="D61">
        <v>62</v>
      </c>
      <c r="E61">
        <v>57</v>
      </c>
      <c r="F61">
        <v>56</v>
      </c>
      <c r="G61">
        <v>52</v>
      </c>
      <c r="H61">
        <v>51</v>
      </c>
      <c r="I61">
        <v>49</v>
      </c>
      <c r="J61">
        <v>55</v>
      </c>
      <c r="K61">
        <v>59</v>
      </c>
      <c r="L61">
        <v>55</v>
      </c>
      <c r="M61">
        <v>54</v>
      </c>
      <c r="N61">
        <v>66</v>
      </c>
      <c r="O61" s="173">
        <f t="shared" ref="O61:O77" si="11">SUM(C61:N61)/12</f>
        <v>56.75</v>
      </c>
      <c r="P61" s="173"/>
    </row>
    <row r="62" spans="1:18" x14ac:dyDescent="0.2">
      <c r="B62" t="s">
        <v>450</v>
      </c>
      <c r="C62">
        <v>67</v>
      </c>
      <c r="D62">
        <v>72</v>
      </c>
      <c r="E62">
        <v>72</v>
      </c>
      <c r="F62">
        <v>73</v>
      </c>
      <c r="G62">
        <v>71</v>
      </c>
      <c r="H62">
        <v>74</v>
      </c>
      <c r="I62">
        <v>74</v>
      </c>
      <c r="J62">
        <v>74</v>
      </c>
      <c r="K62">
        <v>70</v>
      </c>
      <c r="L62">
        <v>66</v>
      </c>
      <c r="M62">
        <v>62</v>
      </c>
      <c r="N62">
        <v>63</v>
      </c>
      <c r="O62" s="173">
        <f t="shared" si="11"/>
        <v>69.833333333333329</v>
      </c>
      <c r="P62" s="173">
        <f t="shared" ref="P62:P75" si="12">SUM(O62-O61)</f>
        <v>13.083333333333329</v>
      </c>
      <c r="Q62" s="177">
        <f t="shared" ref="Q62:Q75" si="13">SUM(P62/O61)</f>
        <v>0.23054331864904543</v>
      </c>
    </row>
    <row r="63" spans="1:18" x14ac:dyDescent="0.2">
      <c r="B63" t="s">
        <v>451</v>
      </c>
      <c r="C63">
        <v>68</v>
      </c>
      <c r="D63">
        <v>75</v>
      </c>
      <c r="E63">
        <v>74</v>
      </c>
      <c r="F63">
        <v>79</v>
      </c>
      <c r="G63">
        <v>75</v>
      </c>
      <c r="H63">
        <v>74</v>
      </c>
      <c r="I63">
        <v>64</v>
      </c>
      <c r="J63">
        <v>75</v>
      </c>
      <c r="K63">
        <v>76</v>
      </c>
      <c r="L63">
        <v>78</v>
      </c>
      <c r="M63">
        <v>79</v>
      </c>
      <c r="N63">
        <v>81</v>
      </c>
      <c r="O63" s="173">
        <f t="shared" si="11"/>
        <v>74.833333333333329</v>
      </c>
      <c r="P63" s="173">
        <f t="shared" si="12"/>
        <v>5</v>
      </c>
      <c r="Q63" s="177">
        <f t="shared" si="13"/>
        <v>7.1599045346062054E-2</v>
      </c>
    </row>
    <row r="64" spans="1:18" x14ac:dyDescent="0.2">
      <c r="B64" t="s">
        <v>267</v>
      </c>
      <c r="C64">
        <v>76</v>
      </c>
      <c r="D64">
        <v>79</v>
      </c>
      <c r="E64">
        <v>76</v>
      </c>
      <c r="F64">
        <v>74</v>
      </c>
      <c r="G64">
        <v>72</v>
      </c>
      <c r="H64">
        <v>70</v>
      </c>
      <c r="I64">
        <v>68</v>
      </c>
      <c r="J64">
        <v>59</v>
      </c>
      <c r="K64">
        <v>67</v>
      </c>
      <c r="L64">
        <v>66</v>
      </c>
      <c r="M64">
        <v>67</v>
      </c>
      <c r="N64">
        <v>64</v>
      </c>
      <c r="O64" s="173">
        <f t="shared" si="11"/>
        <v>69.833333333333329</v>
      </c>
      <c r="P64" s="173">
        <f t="shared" si="12"/>
        <v>-5</v>
      </c>
      <c r="Q64" s="177">
        <f t="shared" si="13"/>
        <v>-6.6815144766147E-2</v>
      </c>
    </row>
    <row r="65" spans="1:17" x14ac:dyDescent="0.2">
      <c r="B65" t="s">
        <v>266</v>
      </c>
      <c r="C65">
        <v>67</v>
      </c>
      <c r="D65">
        <v>57</v>
      </c>
      <c r="E65">
        <v>57</v>
      </c>
      <c r="F65">
        <v>58</v>
      </c>
      <c r="G65">
        <v>57</v>
      </c>
      <c r="H65">
        <v>60</v>
      </c>
      <c r="I65">
        <v>55</v>
      </c>
      <c r="J65">
        <v>55</v>
      </c>
      <c r="K65">
        <v>64</v>
      </c>
      <c r="L65">
        <v>61</v>
      </c>
      <c r="M65">
        <v>68</v>
      </c>
      <c r="N65">
        <v>67</v>
      </c>
      <c r="O65" s="173">
        <f t="shared" si="11"/>
        <v>60.5</v>
      </c>
      <c r="P65" s="173">
        <f t="shared" si="12"/>
        <v>-9.3333333333333286</v>
      </c>
      <c r="Q65" s="177">
        <f t="shared" si="13"/>
        <v>-0.13365155131264911</v>
      </c>
    </row>
    <row r="66" spans="1:17" x14ac:dyDescent="0.2">
      <c r="B66" t="s">
        <v>287</v>
      </c>
      <c r="C66">
        <v>71</v>
      </c>
      <c r="D66">
        <v>62</v>
      </c>
      <c r="E66">
        <v>61</v>
      </c>
      <c r="F66">
        <v>59</v>
      </c>
      <c r="G66">
        <v>54</v>
      </c>
      <c r="H66">
        <v>56</v>
      </c>
      <c r="I66">
        <v>56</v>
      </c>
      <c r="J66">
        <v>58</v>
      </c>
      <c r="K66">
        <v>60</v>
      </c>
      <c r="L66">
        <v>65</v>
      </c>
      <c r="M66">
        <v>72</v>
      </c>
      <c r="N66">
        <v>75</v>
      </c>
      <c r="O66" s="173">
        <f t="shared" si="11"/>
        <v>62.416666666666664</v>
      </c>
      <c r="P66" s="173">
        <f t="shared" si="12"/>
        <v>1.9166666666666643</v>
      </c>
      <c r="Q66" s="177">
        <f t="shared" si="13"/>
        <v>3.1680440771349822E-2</v>
      </c>
    </row>
    <row r="67" spans="1:17" x14ac:dyDescent="0.2">
      <c r="B67" t="s">
        <v>297</v>
      </c>
      <c r="C67">
        <v>76</v>
      </c>
      <c r="D67">
        <v>73</v>
      </c>
      <c r="E67">
        <v>67</v>
      </c>
      <c r="F67">
        <v>66</v>
      </c>
      <c r="G67">
        <v>66</v>
      </c>
      <c r="H67">
        <v>68</v>
      </c>
      <c r="I67">
        <v>69</v>
      </c>
      <c r="J67">
        <v>72</v>
      </c>
      <c r="K67">
        <v>69</v>
      </c>
      <c r="L67">
        <v>75</v>
      </c>
      <c r="M67">
        <v>73</v>
      </c>
      <c r="N67">
        <v>74</v>
      </c>
      <c r="O67" s="173">
        <f t="shared" si="11"/>
        <v>70.666666666666671</v>
      </c>
      <c r="P67" s="173">
        <f t="shared" si="12"/>
        <v>8.2500000000000071</v>
      </c>
      <c r="Q67" s="177">
        <f t="shared" si="13"/>
        <v>0.13217623497997341</v>
      </c>
    </row>
    <row r="68" spans="1:17" x14ac:dyDescent="0.2">
      <c r="B68" t="s">
        <v>300</v>
      </c>
      <c r="C68">
        <v>72</v>
      </c>
      <c r="D68">
        <v>72</v>
      </c>
      <c r="E68">
        <v>71</v>
      </c>
      <c r="F68">
        <v>73</v>
      </c>
      <c r="G68">
        <v>77</v>
      </c>
      <c r="H68">
        <v>76</v>
      </c>
      <c r="I68">
        <v>76</v>
      </c>
      <c r="J68">
        <v>78</v>
      </c>
      <c r="K68">
        <v>74</v>
      </c>
      <c r="L68">
        <v>88</v>
      </c>
      <c r="M68">
        <v>92</v>
      </c>
      <c r="N68">
        <v>76</v>
      </c>
      <c r="O68" s="173">
        <f t="shared" si="11"/>
        <v>77.083333333333329</v>
      </c>
      <c r="P68" s="173">
        <f t="shared" si="12"/>
        <v>6.4166666666666572</v>
      </c>
      <c r="Q68" s="177">
        <f t="shared" si="13"/>
        <v>9.0801886792452685E-2</v>
      </c>
    </row>
    <row r="69" spans="1:17" x14ac:dyDescent="0.2">
      <c r="B69" t="s">
        <v>301</v>
      </c>
      <c r="C69">
        <v>76</v>
      </c>
      <c r="D69">
        <v>79</v>
      </c>
      <c r="E69">
        <v>94</v>
      </c>
      <c r="F69">
        <v>75</v>
      </c>
      <c r="G69">
        <v>79</v>
      </c>
      <c r="H69">
        <v>77</v>
      </c>
      <c r="I69">
        <v>83</v>
      </c>
      <c r="J69">
        <v>83</v>
      </c>
      <c r="K69">
        <v>86</v>
      </c>
      <c r="L69">
        <v>85</v>
      </c>
      <c r="M69">
        <v>82</v>
      </c>
      <c r="N69">
        <v>89</v>
      </c>
      <c r="O69" s="173">
        <f t="shared" si="11"/>
        <v>82.333333333333329</v>
      </c>
      <c r="P69" s="173">
        <f t="shared" si="12"/>
        <v>5.25</v>
      </c>
      <c r="Q69" s="177">
        <f t="shared" si="13"/>
        <v>6.8108108108108106E-2</v>
      </c>
    </row>
    <row r="70" spans="1:17" x14ac:dyDescent="0.2">
      <c r="B70" t="s">
        <v>302</v>
      </c>
      <c r="C70">
        <v>92</v>
      </c>
      <c r="D70">
        <v>91</v>
      </c>
      <c r="E70">
        <v>95</v>
      </c>
      <c r="F70">
        <v>93</v>
      </c>
      <c r="G70">
        <v>96</v>
      </c>
      <c r="H70">
        <v>94</v>
      </c>
      <c r="I70">
        <v>91</v>
      </c>
      <c r="J70">
        <v>90</v>
      </c>
      <c r="K70">
        <v>91</v>
      </c>
      <c r="L70">
        <v>95</v>
      </c>
      <c r="M70">
        <v>96</v>
      </c>
      <c r="N70">
        <v>73</v>
      </c>
      <c r="O70" s="173">
        <f t="shared" si="11"/>
        <v>91.416666666666671</v>
      </c>
      <c r="P70" s="173">
        <f t="shared" si="12"/>
        <v>9.0833333333333428</v>
      </c>
      <c r="Q70" s="177">
        <f t="shared" si="13"/>
        <v>0.11032388663967624</v>
      </c>
    </row>
    <row r="71" spans="1:17" x14ac:dyDescent="0.2">
      <c r="B71" t="s">
        <v>347</v>
      </c>
      <c r="C71">
        <v>72</v>
      </c>
      <c r="D71">
        <v>72</v>
      </c>
      <c r="E71">
        <v>65</v>
      </c>
      <c r="F71">
        <v>62</v>
      </c>
      <c r="G71">
        <v>61</v>
      </c>
      <c r="H71">
        <v>65</v>
      </c>
      <c r="I71">
        <v>68</v>
      </c>
      <c r="J71">
        <v>70</v>
      </c>
      <c r="K71">
        <v>68</v>
      </c>
      <c r="L71">
        <v>70</v>
      </c>
      <c r="M71">
        <v>71</v>
      </c>
      <c r="N71">
        <v>73</v>
      </c>
      <c r="O71" s="173">
        <f t="shared" si="11"/>
        <v>68.083333333333329</v>
      </c>
      <c r="P71" s="173">
        <f t="shared" si="12"/>
        <v>-23.333333333333343</v>
      </c>
      <c r="Q71" s="177">
        <f t="shared" si="13"/>
        <v>-0.2552415679124887</v>
      </c>
    </row>
    <row r="72" spans="1:17" x14ac:dyDescent="0.2">
      <c r="B72" t="s">
        <v>370</v>
      </c>
      <c r="C72">
        <v>72</v>
      </c>
      <c r="D72">
        <v>70</v>
      </c>
      <c r="E72">
        <v>73</v>
      </c>
      <c r="F72">
        <v>77</v>
      </c>
      <c r="G72">
        <v>74</v>
      </c>
      <c r="H72">
        <v>74</v>
      </c>
      <c r="I72">
        <v>76</v>
      </c>
      <c r="J72">
        <v>75</v>
      </c>
      <c r="K72">
        <v>77</v>
      </c>
      <c r="L72">
        <v>82</v>
      </c>
      <c r="M72">
        <v>85</v>
      </c>
      <c r="N72">
        <v>88</v>
      </c>
      <c r="O72" s="173">
        <f t="shared" si="11"/>
        <v>76.916666666666671</v>
      </c>
      <c r="P72" s="173">
        <f t="shared" si="12"/>
        <v>8.8333333333333428</v>
      </c>
      <c r="Q72" s="177">
        <f t="shared" si="13"/>
        <v>0.1297429620563037</v>
      </c>
    </row>
    <row r="73" spans="1:17" x14ac:dyDescent="0.2">
      <c r="B73" t="s">
        <v>452</v>
      </c>
      <c r="C73">
        <v>88</v>
      </c>
      <c r="D73">
        <v>84</v>
      </c>
      <c r="E73">
        <v>81</v>
      </c>
      <c r="F73">
        <v>81</v>
      </c>
      <c r="G73">
        <v>79</v>
      </c>
      <c r="H73">
        <v>79</v>
      </c>
      <c r="I73">
        <v>77</v>
      </c>
      <c r="J73">
        <v>82</v>
      </c>
      <c r="K73">
        <v>80</v>
      </c>
      <c r="L73">
        <v>73</v>
      </c>
      <c r="M73">
        <v>76</v>
      </c>
      <c r="N73">
        <v>76</v>
      </c>
      <c r="O73" s="173">
        <f t="shared" si="11"/>
        <v>79.666666666666671</v>
      </c>
      <c r="P73" s="173">
        <f t="shared" si="12"/>
        <v>2.75</v>
      </c>
      <c r="Q73" s="177">
        <f t="shared" si="13"/>
        <v>3.5752979414951244E-2</v>
      </c>
    </row>
    <row r="74" spans="1:17" x14ac:dyDescent="0.2">
      <c r="B74" t="s">
        <v>487</v>
      </c>
      <c r="C74">
        <v>75</v>
      </c>
      <c r="D74">
        <v>77</v>
      </c>
      <c r="E74">
        <v>75</v>
      </c>
      <c r="F74">
        <v>75</v>
      </c>
      <c r="G74">
        <v>79</v>
      </c>
      <c r="H74">
        <v>74</v>
      </c>
      <c r="I74">
        <v>75</v>
      </c>
      <c r="J74">
        <v>77</v>
      </c>
      <c r="K74">
        <v>74</v>
      </c>
      <c r="L74">
        <v>70</v>
      </c>
      <c r="M74">
        <v>70</v>
      </c>
      <c r="N74">
        <v>72</v>
      </c>
      <c r="O74" s="173">
        <f t="shared" si="11"/>
        <v>74.416666666666671</v>
      </c>
      <c r="P74" s="173">
        <f t="shared" si="12"/>
        <v>-5.25</v>
      </c>
      <c r="Q74" s="177">
        <f t="shared" si="13"/>
        <v>-6.5899581589958151E-2</v>
      </c>
    </row>
    <row r="75" spans="1:17" x14ac:dyDescent="0.2">
      <c r="B75" t="s">
        <v>561</v>
      </c>
      <c r="C75">
        <v>74</v>
      </c>
      <c r="D75">
        <v>71</v>
      </c>
      <c r="E75">
        <v>73</v>
      </c>
      <c r="F75">
        <v>76</v>
      </c>
      <c r="G75">
        <v>72</v>
      </c>
      <c r="H75">
        <v>70</v>
      </c>
      <c r="I75">
        <v>73</v>
      </c>
      <c r="J75">
        <v>73</v>
      </c>
      <c r="K75">
        <v>72</v>
      </c>
      <c r="L75">
        <v>73</v>
      </c>
      <c r="M75">
        <v>76</v>
      </c>
      <c r="N75">
        <v>77</v>
      </c>
      <c r="O75" s="173">
        <f t="shared" si="11"/>
        <v>73.333333333333329</v>
      </c>
      <c r="P75" s="173">
        <f t="shared" si="12"/>
        <v>-1.0833333333333428</v>
      </c>
      <c r="Q75" s="177">
        <f t="shared" si="13"/>
        <v>-1.4557670772676497E-2</v>
      </c>
    </row>
    <row r="76" spans="1:17" x14ac:dyDescent="0.2">
      <c r="B76" t="s">
        <v>660</v>
      </c>
      <c r="C76">
        <v>71</v>
      </c>
      <c r="D76">
        <v>70</v>
      </c>
      <c r="E76">
        <v>68</v>
      </c>
      <c r="F76">
        <v>71</v>
      </c>
      <c r="G76">
        <v>69</v>
      </c>
      <c r="H76">
        <v>69</v>
      </c>
      <c r="I76">
        <v>67</v>
      </c>
      <c r="J76">
        <v>70</v>
      </c>
      <c r="K76">
        <v>69</v>
      </c>
      <c r="L76">
        <v>69</v>
      </c>
      <c r="M76">
        <v>69</v>
      </c>
      <c r="N76">
        <v>65</v>
      </c>
      <c r="O76" s="173">
        <f t="shared" si="11"/>
        <v>68.916666666666671</v>
      </c>
      <c r="P76" s="173">
        <f>SUM(O76-O75)</f>
        <v>-4.4166666666666572</v>
      </c>
      <c r="Q76" s="177">
        <f>SUM(P76/O75)</f>
        <v>-6.0227272727272602E-2</v>
      </c>
    </row>
    <row r="77" spans="1:17" x14ac:dyDescent="0.2">
      <c r="B77" t="s">
        <v>661</v>
      </c>
      <c r="C77">
        <v>69</v>
      </c>
      <c r="D77">
        <v>66</v>
      </c>
      <c r="E77">
        <v>63</v>
      </c>
      <c r="F77">
        <v>62</v>
      </c>
      <c r="G77">
        <v>65</v>
      </c>
      <c r="H77">
        <v>62</v>
      </c>
      <c r="I77">
        <v>64</v>
      </c>
      <c r="J77">
        <v>63</v>
      </c>
      <c r="K77">
        <v>57</v>
      </c>
      <c r="L77">
        <v>57</v>
      </c>
      <c r="M77">
        <v>57</v>
      </c>
      <c r="N77">
        <v>58</v>
      </c>
      <c r="O77" s="173">
        <f t="shared" si="11"/>
        <v>61.916666666666664</v>
      </c>
      <c r="P77" s="173">
        <f>SUM(O77-O76)</f>
        <v>-7.0000000000000071</v>
      </c>
      <c r="Q77" s="177">
        <f>SUM(P77/O76)</f>
        <v>-0.10157194679564702</v>
      </c>
    </row>
    <row r="78" spans="1:17" x14ac:dyDescent="0.2">
      <c r="O78" s="173"/>
      <c r="P78" s="173"/>
      <c r="Q78" s="177"/>
    </row>
    <row r="79" spans="1:17" ht="25.5" x14ac:dyDescent="0.2">
      <c r="A79" s="175" t="s">
        <v>457</v>
      </c>
      <c r="B79" s="176" t="s">
        <v>433</v>
      </c>
      <c r="C79" s="179" t="s">
        <v>434</v>
      </c>
      <c r="D79" s="179" t="s">
        <v>435</v>
      </c>
      <c r="E79" s="179" t="s">
        <v>436</v>
      </c>
      <c r="F79" s="179" t="s">
        <v>437</v>
      </c>
      <c r="G79" s="179" t="s">
        <v>438</v>
      </c>
      <c r="H79" s="179" t="s">
        <v>439</v>
      </c>
      <c r="I79" s="179" t="s">
        <v>440</v>
      </c>
      <c r="J79" s="179" t="s">
        <v>441</v>
      </c>
      <c r="K79" s="179" t="s">
        <v>442</v>
      </c>
      <c r="L79" s="179" t="s">
        <v>443</v>
      </c>
      <c r="M79" s="179" t="s">
        <v>444</v>
      </c>
      <c r="N79" s="179" t="s">
        <v>445</v>
      </c>
    </row>
    <row r="80" spans="1:17" x14ac:dyDescent="0.2">
      <c r="B80" t="s">
        <v>449</v>
      </c>
      <c r="C80">
        <v>683</v>
      </c>
      <c r="D80">
        <v>675</v>
      </c>
      <c r="E80">
        <v>696</v>
      </c>
      <c r="F80">
        <v>659</v>
      </c>
      <c r="G80">
        <v>661</v>
      </c>
      <c r="H80">
        <v>650</v>
      </c>
      <c r="I80">
        <v>666</v>
      </c>
      <c r="J80">
        <v>688</v>
      </c>
      <c r="K80">
        <v>667</v>
      </c>
      <c r="L80">
        <v>670</v>
      </c>
      <c r="M80">
        <v>639</v>
      </c>
      <c r="N80">
        <v>653</v>
      </c>
      <c r="O80" s="173">
        <f t="shared" ref="O80:O96" si="14">SUM(C80:N80)/12</f>
        <v>667.25</v>
      </c>
      <c r="P80" s="173"/>
    </row>
    <row r="81" spans="2:17" x14ac:dyDescent="0.2">
      <c r="B81" t="s">
        <v>450</v>
      </c>
      <c r="C81">
        <v>624</v>
      </c>
      <c r="D81">
        <v>643</v>
      </c>
      <c r="E81">
        <v>636</v>
      </c>
      <c r="F81">
        <v>670</v>
      </c>
      <c r="G81">
        <v>642</v>
      </c>
      <c r="H81">
        <v>655</v>
      </c>
      <c r="I81">
        <v>650</v>
      </c>
      <c r="J81">
        <v>660</v>
      </c>
      <c r="K81">
        <v>644</v>
      </c>
      <c r="L81">
        <v>672</v>
      </c>
      <c r="M81">
        <v>658</v>
      </c>
      <c r="N81">
        <v>659</v>
      </c>
      <c r="O81" s="173">
        <f t="shared" si="14"/>
        <v>651.08333333333337</v>
      </c>
      <c r="P81" s="173">
        <f t="shared" ref="P81:P94" si="15">SUM(O81-O80)</f>
        <v>-16.166666666666629</v>
      </c>
      <c r="Q81" s="177">
        <f t="shared" ref="Q81:Q94" si="16">SUM(P81/O80)</f>
        <v>-2.422879980017479E-2</v>
      </c>
    </row>
    <row r="82" spans="2:17" x14ac:dyDescent="0.2">
      <c r="B82" t="s">
        <v>451</v>
      </c>
      <c r="C82">
        <v>661</v>
      </c>
      <c r="D82">
        <v>673</v>
      </c>
      <c r="E82">
        <v>672</v>
      </c>
      <c r="F82">
        <v>632</v>
      </c>
      <c r="G82">
        <v>611</v>
      </c>
      <c r="H82">
        <v>620</v>
      </c>
      <c r="I82">
        <v>633</v>
      </c>
      <c r="J82">
        <v>653</v>
      </c>
      <c r="K82">
        <v>659</v>
      </c>
      <c r="L82">
        <v>665</v>
      </c>
      <c r="M82">
        <v>671</v>
      </c>
      <c r="N82">
        <v>677</v>
      </c>
      <c r="O82" s="173">
        <f t="shared" si="14"/>
        <v>652.25</v>
      </c>
      <c r="P82" s="173">
        <f t="shared" si="15"/>
        <v>1.1666666666666288</v>
      </c>
      <c r="Q82" s="177">
        <f t="shared" si="16"/>
        <v>1.7918853193395041E-3</v>
      </c>
    </row>
    <row r="83" spans="2:17" x14ac:dyDescent="0.2">
      <c r="B83" t="s">
        <v>267</v>
      </c>
      <c r="C83">
        <v>561</v>
      </c>
      <c r="D83">
        <v>574</v>
      </c>
      <c r="E83">
        <v>593</v>
      </c>
      <c r="F83">
        <v>589</v>
      </c>
      <c r="G83">
        <v>589</v>
      </c>
      <c r="H83">
        <v>589</v>
      </c>
      <c r="I83">
        <v>589</v>
      </c>
      <c r="J83">
        <v>589</v>
      </c>
      <c r="K83">
        <v>589</v>
      </c>
      <c r="L83">
        <v>589</v>
      </c>
      <c r="M83">
        <v>589</v>
      </c>
      <c r="N83">
        <v>623</v>
      </c>
      <c r="O83" s="173">
        <f t="shared" si="14"/>
        <v>588.58333333333337</v>
      </c>
      <c r="P83" s="173">
        <f t="shared" si="15"/>
        <v>-63.666666666666629</v>
      </c>
      <c r="Q83" s="177">
        <f t="shared" si="16"/>
        <v>-9.7610834291554816E-2</v>
      </c>
    </row>
    <row r="84" spans="2:17" x14ac:dyDescent="0.2">
      <c r="B84" t="s">
        <v>266</v>
      </c>
      <c r="C84">
        <v>585</v>
      </c>
      <c r="D84">
        <v>542</v>
      </c>
      <c r="E84">
        <v>535</v>
      </c>
      <c r="F84">
        <v>545</v>
      </c>
      <c r="G84">
        <v>547</v>
      </c>
      <c r="H84">
        <v>584</v>
      </c>
      <c r="I84">
        <v>608</v>
      </c>
      <c r="J84">
        <v>604</v>
      </c>
      <c r="K84">
        <v>592</v>
      </c>
      <c r="L84">
        <v>599</v>
      </c>
      <c r="M84">
        <v>628</v>
      </c>
      <c r="N84">
        <v>595</v>
      </c>
      <c r="O84" s="173">
        <f t="shared" si="14"/>
        <v>580.33333333333337</v>
      </c>
      <c r="P84" s="173">
        <f t="shared" si="15"/>
        <v>-8.25</v>
      </c>
      <c r="Q84" s="177">
        <f t="shared" si="16"/>
        <v>-1.4016706781820756E-2</v>
      </c>
    </row>
    <row r="85" spans="2:17" x14ac:dyDescent="0.2">
      <c r="B85" t="s">
        <v>287</v>
      </c>
      <c r="C85">
        <v>601</v>
      </c>
      <c r="D85">
        <v>626</v>
      </c>
      <c r="E85">
        <v>662</v>
      </c>
      <c r="F85">
        <v>646</v>
      </c>
      <c r="G85">
        <v>635</v>
      </c>
      <c r="H85">
        <v>634</v>
      </c>
      <c r="I85">
        <v>628</v>
      </c>
      <c r="J85">
        <v>656</v>
      </c>
      <c r="K85">
        <v>666</v>
      </c>
      <c r="L85">
        <v>657</v>
      </c>
      <c r="M85">
        <v>576</v>
      </c>
      <c r="N85">
        <v>650</v>
      </c>
      <c r="O85" s="173">
        <f t="shared" si="14"/>
        <v>636.41666666666663</v>
      </c>
      <c r="P85" s="173">
        <f t="shared" si="15"/>
        <v>56.083333333333258</v>
      </c>
      <c r="Q85" s="177">
        <f t="shared" si="16"/>
        <v>9.6639862148190564E-2</v>
      </c>
    </row>
    <row r="86" spans="2:17" x14ac:dyDescent="0.2">
      <c r="B86" t="s">
        <v>297</v>
      </c>
      <c r="C86">
        <v>648</v>
      </c>
      <c r="D86">
        <v>660</v>
      </c>
      <c r="E86">
        <v>652</v>
      </c>
      <c r="F86">
        <v>651</v>
      </c>
      <c r="G86">
        <v>646</v>
      </c>
      <c r="H86">
        <v>659</v>
      </c>
      <c r="I86">
        <v>646</v>
      </c>
      <c r="J86">
        <v>702</v>
      </c>
      <c r="K86">
        <v>699</v>
      </c>
      <c r="L86">
        <v>703</v>
      </c>
      <c r="M86">
        <v>711</v>
      </c>
      <c r="N86">
        <v>718</v>
      </c>
      <c r="O86" s="173">
        <f t="shared" si="14"/>
        <v>674.58333333333337</v>
      </c>
      <c r="P86" s="173">
        <f t="shared" si="15"/>
        <v>38.166666666666742</v>
      </c>
      <c r="Q86" s="177">
        <f t="shared" si="16"/>
        <v>5.99711928767842E-2</v>
      </c>
    </row>
    <row r="87" spans="2:17" x14ac:dyDescent="0.2">
      <c r="B87" t="s">
        <v>300</v>
      </c>
      <c r="C87">
        <v>731</v>
      </c>
      <c r="D87">
        <v>726</v>
      </c>
      <c r="E87">
        <v>720</v>
      </c>
      <c r="F87">
        <v>696</v>
      </c>
      <c r="G87">
        <v>731</v>
      </c>
      <c r="H87">
        <v>721</v>
      </c>
      <c r="I87">
        <v>713</v>
      </c>
      <c r="J87">
        <v>701</v>
      </c>
      <c r="K87">
        <v>691</v>
      </c>
      <c r="L87">
        <v>789</v>
      </c>
      <c r="M87">
        <v>764</v>
      </c>
      <c r="N87">
        <v>691</v>
      </c>
      <c r="O87" s="173">
        <f t="shared" si="14"/>
        <v>722.83333333333337</v>
      </c>
      <c r="P87" s="173">
        <f t="shared" si="15"/>
        <v>48.25</v>
      </c>
      <c r="Q87" s="177">
        <f t="shared" si="16"/>
        <v>7.1525633106856085E-2</v>
      </c>
    </row>
    <row r="88" spans="2:17" x14ac:dyDescent="0.2">
      <c r="B88" t="s">
        <v>301</v>
      </c>
      <c r="C88">
        <v>684</v>
      </c>
      <c r="D88">
        <v>691</v>
      </c>
      <c r="E88">
        <v>716</v>
      </c>
      <c r="F88">
        <v>676</v>
      </c>
      <c r="G88">
        <v>671</v>
      </c>
      <c r="H88">
        <v>676</v>
      </c>
      <c r="I88">
        <v>674</v>
      </c>
      <c r="J88">
        <v>667</v>
      </c>
      <c r="K88">
        <v>669</v>
      </c>
      <c r="L88">
        <v>676</v>
      </c>
      <c r="M88">
        <v>714</v>
      </c>
      <c r="N88">
        <v>718</v>
      </c>
      <c r="O88" s="173">
        <f t="shared" si="14"/>
        <v>686</v>
      </c>
      <c r="P88" s="173">
        <f t="shared" si="15"/>
        <v>-36.833333333333371</v>
      </c>
      <c r="Q88" s="177">
        <f t="shared" si="16"/>
        <v>-5.095688263776809E-2</v>
      </c>
    </row>
    <row r="89" spans="2:17" x14ac:dyDescent="0.2">
      <c r="B89" t="s">
        <v>302</v>
      </c>
      <c r="C89">
        <v>681</v>
      </c>
      <c r="D89">
        <v>689</v>
      </c>
      <c r="E89">
        <v>680</v>
      </c>
      <c r="F89">
        <v>661</v>
      </c>
      <c r="G89">
        <v>661</v>
      </c>
      <c r="H89">
        <v>678</v>
      </c>
      <c r="I89">
        <v>672</v>
      </c>
      <c r="J89">
        <v>687</v>
      </c>
      <c r="K89">
        <v>677</v>
      </c>
      <c r="L89">
        <v>674</v>
      </c>
      <c r="M89">
        <v>674</v>
      </c>
      <c r="N89">
        <v>691</v>
      </c>
      <c r="O89" s="173">
        <f t="shared" si="14"/>
        <v>677.08333333333337</v>
      </c>
      <c r="P89" s="173">
        <f t="shared" si="15"/>
        <v>-8.9166666666666288</v>
      </c>
      <c r="Q89" s="177">
        <f t="shared" si="16"/>
        <v>-1.2998056365403248E-2</v>
      </c>
    </row>
    <row r="90" spans="2:17" x14ac:dyDescent="0.2">
      <c r="B90" t="s">
        <v>347</v>
      </c>
      <c r="C90">
        <v>685</v>
      </c>
      <c r="D90">
        <v>703</v>
      </c>
      <c r="E90">
        <v>697</v>
      </c>
      <c r="F90">
        <v>714</v>
      </c>
      <c r="G90">
        <v>713</v>
      </c>
      <c r="H90">
        <v>746</v>
      </c>
      <c r="I90">
        <v>722</v>
      </c>
      <c r="J90">
        <v>724</v>
      </c>
      <c r="K90">
        <v>728</v>
      </c>
      <c r="L90">
        <v>696</v>
      </c>
      <c r="M90">
        <v>695</v>
      </c>
      <c r="N90">
        <v>676</v>
      </c>
      <c r="O90" s="173">
        <f t="shared" si="14"/>
        <v>708.25</v>
      </c>
      <c r="P90" s="173">
        <f t="shared" si="15"/>
        <v>31.166666666666629</v>
      </c>
      <c r="Q90" s="177">
        <f t="shared" si="16"/>
        <v>4.6030769230769174E-2</v>
      </c>
    </row>
    <row r="91" spans="2:17" x14ac:dyDescent="0.2">
      <c r="B91" t="s">
        <v>370</v>
      </c>
      <c r="C91">
        <v>691</v>
      </c>
      <c r="D91">
        <v>666</v>
      </c>
      <c r="E91">
        <v>624</v>
      </c>
      <c r="F91">
        <v>670</v>
      </c>
      <c r="G91">
        <v>672</v>
      </c>
      <c r="H91">
        <v>675</v>
      </c>
      <c r="I91">
        <v>651</v>
      </c>
      <c r="J91">
        <v>642</v>
      </c>
      <c r="K91">
        <v>588</v>
      </c>
      <c r="L91">
        <v>663</v>
      </c>
      <c r="M91">
        <v>660</v>
      </c>
      <c r="N91">
        <v>646</v>
      </c>
      <c r="O91" s="173">
        <f t="shared" si="14"/>
        <v>654</v>
      </c>
      <c r="P91" s="173">
        <f t="shared" si="15"/>
        <v>-54.25</v>
      </c>
      <c r="Q91" s="177">
        <f t="shared" si="16"/>
        <v>-7.6597246734909988E-2</v>
      </c>
    </row>
    <row r="92" spans="2:17" x14ac:dyDescent="0.2">
      <c r="B92" t="s">
        <v>452</v>
      </c>
      <c r="C92">
        <v>652</v>
      </c>
      <c r="D92">
        <v>655</v>
      </c>
      <c r="E92">
        <v>667</v>
      </c>
      <c r="F92">
        <v>658</v>
      </c>
      <c r="G92">
        <v>671</v>
      </c>
      <c r="H92">
        <v>681</v>
      </c>
      <c r="I92">
        <v>677</v>
      </c>
      <c r="J92">
        <v>673</v>
      </c>
      <c r="K92">
        <v>663</v>
      </c>
      <c r="L92">
        <v>656</v>
      </c>
      <c r="M92">
        <v>662</v>
      </c>
      <c r="N92">
        <v>679</v>
      </c>
      <c r="O92" s="173">
        <f t="shared" si="14"/>
        <v>666.16666666666663</v>
      </c>
      <c r="P92" s="173">
        <f t="shared" si="15"/>
        <v>12.166666666666629</v>
      </c>
      <c r="Q92" s="177">
        <f t="shared" si="16"/>
        <v>1.8603465851172216E-2</v>
      </c>
    </row>
    <row r="93" spans="2:17" x14ac:dyDescent="0.2">
      <c r="B93" t="s">
        <v>487</v>
      </c>
      <c r="C93">
        <v>674</v>
      </c>
      <c r="D93">
        <v>675</v>
      </c>
      <c r="E93">
        <v>693</v>
      </c>
      <c r="F93">
        <v>708</v>
      </c>
      <c r="G93">
        <v>741</v>
      </c>
      <c r="H93">
        <v>687</v>
      </c>
      <c r="I93">
        <v>729</v>
      </c>
      <c r="J93">
        <v>690</v>
      </c>
      <c r="K93">
        <v>701</v>
      </c>
      <c r="L93">
        <v>693</v>
      </c>
      <c r="M93">
        <v>738</v>
      </c>
      <c r="N93">
        <v>729</v>
      </c>
      <c r="O93" s="173">
        <f t="shared" si="14"/>
        <v>704.83333333333337</v>
      </c>
      <c r="P93" s="173">
        <f t="shared" si="15"/>
        <v>38.666666666666742</v>
      </c>
      <c r="Q93" s="177">
        <f t="shared" si="16"/>
        <v>5.804353264948723E-2</v>
      </c>
    </row>
    <row r="94" spans="2:17" x14ac:dyDescent="0.2">
      <c r="B94" t="s">
        <v>561</v>
      </c>
      <c r="C94">
        <v>722</v>
      </c>
      <c r="D94">
        <v>713</v>
      </c>
      <c r="E94">
        <v>717</v>
      </c>
      <c r="F94">
        <v>696</v>
      </c>
      <c r="G94">
        <v>673</v>
      </c>
      <c r="H94">
        <v>688</v>
      </c>
      <c r="I94">
        <v>676</v>
      </c>
      <c r="J94">
        <v>681</v>
      </c>
      <c r="K94">
        <v>670</v>
      </c>
      <c r="L94">
        <v>672</v>
      </c>
      <c r="M94">
        <v>697</v>
      </c>
      <c r="N94">
        <v>744</v>
      </c>
      <c r="O94" s="173">
        <f t="shared" si="14"/>
        <v>695.75</v>
      </c>
      <c r="P94" s="173">
        <f t="shared" si="15"/>
        <v>-9.0833333333333712</v>
      </c>
      <c r="Q94" s="177">
        <f t="shared" si="16"/>
        <v>-1.2887207377630699E-2</v>
      </c>
    </row>
    <row r="95" spans="2:17" x14ac:dyDescent="0.2">
      <c r="B95" t="s">
        <v>660</v>
      </c>
      <c r="C95">
        <v>681</v>
      </c>
      <c r="D95">
        <v>668</v>
      </c>
      <c r="E95">
        <v>662</v>
      </c>
      <c r="F95">
        <v>638</v>
      </c>
      <c r="G95">
        <v>665</v>
      </c>
      <c r="H95">
        <v>654</v>
      </c>
      <c r="I95">
        <v>640</v>
      </c>
      <c r="J95">
        <v>628</v>
      </c>
      <c r="K95">
        <v>699</v>
      </c>
      <c r="L95">
        <v>611</v>
      </c>
      <c r="M95">
        <v>605</v>
      </c>
      <c r="N95">
        <v>589</v>
      </c>
      <c r="O95" s="173">
        <f t="shared" si="14"/>
        <v>645</v>
      </c>
      <c r="P95" s="173">
        <f>SUM(O95-O94)</f>
        <v>-50.75</v>
      </c>
      <c r="Q95" s="177">
        <f>SUM(P95/O94)</f>
        <v>-7.294286740927057E-2</v>
      </c>
    </row>
    <row r="96" spans="2:17" x14ac:dyDescent="0.2">
      <c r="B96" t="s">
        <v>661</v>
      </c>
      <c r="C96">
        <v>578</v>
      </c>
      <c r="D96">
        <v>579</v>
      </c>
      <c r="E96">
        <v>577</v>
      </c>
      <c r="F96">
        <v>568</v>
      </c>
      <c r="G96">
        <v>572</v>
      </c>
      <c r="H96">
        <v>550</v>
      </c>
      <c r="I96">
        <v>554</v>
      </c>
      <c r="J96">
        <v>550</v>
      </c>
      <c r="K96">
        <v>559</v>
      </c>
      <c r="L96">
        <v>576</v>
      </c>
      <c r="M96">
        <v>548</v>
      </c>
      <c r="N96">
        <v>537</v>
      </c>
      <c r="O96" s="173">
        <f t="shared" si="14"/>
        <v>562.33333333333337</v>
      </c>
      <c r="P96" s="173">
        <f>SUM(O96-O95)</f>
        <v>-82.666666666666629</v>
      </c>
      <c r="Q96" s="177">
        <f>SUM(P96/O95)</f>
        <v>-0.12816537467700254</v>
      </c>
    </row>
    <row r="97" spans="1:17" x14ac:dyDescent="0.2">
      <c r="O97" s="173"/>
      <c r="P97" s="173"/>
      <c r="Q97" s="177"/>
    </row>
    <row r="98" spans="1:17" ht="25.5" x14ac:dyDescent="0.2">
      <c r="A98" s="175" t="s">
        <v>458</v>
      </c>
      <c r="B98" s="176" t="s">
        <v>433</v>
      </c>
      <c r="C98" s="179" t="s">
        <v>434</v>
      </c>
      <c r="D98" s="179" t="s">
        <v>435</v>
      </c>
      <c r="E98" s="179" t="s">
        <v>436</v>
      </c>
      <c r="F98" s="179" t="s">
        <v>437</v>
      </c>
      <c r="G98" s="179" t="s">
        <v>438</v>
      </c>
      <c r="H98" s="179" t="s">
        <v>439</v>
      </c>
      <c r="I98" s="179" t="s">
        <v>440</v>
      </c>
      <c r="J98" s="179" t="s">
        <v>441</v>
      </c>
      <c r="K98" s="179" t="s">
        <v>442</v>
      </c>
      <c r="L98" s="179" t="s">
        <v>443</v>
      </c>
      <c r="M98" s="179" t="s">
        <v>444</v>
      </c>
      <c r="N98" s="179" t="s">
        <v>445</v>
      </c>
    </row>
    <row r="99" spans="1:17" x14ac:dyDescent="0.2">
      <c r="B99" t="s">
        <v>449</v>
      </c>
      <c r="C99">
        <v>227</v>
      </c>
      <c r="D99">
        <v>238</v>
      </c>
      <c r="E99">
        <v>241</v>
      </c>
      <c r="F99">
        <v>237</v>
      </c>
      <c r="G99">
        <v>237</v>
      </c>
      <c r="H99">
        <v>245</v>
      </c>
      <c r="I99">
        <v>239</v>
      </c>
      <c r="J99">
        <v>232</v>
      </c>
      <c r="K99">
        <v>228</v>
      </c>
      <c r="L99">
        <v>226</v>
      </c>
      <c r="M99">
        <v>226</v>
      </c>
      <c r="N99">
        <v>238</v>
      </c>
      <c r="O99" s="173">
        <f t="shared" ref="O99:O115" si="17">SUM(C99:N99)/12</f>
        <v>234.5</v>
      </c>
      <c r="P99" s="173"/>
    </row>
    <row r="100" spans="1:17" x14ac:dyDescent="0.2">
      <c r="B100" t="s">
        <v>450</v>
      </c>
      <c r="C100">
        <v>227</v>
      </c>
      <c r="D100">
        <v>234</v>
      </c>
      <c r="E100">
        <v>235</v>
      </c>
      <c r="F100">
        <v>220</v>
      </c>
      <c r="G100">
        <v>231</v>
      </c>
      <c r="H100">
        <v>222</v>
      </c>
      <c r="I100">
        <v>209</v>
      </c>
      <c r="J100">
        <v>216</v>
      </c>
      <c r="K100">
        <v>219</v>
      </c>
      <c r="L100">
        <v>212</v>
      </c>
      <c r="M100">
        <v>211</v>
      </c>
      <c r="N100">
        <v>211</v>
      </c>
      <c r="O100" s="173">
        <f t="shared" si="17"/>
        <v>220.58333333333334</v>
      </c>
      <c r="P100" s="173">
        <f t="shared" ref="P100:P113" si="18">SUM(O100-O99)</f>
        <v>-13.916666666666657</v>
      </c>
      <c r="Q100" s="177">
        <f t="shared" ref="Q100:Q113" si="19">SUM(P100/O99)</f>
        <v>-5.9346126510305575E-2</v>
      </c>
    </row>
    <row r="101" spans="1:17" x14ac:dyDescent="0.2">
      <c r="B101" t="s">
        <v>451</v>
      </c>
      <c r="C101">
        <v>210</v>
      </c>
      <c r="D101">
        <v>212</v>
      </c>
      <c r="E101">
        <v>205</v>
      </c>
      <c r="F101">
        <v>205</v>
      </c>
      <c r="G101">
        <v>220</v>
      </c>
      <c r="H101">
        <v>221</v>
      </c>
      <c r="I101">
        <v>223</v>
      </c>
      <c r="J101">
        <v>227</v>
      </c>
      <c r="K101">
        <v>230</v>
      </c>
      <c r="L101">
        <v>204</v>
      </c>
      <c r="M101">
        <v>178</v>
      </c>
      <c r="N101">
        <v>152</v>
      </c>
      <c r="O101" s="173">
        <f t="shared" si="17"/>
        <v>207.25</v>
      </c>
      <c r="P101" s="173">
        <f t="shared" si="18"/>
        <v>-13.333333333333343</v>
      </c>
      <c r="Q101" s="177">
        <f t="shared" si="19"/>
        <v>-6.0445787684170797E-2</v>
      </c>
    </row>
    <row r="102" spans="1:17" x14ac:dyDescent="0.2">
      <c r="B102" t="s">
        <v>267</v>
      </c>
      <c r="C102">
        <v>257</v>
      </c>
      <c r="D102">
        <v>269</v>
      </c>
      <c r="E102">
        <v>265</v>
      </c>
      <c r="F102">
        <v>244</v>
      </c>
      <c r="G102">
        <v>244</v>
      </c>
      <c r="H102">
        <v>244</v>
      </c>
      <c r="I102">
        <v>244</v>
      </c>
      <c r="J102">
        <v>244</v>
      </c>
      <c r="K102">
        <v>244</v>
      </c>
      <c r="L102">
        <v>244</v>
      </c>
      <c r="M102">
        <v>244</v>
      </c>
      <c r="N102">
        <v>244</v>
      </c>
      <c r="O102" s="173">
        <f t="shared" si="17"/>
        <v>248.91666666666666</v>
      </c>
      <c r="P102" s="173">
        <f t="shared" si="18"/>
        <v>41.666666666666657</v>
      </c>
      <c r="Q102" s="177">
        <f t="shared" si="19"/>
        <v>0.20104543626859667</v>
      </c>
    </row>
    <row r="103" spans="1:17" x14ac:dyDescent="0.2">
      <c r="B103" t="s">
        <v>266</v>
      </c>
      <c r="C103">
        <v>239</v>
      </c>
      <c r="D103">
        <v>224</v>
      </c>
      <c r="E103">
        <v>226</v>
      </c>
      <c r="F103">
        <v>219</v>
      </c>
      <c r="G103">
        <v>227</v>
      </c>
      <c r="H103">
        <v>220</v>
      </c>
      <c r="I103">
        <v>214</v>
      </c>
      <c r="J103">
        <v>214</v>
      </c>
      <c r="K103">
        <v>205</v>
      </c>
      <c r="L103">
        <v>216</v>
      </c>
      <c r="M103">
        <v>210</v>
      </c>
      <c r="N103">
        <v>213</v>
      </c>
      <c r="O103" s="173">
        <f t="shared" si="17"/>
        <v>218.91666666666666</v>
      </c>
      <c r="P103" s="173">
        <f t="shared" si="18"/>
        <v>-30</v>
      </c>
      <c r="Q103" s="177">
        <f t="shared" si="19"/>
        <v>-0.12052226314027453</v>
      </c>
    </row>
    <row r="104" spans="1:17" x14ac:dyDescent="0.2">
      <c r="B104" t="s">
        <v>287</v>
      </c>
      <c r="C104">
        <v>214</v>
      </c>
      <c r="D104">
        <v>211</v>
      </c>
      <c r="E104">
        <v>207</v>
      </c>
      <c r="F104">
        <v>229</v>
      </c>
      <c r="G104">
        <v>243</v>
      </c>
      <c r="H104">
        <v>240</v>
      </c>
      <c r="I104">
        <v>243</v>
      </c>
      <c r="J104">
        <v>245</v>
      </c>
      <c r="K104">
        <v>245</v>
      </c>
      <c r="L104">
        <v>259</v>
      </c>
      <c r="M104">
        <v>261</v>
      </c>
      <c r="N104">
        <v>263</v>
      </c>
      <c r="O104" s="173">
        <f t="shared" si="17"/>
        <v>238.33333333333334</v>
      </c>
      <c r="P104" s="173">
        <f t="shared" si="18"/>
        <v>19.416666666666686</v>
      </c>
      <c r="Q104" s="177">
        <f t="shared" si="19"/>
        <v>8.8694328130947936E-2</v>
      </c>
    </row>
    <row r="105" spans="1:17" x14ac:dyDescent="0.2">
      <c r="B105" t="s">
        <v>297</v>
      </c>
      <c r="C105">
        <v>264</v>
      </c>
      <c r="D105">
        <v>263</v>
      </c>
      <c r="E105">
        <v>264</v>
      </c>
      <c r="F105">
        <v>259</v>
      </c>
      <c r="G105">
        <v>262</v>
      </c>
      <c r="H105">
        <v>259</v>
      </c>
      <c r="I105">
        <v>244</v>
      </c>
      <c r="J105">
        <v>246</v>
      </c>
      <c r="K105">
        <v>253</v>
      </c>
      <c r="L105">
        <v>249</v>
      </c>
      <c r="M105">
        <v>248</v>
      </c>
      <c r="N105">
        <v>256</v>
      </c>
      <c r="O105" s="173">
        <f t="shared" si="17"/>
        <v>255.58333333333334</v>
      </c>
      <c r="P105" s="173">
        <f t="shared" si="18"/>
        <v>17.25</v>
      </c>
      <c r="Q105" s="177">
        <f t="shared" si="19"/>
        <v>7.237762237762238E-2</v>
      </c>
    </row>
    <row r="106" spans="1:17" x14ac:dyDescent="0.2">
      <c r="B106" t="s">
        <v>300</v>
      </c>
      <c r="C106">
        <v>259</v>
      </c>
      <c r="D106">
        <v>269</v>
      </c>
      <c r="E106">
        <v>262</v>
      </c>
      <c r="F106">
        <v>281</v>
      </c>
      <c r="G106">
        <v>292</v>
      </c>
      <c r="H106">
        <v>287</v>
      </c>
      <c r="I106">
        <v>285</v>
      </c>
      <c r="J106">
        <v>271</v>
      </c>
      <c r="K106">
        <v>263</v>
      </c>
      <c r="L106">
        <v>304</v>
      </c>
      <c r="M106">
        <v>301</v>
      </c>
      <c r="N106">
        <v>256</v>
      </c>
      <c r="O106" s="173">
        <f t="shared" si="17"/>
        <v>277.5</v>
      </c>
      <c r="P106" s="173">
        <f t="shared" si="18"/>
        <v>21.916666666666657</v>
      </c>
      <c r="Q106" s="177">
        <f t="shared" si="19"/>
        <v>8.5751548744701617E-2</v>
      </c>
    </row>
    <row r="107" spans="1:17" x14ac:dyDescent="0.2">
      <c r="B107" t="s">
        <v>301</v>
      </c>
      <c r="C107">
        <v>263</v>
      </c>
      <c r="D107">
        <v>269</v>
      </c>
      <c r="E107">
        <v>260</v>
      </c>
      <c r="F107">
        <v>254</v>
      </c>
      <c r="G107">
        <v>247</v>
      </c>
      <c r="H107">
        <v>251</v>
      </c>
      <c r="I107">
        <v>244</v>
      </c>
      <c r="J107">
        <v>235</v>
      </c>
      <c r="K107">
        <v>233</v>
      </c>
      <c r="L107">
        <v>251</v>
      </c>
      <c r="M107">
        <v>278</v>
      </c>
      <c r="N107">
        <v>279</v>
      </c>
      <c r="O107" s="173">
        <f t="shared" si="17"/>
        <v>255.33333333333334</v>
      </c>
      <c r="P107" s="173">
        <f t="shared" si="18"/>
        <v>-22.166666666666657</v>
      </c>
      <c r="Q107" s="177">
        <f t="shared" si="19"/>
        <v>-7.987987987987985E-2</v>
      </c>
    </row>
    <row r="108" spans="1:17" x14ac:dyDescent="0.2">
      <c r="B108" t="s">
        <v>302</v>
      </c>
      <c r="C108">
        <v>271</v>
      </c>
      <c r="D108">
        <v>264</v>
      </c>
      <c r="E108">
        <v>264</v>
      </c>
      <c r="F108">
        <v>265</v>
      </c>
      <c r="G108">
        <v>260</v>
      </c>
      <c r="H108">
        <v>261</v>
      </c>
      <c r="I108">
        <v>266</v>
      </c>
      <c r="J108">
        <v>257</v>
      </c>
      <c r="K108">
        <v>261</v>
      </c>
      <c r="L108">
        <v>270</v>
      </c>
      <c r="M108">
        <v>273</v>
      </c>
      <c r="N108">
        <v>267</v>
      </c>
      <c r="O108" s="173">
        <f t="shared" si="17"/>
        <v>264.91666666666669</v>
      </c>
      <c r="P108" s="173">
        <f t="shared" si="18"/>
        <v>9.5833333333333428</v>
      </c>
      <c r="Q108" s="177">
        <f t="shared" si="19"/>
        <v>3.7532637075718051E-2</v>
      </c>
    </row>
    <row r="109" spans="1:17" x14ac:dyDescent="0.2">
      <c r="B109" t="s">
        <v>347</v>
      </c>
      <c r="C109">
        <v>267</v>
      </c>
      <c r="D109">
        <v>266</v>
      </c>
      <c r="E109">
        <v>268</v>
      </c>
      <c r="F109">
        <v>273</v>
      </c>
      <c r="G109">
        <v>266</v>
      </c>
      <c r="H109">
        <v>255</v>
      </c>
      <c r="I109">
        <v>256</v>
      </c>
      <c r="J109">
        <v>248</v>
      </c>
      <c r="K109">
        <v>253</v>
      </c>
      <c r="L109">
        <v>255</v>
      </c>
      <c r="M109">
        <v>251</v>
      </c>
      <c r="N109">
        <v>255</v>
      </c>
      <c r="O109" s="173">
        <f t="shared" si="17"/>
        <v>259.41666666666669</v>
      </c>
      <c r="P109" s="173">
        <f t="shared" si="18"/>
        <v>-5.5</v>
      </c>
      <c r="Q109" s="177">
        <f t="shared" si="19"/>
        <v>-2.0761245674740483E-2</v>
      </c>
    </row>
    <row r="110" spans="1:17" x14ac:dyDescent="0.2">
      <c r="B110" t="s">
        <v>370</v>
      </c>
      <c r="C110">
        <v>260</v>
      </c>
      <c r="D110">
        <v>250</v>
      </c>
      <c r="E110">
        <v>251</v>
      </c>
      <c r="F110">
        <v>257</v>
      </c>
      <c r="G110">
        <v>258</v>
      </c>
      <c r="H110">
        <v>252</v>
      </c>
      <c r="I110">
        <v>247</v>
      </c>
      <c r="J110">
        <v>244</v>
      </c>
      <c r="K110">
        <v>299</v>
      </c>
      <c r="L110">
        <v>242</v>
      </c>
      <c r="M110">
        <v>246</v>
      </c>
      <c r="N110">
        <v>247</v>
      </c>
      <c r="O110" s="173">
        <f t="shared" si="17"/>
        <v>254.41666666666666</v>
      </c>
      <c r="P110" s="173">
        <f t="shared" si="18"/>
        <v>-5.0000000000000284</v>
      </c>
      <c r="Q110" s="177">
        <f t="shared" si="19"/>
        <v>-1.9274012206874507E-2</v>
      </c>
    </row>
    <row r="111" spans="1:17" x14ac:dyDescent="0.2">
      <c r="B111" t="s">
        <v>452</v>
      </c>
      <c r="C111">
        <v>247</v>
      </c>
      <c r="D111">
        <v>250</v>
      </c>
      <c r="E111">
        <v>259</v>
      </c>
      <c r="F111">
        <v>259</v>
      </c>
      <c r="G111">
        <v>260</v>
      </c>
      <c r="H111">
        <v>269</v>
      </c>
      <c r="I111">
        <v>253</v>
      </c>
      <c r="J111">
        <v>246</v>
      </c>
      <c r="K111">
        <v>259</v>
      </c>
      <c r="L111">
        <v>253</v>
      </c>
      <c r="M111">
        <v>236</v>
      </c>
      <c r="N111">
        <v>227</v>
      </c>
      <c r="O111" s="173">
        <f t="shared" si="17"/>
        <v>251.5</v>
      </c>
      <c r="P111" s="173">
        <f t="shared" si="18"/>
        <v>-2.9166666666666572</v>
      </c>
      <c r="Q111" s="177">
        <f t="shared" si="19"/>
        <v>-1.1464133639043526E-2</v>
      </c>
    </row>
    <row r="112" spans="1:17" x14ac:dyDescent="0.2">
      <c r="B112" t="s">
        <v>487</v>
      </c>
      <c r="C112">
        <v>230</v>
      </c>
      <c r="D112">
        <v>228</v>
      </c>
      <c r="E112">
        <v>245</v>
      </c>
      <c r="F112">
        <v>241</v>
      </c>
      <c r="G112">
        <v>241</v>
      </c>
      <c r="H112">
        <v>233</v>
      </c>
      <c r="I112">
        <v>245</v>
      </c>
      <c r="J112">
        <v>265</v>
      </c>
      <c r="K112">
        <v>258</v>
      </c>
      <c r="L112">
        <v>261</v>
      </c>
      <c r="M112">
        <v>241</v>
      </c>
      <c r="N112">
        <v>231</v>
      </c>
      <c r="O112" s="173">
        <f t="shared" si="17"/>
        <v>243.25</v>
      </c>
      <c r="P112" s="173">
        <f t="shared" si="18"/>
        <v>-8.25</v>
      </c>
      <c r="Q112" s="177">
        <f t="shared" si="19"/>
        <v>-3.2803180914512925E-2</v>
      </c>
    </row>
    <row r="113" spans="1:17" x14ac:dyDescent="0.2">
      <c r="B113" t="s">
        <v>561</v>
      </c>
      <c r="C113">
        <v>265</v>
      </c>
      <c r="D113">
        <v>253</v>
      </c>
      <c r="E113">
        <v>234</v>
      </c>
      <c r="F113">
        <v>254</v>
      </c>
      <c r="G113">
        <v>242</v>
      </c>
      <c r="H113">
        <v>256</v>
      </c>
      <c r="I113">
        <v>262</v>
      </c>
      <c r="J113">
        <v>264</v>
      </c>
      <c r="K113">
        <v>253</v>
      </c>
      <c r="L113">
        <v>262</v>
      </c>
      <c r="M113">
        <v>274</v>
      </c>
      <c r="N113">
        <v>288</v>
      </c>
      <c r="O113" s="173">
        <f t="shared" si="17"/>
        <v>258.91666666666669</v>
      </c>
      <c r="P113" s="173">
        <f t="shared" si="18"/>
        <v>15.666666666666686</v>
      </c>
      <c r="Q113" s="177">
        <f t="shared" si="19"/>
        <v>6.4405618362452968E-2</v>
      </c>
    </row>
    <row r="114" spans="1:17" x14ac:dyDescent="0.2">
      <c r="B114" t="s">
        <v>660</v>
      </c>
      <c r="C114">
        <v>270</v>
      </c>
      <c r="D114">
        <v>256</v>
      </c>
      <c r="E114">
        <v>264</v>
      </c>
      <c r="F114">
        <v>262</v>
      </c>
      <c r="G114">
        <v>273</v>
      </c>
      <c r="H114">
        <v>282</v>
      </c>
      <c r="I114">
        <v>278</v>
      </c>
      <c r="J114">
        <v>289</v>
      </c>
      <c r="K114">
        <v>303</v>
      </c>
      <c r="L114">
        <v>332</v>
      </c>
      <c r="M114">
        <v>335</v>
      </c>
      <c r="N114">
        <v>367</v>
      </c>
      <c r="O114" s="173">
        <f t="shared" si="17"/>
        <v>292.58333333333331</v>
      </c>
      <c r="P114" s="173">
        <f>SUM(O114-O113)</f>
        <v>33.666666666666629</v>
      </c>
      <c r="Q114" s="177">
        <f>SUM(P114/O113)</f>
        <v>0.13002896684905038</v>
      </c>
    </row>
    <row r="115" spans="1:17" x14ac:dyDescent="0.2">
      <c r="B115" t="s">
        <v>661</v>
      </c>
      <c r="C115">
        <v>331</v>
      </c>
      <c r="D115">
        <v>343</v>
      </c>
      <c r="E115">
        <v>340</v>
      </c>
      <c r="F115">
        <v>322</v>
      </c>
      <c r="G115">
        <v>332</v>
      </c>
      <c r="H115">
        <v>340</v>
      </c>
      <c r="I115">
        <v>347</v>
      </c>
      <c r="J115">
        <v>325</v>
      </c>
      <c r="K115">
        <v>319</v>
      </c>
      <c r="L115">
        <v>275</v>
      </c>
      <c r="M115">
        <v>268</v>
      </c>
      <c r="N115">
        <v>268</v>
      </c>
      <c r="O115" s="173">
        <f t="shared" si="17"/>
        <v>317.5</v>
      </c>
      <c r="P115" s="173">
        <f>SUM(O115-O114)</f>
        <v>24.916666666666686</v>
      </c>
      <c r="Q115" s="177">
        <f>SUM(P115/O114)</f>
        <v>8.5160922814013176E-2</v>
      </c>
    </row>
    <row r="116" spans="1:17" x14ac:dyDescent="0.2">
      <c r="O116" s="173"/>
      <c r="P116" s="173"/>
      <c r="Q116" s="177"/>
    </row>
    <row r="117" spans="1:17" x14ac:dyDescent="0.2">
      <c r="A117" s="178"/>
      <c r="B117" s="178"/>
      <c r="C117" s="178"/>
      <c r="D117" s="178"/>
      <c r="E117" s="178"/>
      <c r="F117" s="178"/>
      <c r="G117" s="178"/>
      <c r="H117" s="178"/>
      <c r="I117" s="178"/>
      <c r="J117" s="178"/>
      <c r="K117" s="178"/>
      <c r="L117" s="178"/>
      <c r="M117" s="178"/>
      <c r="N117" s="178"/>
      <c r="O117" s="178"/>
      <c r="P117" s="178"/>
      <c r="Q117" s="178"/>
    </row>
    <row r="118" spans="1:17" ht="25.5" x14ac:dyDescent="0.2">
      <c r="A118" s="175" t="s">
        <v>459</v>
      </c>
      <c r="B118" s="176" t="s">
        <v>433</v>
      </c>
      <c r="C118" s="179" t="s">
        <v>434</v>
      </c>
      <c r="D118" s="179" t="s">
        <v>435</v>
      </c>
      <c r="E118" s="179" t="s">
        <v>436</v>
      </c>
      <c r="F118" s="179" t="s">
        <v>437</v>
      </c>
      <c r="G118" s="179" t="s">
        <v>438</v>
      </c>
      <c r="H118" s="179" t="s">
        <v>439</v>
      </c>
      <c r="I118" s="179" t="s">
        <v>440</v>
      </c>
      <c r="J118" s="179" t="s">
        <v>441</v>
      </c>
      <c r="K118" s="179" t="s">
        <v>442</v>
      </c>
      <c r="L118" s="179" t="s">
        <v>443</v>
      </c>
      <c r="M118" s="179" t="s">
        <v>444</v>
      </c>
      <c r="N118" s="179" t="s">
        <v>445</v>
      </c>
    </row>
    <row r="119" spans="1:17" x14ac:dyDescent="0.2">
      <c r="B119" t="s">
        <v>449</v>
      </c>
      <c r="C119">
        <v>204</v>
      </c>
      <c r="D119">
        <v>210</v>
      </c>
      <c r="E119">
        <v>215</v>
      </c>
      <c r="F119">
        <v>213</v>
      </c>
      <c r="G119">
        <v>212</v>
      </c>
      <c r="H119">
        <v>207</v>
      </c>
      <c r="I119">
        <v>200</v>
      </c>
      <c r="J119">
        <v>199</v>
      </c>
      <c r="K119">
        <v>192</v>
      </c>
      <c r="L119">
        <v>192</v>
      </c>
      <c r="M119">
        <v>181</v>
      </c>
      <c r="N119">
        <v>189</v>
      </c>
      <c r="O119" s="173">
        <f t="shared" ref="O119:O135" si="20">SUM(C119:N119)/12</f>
        <v>201.16666666666666</v>
      </c>
      <c r="P119" s="173"/>
    </row>
    <row r="120" spans="1:17" x14ac:dyDescent="0.2">
      <c r="B120" t="s">
        <v>450</v>
      </c>
      <c r="C120">
        <v>191</v>
      </c>
      <c r="D120">
        <v>194</v>
      </c>
      <c r="E120">
        <v>194</v>
      </c>
      <c r="F120">
        <v>191</v>
      </c>
      <c r="G120">
        <v>191</v>
      </c>
      <c r="H120">
        <v>198</v>
      </c>
      <c r="I120">
        <v>185</v>
      </c>
      <c r="J120">
        <v>192</v>
      </c>
      <c r="K120">
        <v>188</v>
      </c>
      <c r="L120">
        <v>198</v>
      </c>
      <c r="M120">
        <v>203</v>
      </c>
      <c r="N120">
        <v>203</v>
      </c>
      <c r="O120" s="173">
        <f t="shared" si="20"/>
        <v>194</v>
      </c>
      <c r="P120" s="173">
        <f t="shared" ref="P120:P133" si="21">SUM(O120-O119)</f>
        <v>-7.1666666666666572</v>
      </c>
      <c r="Q120" s="177">
        <f t="shared" ref="Q120:Q133" si="22">SUM(P120/O119)</f>
        <v>-3.5625517812758863E-2</v>
      </c>
    </row>
    <row r="121" spans="1:17" x14ac:dyDescent="0.2">
      <c r="B121" t="s">
        <v>451</v>
      </c>
      <c r="C121">
        <v>201</v>
      </c>
      <c r="D121">
        <v>196</v>
      </c>
      <c r="E121">
        <v>198</v>
      </c>
      <c r="F121">
        <v>188</v>
      </c>
      <c r="G121">
        <v>188</v>
      </c>
      <c r="H121">
        <v>192</v>
      </c>
      <c r="I121">
        <v>189</v>
      </c>
      <c r="J121">
        <v>200</v>
      </c>
      <c r="K121">
        <v>219</v>
      </c>
      <c r="L121">
        <v>228</v>
      </c>
      <c r="M121">
        <v>234</v>
      </c>
      <c r="N121">
        <v>237</v>
      </c>
      <c r="O121" s="173">
        <f t="shared" si="20"/>
        <v>205.83333333333334</v>
      </c>
      <c r="P121" s="173">
        <f t="shared" si="21"/>
        <v>11.833333333333343</v>
      </c>
      <c r="Q121" s="177">
        <f t="shared" si="22"/>
        <v>6.0996563573883208E-2</v>
      </c>
    </row>
    <row r="122" spans="1:17" x14ac:dyDescent="0.2">
      <c r="B122" t="s">
        <v>267</v>
      </c>
      <c r="C122">
        <v>246</v>
      </c>
      <c r="D122">
        <v>242</v>
      </c>
      <c r="E122">
        <v>245</v>
      </c>
      <c r="F122">
        <v>245</v>
      </c>
      <c r="G122">
        <v>245</v>
      </c>
      <c r="H122">
        <v>245</v>
      </c>
      <c r="I122">
        <v>245</v>
      </c>
      <c r="J122">
        <v>245</v>
      </c>
      <c r="K122">
        <v>245</v>
      </c>
      <c r="L122">
        <v>245</v>
      </c>
      <c r="M122">
        <v>245</v>
      </c>
      <c r="N122">
        <v>245</v>
      </c>
      <c r="O122" s="173">
        <f t="shared" si="20"/>
        <v>244.83333333333334</v>
      </c>
      <c r="P122" s="173">
        <f t="shared" si="21"/>
        <v>39</v>
      </c>
      <c r="Q122" s="177">
        <f t="shared" si="22"/>
        <v>0.18947368421052629</v>
      </c>
    </row>
    <row r="123" spans="1:17" x14ac:dyDescent="0.2">
      <c r="B123" t="s">
        <v>266</v>
      </c>
      <c r="C123">
        <v>219</v>
      </c>
      <c r="D123">
        <v>239</v>
      </c>
      <c r="E123">
        <v>239</v>
      </c>
      <c r="F123">
        <v>242</v>
      </c>
      <c r="G123">
        <v>237</v>
      </c>
      <c r="H123">
        <v>248</v>
      </c>
      <c r="I123">
        <v>255</v>
      </c>
      <c r="J123">
        <v>262</v>
      </c>
      <c r="K123">
        <v>263</v>
      </c>
      <c r="L123">
        <v>274</v>
      </c>
      <c r="M123">
        <v>266</v>
      </c>
      <c r="N123">
        <v>278</v>
      </c>
      <c r="O123" s="173">
        <f t="shared" si="20"/>
        <v>251.83333333333334</v>
      </c>
      <c r="P123" s="173">
        <f t="shared" si="21"/>
        <v>7</v>
      </c>
      <c r="Q123" s="177">
        <f t="shared" si="22"/>
        <v>2.8590878148400271E-2</v>
      </c>
    </row>
    <row r="124" spans="1:17" x14ac:dyDescent="0.2">
      <c r="B124" t="s">
        <v>287</v>
      </c>
      <c r="C124">
        <v>278</v>
      </c>
      <c r="D124">
        <v>279</v>
      </c>
      <c r="E124">
        <v>277</v>
      </c>
      <c r="F124">
        <v>279</v>
      </c>
      <c r="G124">
        <v>282</v>
      </c>
      <c r="H124">
        <v>282</v>
      </c>
      <c r="I124">
        <v>287</v>
      </c>
      <c r="J124">
        <v>293</v>
      </c>
      <c r="K124">
        <v>299</v>
      </c>
      <c r="L124">
        <v>299</v>
      </c>
      <c r="M124">
        <v>316</v>
      </c>
      <c r="N124">
        <v>325</v>
      </c>
      <c r="O124" s="173">
        <f t="shared" si="20"/>
        <v>291.33333333333331</v>
      </c>
      <c r="P124" s="173">
        <f t="shared" si="21"/>
        <v>39.499999999999972</v>
      </c>
      <c r="Q124" s="177">
        <f t="shared" si="22"/>
        <v>0.15684976836532086</v>
      </c>
    </row>
    <row r="125" spans="1:17" x14ac:dyDescent="0.2">
      <c r="B125" t="s">
        <v>297</v>
      </c>
      <c r="C125">
        <v>335</v>
      </c>
      <c r="D125">
        <v>349</v>
      </c>
      <c r="E125">
        <v>352</v>
      </c>
      <c r="F125">
        <v>352</v>
      </c>
      <c r="G125">
        <v>348</v>
      </c>
      <c r="H125">
        <v>363</v>
      </c>
      <c r="I125">
        <v>362</v>
      </c>
      <c r="J125">
        <v>370</v>
      </c>
      <c r="K125">
        <v>376</v>
      </c>
      <c r="L125">
        <v>393</v>
      </c>
      <c r="M125">
        <v>401</v>
      </c>
      <c r="N125">
        <v>400</v>
      </c>
      <c r="O125" s="173">
        <f t="shared" si="20"/>
        <v>366.75</v>
      </c>
      <c r="P125" s="173">
        <f t="shared" si="21"/>
        <v>75.416666666666686</v>
      </c>
      <c r="Q125" s="177">
        <f t="shared" si="22"/>
        <v>0.25886727688787192</v>
      </c>
    </row>
    <row r="126" spans="1:17" x14ac:dyDescent="0.2">
      <c r="B126" t="s">
        <v>300</v>
      </c>
      <c r="C126">
        <v>397</v>
      </c>
      <c r="D126">
        <v>402</v>
      </c>
      <c r="E126">
        <v>398</v>
      </c>
      <c r="F126">
        <v>408</v>
      </c>
      <c r="G126">
        <v>409</v>
      </c>
      <c r="H126">
        <v>416</v>
      </c>
      <c r="I126">
        <v>415</v>
      </c>
      <c r="J126">
        <v>414</v>
      </c>
      <c r="K126">
        <v>405</v>
      </c>
      <c r="L126">
        <v>486</v>
      </c>
      <c r="M126">
        <v>472</v>
      </c>
      <c r="N126">
        <v>409</v>
      </c>
      <c r="O126" s="173">
        <f t="shared" si="20"/>
        <v>419.25</v>
      </c>
      <c r="P126" s="173">
        <f t="shared" si="21"/>
        <v>52.5</v>
      </c>
      <c r="Q126" s="177">
        <f t="shared" si="22"/>
        <v>0.14314928425357873</v>
      </c>
    </row>
    <row r="127" spans="1:17" x14ac:dyDescent="0.2">
      <c r="B127" t="s">
        <v>301</v>
      </c>
      <c r="C127">
        <v>426</v>
      </c>
      <c r="D127">
        <v>431</v>
      </c>
      <c r="E127">
        <v>506</v>
      </c>
      <c r="F127">
        <v>455</v>
      </c>
      <c r="G127">
        <v>489</v>
      </c>
      <c r="H127">
        <v>513</v>
      </c>
      <c r="I127">
        <v>514</v>
      </c>
      <c r="J127">
        <v>518</v>
      </c>
      <c r="K127">
        <v>505</v>
      </c>
      <c r="L127">
        <v>502</v>
      </c>
      <c r="M127">
        <v>516</v>
      </c>
      <c r="N127">
        <v>530</v>
      </c>
      <c r="O127" s="173">
        <f t="shared" si="20"/>
        <v>492.08333333333331</v>
      </c>
      <c r="P127" s="173">
        <f t="shared" si="21"/>
        <v>72.833333333333314</v>
      </c>
      <c r="Q127" s="177">
        <f t="shared" si="22"/>
        <v>0.17372291790896438</v>
      </c>
    </row>
    <row r="128" spans="1:17" x14ac:dyDescent="0.2">
      <c r="B128" t="s">
        <v>302</v>
      </c>
      <c r="C128">
        <v>482</v>
      </c>
      <c r="D128">
        <v>466</v>
      </c>
      <c r="E128">
        <v>463</v>
      </c>
      <c r="F128">
        <v>466</v>
      </c>
      <c r="G128">
        <v>455</v>
      </c>
      <c r="H128">
        <v>458</v>
      </c>
      <c r="I128">
        <v>448</v>
      </c>
      <c r="J128">
        <v>451</v>
      </c>
      <c r="K128">
        <v>454</v>
      </c>
      <c r="L128">
        <v>449</v>
      </c>
      <c r="M128">
        <v>443</v>
      </c>
      <c r="N128">
        <v>447</v>
      </c>
      <c r="O128" s="173">
        <f t="shared" si="20"/>
        <v>456.83333333333331</v>
      </c>
      <c r="P128" s="173">
        <f t="shared" si="21"/>
        <v>-35.25</v>
      </c>
      <c r="Q128" s="177">
        <f t="shared" si="22"/>
        <v>-7.1634208298052504E-2</v>
      </c>
    </row>
    <row r="129" spans="1:17" x14ac:dyDescent="0.2">
      <c r="B129" t="s">
        <v>347</v>
      </c>
      <c r="C129">
        <v>441</v>
      </c>
      <c r="D129">
        <v>439</v>
      </c>
      <c r="E129">
        <v>439</v>
      </c>
      <c r="F129">
        <v>426</v>
      </c>
      <c r="G129">
        <v>432</v>
      </c>
      <c r="H129">
        <v>465</v>
      </c>
      <c r="I129">
        <v>452</v>
      </c>
      <c r="J129">
        <v>441</v>
      </c>
      <c r="K129">
        <v>443</v>
      </c>
      <c r="L129">
        <v>462</v>
      </c>
      <c r="M129">
        <v>480</v>
      </c>
      <c r="N129">
        <v>467</v>
      </c>
      <c r="O129" s="173">
        <f t="shared" si="20"/>
        <v>448.91666666666669</v>
      </c>
      <c r="P129" s="173">
        <f t="shared" si="21"/>
        <v>-7.9166666666666288</v>
      </c>
      <c r="Q129" s="177">
        <f t="shared" si="22"/>
        <v>-1.7329441809558473E-2</v>
      </c>
    </row>
    <row r="130" spans="1:17" x14ac:dyDescent="0.2">
      <c r="B130" t="s">
        <v>370</v>
      </c>
      <c r="C130">
        <v>465</v>
      </c>
      <c r="D130">
        <v>456</v>
      </c>
      <c r="E130">
        <v>455</v>
      </c>
      <c r="F130">
        <v>464</v>
      </c>
      <c r="G130">
        <v>461</v>
      </c>
      <c r="H130">
        <v>470</v>
      </c>
      <c r="I130">
        <v>443</v>
      </c>
      <c r="J130">
        <v>469</v>
      </c>
      <c r="K130">
        <v>478</v>
      </c>
      <c r="L130">
        <v>471</v>
      </c>
      <c r="M130">
        <v>457</v>
      </c>
      <c r="N130">
        <v>468</v>
      </c>
      <c r="O130" s="173">
        <f t="shared" si="20"/>
        <v>463.08333333333331</v>
      </c>
      <c r="P130" s="173">
        <f t="shared" si="21"/>
        <v>14.166666666666629</v>
      </c>
      <c r="Q130" s="177">
        <f t="shared" si="22"/>
        <v>3.1557453127900419E-2</v>
      </c>
    </row>
    <row r="131" spans="1:17" x14ac:dyDescent="0.2">
      <c r="B131" t="s">
        <v>452</v>
      </c>
      <c r="C131">
        <v>486</v>
      </c>
      <c r="D131">
        <v>496</v>
      </c>
      <c r="E131">
        <v>489</v>
      </c>
      <c r="F131">
        <v>495</v>
      </c>
      <c r="G131">
        <v>495</v>
      </c>
      <c r="H131">
        <v>495</v>
      </c>
      <c r="I131">
        <v>495</v>
      </c>
      <c r="J131">
        <v>500</v>
      </c>
      <c r="K131">
        <v>502</v>
      </c>
      <c r="L131">
        <v>508</v>
      </c>
      <c r="M131">
        <v>497</v>
      </c>
      <c r="N131">
        <v>504</v>
      </c>
      <c r="O131" s="173">
        <f t="shared" si="20"/>
        <v>496.83333333333331</v>
      </c>
      <c r="P131" s="173">
        <f t="shared" si="21"/>
        <v>33.75</v>
      </c>
      <c r="Q131" s="177">
        <f t="shared" si="22"/>
        <v>7.2881050926759047E-2</v>
      </c>
    </row>
    <row r="132" spans="1:17" x14ac:dyDescent="0.2">
      <c r="B132" t="s">
        <v>487</v>
      </c>
      <c r="C132">
        <v>496</v>
      </c>
      <c r="D132">
        <v>494</v>
      </c>
      <c r="E132">
        <v>478</v>
      </c>
      <c r="F132">
        <v>497</v>
      </c>
      <c r="G132">
        <v>499</v>
      </c>
      <c r="H132">
        <v>494</v>
      </c>
      <c r="I132">
        <v>489</v>
      </c>
      <c r="J132">
        <v>495</v>
      </c>
      <c r="K132">
        <v>490</v>
      </c>
      <c r="L132">
        <v>488</v>
      </c>
      <c r="M132">
        <v>497</v>
      </c>
      <c r="N132">
        <v>488</v>
      </c>
      <c r="O132" s="173">
        <f t="shared" si="20"/>
        <v>492.08333333333331</v>
      </c>
      <c r="P132" s="173">
        <f t="shared" si="21"/>
        <v>-4.75</v>
      </c>
      <c r="Q132" s="177">
        <f t="shared" si="22"/>
        <v>-9.5605501509560559E-3</v>
      </c>
    </row>
    <row r="133" spans="1:17" x14ac:dyDescent="0.2">
      <c r="B133" t="s">
        <v>561</v>
      </c>
      <c r="C133">
        <v>487</v>
      </c>
      <c r="D133">
        <v>474</v>
      </c>
      <c r="E133">
        <v>466</v>
      </c>
      <c r="F133">
        <v>470</v>
      </c>
      <c r="G133">
        <v>464</v>
      </c>
      <c r="H133">
        <v>474</v>
      </c>
      <c r="I133">
        <v>469</v>
      </c>
      <c r="J133">
        <v>478</v>
      </c>
      <c r="K133">
        <v>472</v>
      </c>
      <c r="L133">
        <v>468</v>
      </c>
      <c r="M133">
        <v>474</v>
      </c>
      <c r="N133">
        <v>471</v>
      </c>
      <c r="O133" s="173">
        <f t="shared" si="20"/>
        <v>472.25</v>
      </c>
      <c r="P133" s="173">
        <f t="shared" si="21"/>
        <v>-19.833333333333314</v>
      </c>
      <c r="Q133" s="177">
        <f t="shared" si="22"/>
        <v>-4.0304826418289551E-2</v>
      </c>
    </row>
    <row r="134" spans="1:17" x14ac:dyDescent="0.2">
      <c r="B134" t="s">
        <v>660</v>
      </c>
      <c r="C134">
        <v>468</v>
      </c>
      <c r="D134">
        <v>469</v>
      </c>
      <c r="E134">
        <v>451</v>
      </c>
      <c r="F134">
        <v>438</v>
      </c>
      <c r="G134">
        <v>433</v>
      </c>
      <c r="H134">
        <v>425</v>
      </c>
      <c r="I134">
        <v>420</v>
      </c>
      <c r="J134">
        <v>419</v>
      </c>
      <c r="K134">
        <v>418</v>
      </c>
      <c r="L134">
        <v>421</v>
      </c>
      <c r="M134">
        <v>413</v>
      </c>
      <c r="N134">
        <v>411</v>
      </c>
      <c r="O134" s="173">
        <f t="shared" si="20"/>
        <v>432.16666666666669</v>
      </c>
      <c r="P134" s="173">
        <f>SUM(O134-O133)</f>
        <v>-40.083333333333314</v>
      </c>
      <c r="Q134" s="177">
        <f>SUM(P134/O133)</f>
        <v>-8.4877360155284937E-2</v>
      </c>
    </row>
    <row r="135" spans="1:17" x14ac:dyDescent="0.2">
      <c r="B135" t="s">
        <v>661</v>
      </c>
      <c r="C135">
        <v>402</v>
      </c>
      <c r="D135">
        <v>427</v>
      </c>
      <c r="E135">
        <v>427</v>
      </c>
      <c r="F135">
        <v>429</v>
      </c>
      <c r="G135">
        <v>429</v>
      </c>
      <c r="H135">
        <v>433</v>
      </c>
      <c r="I135">
        <v>429</v>
      </c>
      <c r="J135">
        <v>440</v>
      </c>
      <c r="K135">
        <v>435</v>
      </c>
      <c r="L135">
        <v>433</v>
      </c>
      <c r="M135">
        <v>428</v>
      </c>
      <c r="N135">
        <v>425</v>
      </c>
      <c r="O135" s="173">
        <f t="shared" si="20"/>
        <v>428.08333333333331</v>
      </c>
      <c r="P135" s="173">
        <f>SUM(O135-O134)</f>
        <v>-4.0833333333333712</v>
      </c>
      <c r="Q135" s="177">
        <f>SUM(P135/O134)</f>
        <v>-9.4485152333205653E-3</v>
      </c>
    </row>
    <row r="136" spans="1:17" x14ac:dyDescent="0.2">
      <c r="O136" s="173"/>
      <c r="P136" s="173"/>
      <c r="Q136" s="177"/>
    </row>
    <row r="137" spans="1:17" ht="25.5" x14ac:dyDescent="0.2">
      <c r="A137" s="175" t="s">
        <v>460</v>
      </c>
      <c r="B137" s="176" t="s">
        <v>433</v>
      </c>
      <c r="C137" s="179" t="s">
        <v>434</v>
      </c>
      <c r="D137" s="179" t="s">
        <v>435</v>
      </c>
      <c r="E137" s="179" t="s">
        <v>436</v>
      </c>
      <c r="F137" s="179" t="s">
        <v>437</v>
      </c>
      <c r="G137" s="179" t="s">
        <v>438</v>
      </c>
      <c r="H137" s="179" t="s">
        <v>439</v>
      </c>
      <c r="I137" s="179" t="s">
        <v>440</v>
      </c>
      <c r="J137" s="179" t="s">
        <v>441</v>
      </c>
      <c r="K137" s="179" t="s">
        <v>442</v>
      </c>
      <c r="L137" s="179" t="s">
        <v>443</v>
      </c>
      <c r="M137" s="179" t="s">
        <v>444</v>
      </c>
      <c r="N137" s="179" t="s">
        <v>445</v>
      </c>
    </row>
    <row r="138" spans="1:17" x14ac:dyDescent="0.2">
      <c r="B138" t="s">
        <v>449</v>
      </c>
      <c r="C138">
        <v>173</v>
      </c>
      <c r="D138">
        <v>167</v>
      </c>
      <c r="E138">
        <v>163</v>
      </c>
      <c r="F138">
        <v>169</v>
      </c>
      <c r="G138">
        <v>161</v>
      </c>
      <c r="H138">
        <v>164</v>
      </c>
      <c r="I138">
        <v>156</v>
      </c>
      <c r="J138">
        <v>157</v>
      </c>
      <c r="K138">
        <v>148</v>
      </c>
      <c r="L138">
        <v>156</v>
      </c>
      <c r="M138">
        <v>171</v>
      </c>
      <c r="N138">
        <v>177</v>
      </c>
      <c r="O138" s="173">
        <f t="shared" ref="O138:O154" si="23">SUM(C138:N138)/12</f>
        <v>163.5</v>
      </c>
      <c r="P138" s="173"/>
    </row>
    <row r="139" spans="1:17" x14ac:dyDescent="0.2">
      <c r="B139" t="s">
        <v>450</v>
      </c>
      <c r="C139">
        <v>169</v>
      </c>
      <c r="D139">
        <v>160</v>
      </c>
      <c r="E139">
        <v>150</v>
      </c>
      <c r="F139">
        <v>143</v>
      </c>
      <c r="G139">
        <v>143</v>
      </c>
      <c r="H139">
        <v>140</v>
      </c>
      <c r="I139">
        <v>144</v>
      </c>
      <c r="J139">
        <v>152</v>
      </c>
      <c r="K139">
        <v>152</v>
      </c>
      <c r="L139">
        <v>143</v>
      </c>
      <c r="M139">
        <v>151</v>
      </c>
      <c r="N139">
        <v>152</v>
      </c>
      <c r="O139" s="173">
        <f t="shared" si="23"/>
        <v>149.91666666666666</v>
      </c>
      <c r="P139" s="173">
        <f t="shared" ref="P139:P152" si="24">SUM(O139-O138)</f>
        <v>-13.583333333333343</v>
      </c>
      <c r="Q139" s="177">
        <f t="shared" ref="Q139:Q152" si="25">SUM(P139/O138)</f>
        <v>-8.3078491335372123E-2</v>
      </c>
    </row>
    <row r="140" spans="1:17" x14ac:dyDescent="0.2">
      <c r="B140" t="s">
        <v>451</v>
      </c>
      <c r="C140">
        <v>144</v>
      </c>
      <c r="D140">
        <v>141</v>
      </c>
      <c r="E140">
        <v>140</v>
      </c>
      <c r="F140">
        <v>142</v>
      </c>
      <c r="G140">
        <v>138</v>
      </c>
      <c r="H140">
        <v>143</v>
      </c>
      <c r="I140">
        <v>143</v>
      </c>
      <c r="J140">
        <v>152</v>
      </c>
      <c r="K140">
        <v>157</v>
      </c>
      <c r="L140">
        <v>162</v>
      </c>
      <c r="M140">
        <v>167</v>
      </c>
      <c r="N140">
        <v>172</v>
      </c>
      <c r="O140" s="173">
        <f t="shared" si="23"/>
        <v>150.08333333333334</v>
      </c>
      <c r="P140" s="173">
        <f t="shared" si="24"/>
        <v>0.16666666666668561</v>
      </c>
      <c r="Q140" s="177">
        <f t="shared" si="25"/>
        <v>1.1117287381880085E-3</v>
      </c>
    </row>
    <row r="141" spans="1:17" x14ac:dyDescent="0.2">
      <c r="B141" t="s">
        <v>267</v>
      </c>
      <c r="C141">
        <v>175</v>
      </c>
      <c r="D141">
        <v>144</v>
      </c>
      <c r="E141">
        <v>144</v>
      </c>
      <c r="F141">
        <v>144</v>
      </c>
      <c r="G141">
        <v>153</v>
      </c>
      <c r="H141">
        <v>153</v>
      </c>
      <c r="I141">
        <v>153</v>
      </c>
      <c r="J141">
        <v>153</v>
      </c>
      <c r="K141">
        <v>153</v>
      </c>
      <c r="L141">
        <v>162</v>
      </c>
      <c r="M141">
        <v>167</v>
      </c>
      <c r="N141">
        <v>172</v>
      </c>
      <c r="O141" s="173">
        <f t="shared" si="23"/>
        <v>156.08333333333334</v>
      </c>
      <c r="P141" s="173">
        <f t="shared" si="24"/>
        <v>6</v>
      </c>
      <c r="Q141" s="177">
        <f t="shared" si="25"/>
        <v>3.9977790116601887E-2</v>
      </c>
    </row>
    <row r="142" spans="1:17" x14ac:dyDescent="0.2">
      <c r="B142" t="s">
        <v>266</v>
      </c>
      <c r="C142">
        <v>189</v>
      </c>
      <c r="D142">
        <v>147</v>
      </c>
      <c r="E142">
        <v>150</v>
      </c>
      <c r="F142">
        <v>149</v>
      </c>
      <c r="G142">
        <v>143</v>
      </c>
      <c r="H142">
        <v>144</v>
      </c>
      <c r="I142">
        <v>145</v>
      </c>
      <c r="J142">
        <v>150</v>
      </c>
      <c r="K142">
        <v>156</v>
      </c>
      <c r="L142">
        <v>156</v>
      </c>
      <c r="M142">
        <v>137</v>
      </c>
      <c r="N142">
        <v>137</v>
      </c>
      <c r="O142" s="173">
        <f t="shared" si="23"/>
        <v>150.25</v>
      </c>
      <c r="P142" s="173">
        <f t="shared" si="24"/>
        <v>-5.8333333333333428</v>
      </c>
      <c r="Q142" s="177">
        <f t="shared" si="25"/>
        <v>-3.7373198077949872E-2</v>
      </c>
    </row>
    <row r="143" spans="1:17" x14ac:dyDescent="0.2">
      <c r="B143" t="s">
        <v>287</v>
      </c>
      <c r="C143">
        <v>121</v>
      </c>
      <c r="D143">
        <v>120</v>
      </c>
      <c r="E143">
        <v>127</v>
      </c>
      <c r="F143">
        <v>130</v>
      </c>
      <c r="G143">
        <v>134</v>
      </c>
      <c r="H143">
        <v>143</v>
      </c>
      <c r="I143">
        <v>142</v>
      </c>
      <c r="J143">
        <v>138</v>
      </c>
      <c r="K143">
        <v>139</v>
      </c>
      <c r="L143">
        <v>146</v>
      </c>
      <c r="M143">
        <v>148</v>
      </c>
      <c r="N143">
        <v>147</v>
      </c>
      <c r="O143" s="173">
        <f t="shared" si="23"/>
        <v>136.25</v>
      </c>
      <c r="P143" s="173">
        <f t="shared" si="24"/>
        <v>-14</v>
      </c>
      <c r="Q143" s="177">
        <f t="shared" si="25"/>
        <v>-9.3178036605657238E-2</v>
      </c>
    </row>
    <row r="144" spans="1:17" x14ac:dyDescent="0.2">
      <c r="B144" t="s">
        <v>297</v>
      </c>
      <c r="C144">
        <v>146</v>
      </c>
      <c r="D144">
        <v>146</v>
      </c>
      <c r="E144">
        <v>146</v>
      </c>
      <c r="F144">
        <v>152</v>
      </c>
      <c r="G144">
        <v>150</v>
      </c>
      <c r="H144">
        <v>141</v>
      </c>
      <c r="I144">
        <v>136</v>
      </c>
      <c r="J144">
        <v>139</v>
      </c>
      <c r="K144">
        <v>141</v>
      </c>
      <c r="L144">
        <v>149</v>
      </c>
      <c r="M144">
        <v>155</v>
      </c>
      <c r="N144">
        <v>142</v>
      </c>
      <c r="O144" s="173">
        <f t="shared" si="23"/>
        <v>145.25</v>
      </c>
      <c r="P144" s="173">
        <f t="shared" si="24"/>
        <v>9</v>
      </c>
      <c r="Q144" s="177">
        <f t="shared" si="25"/>
        <v>6.6055045871559637E-2</v>
      </c>
    </row>
    <row r="145" spans="1:17" x14ac:dyDescent="0.2">
      <c r="B145" t="s">
        <v>300</v>
      </c>
      <c r="C145">
        <v>148</v>
      </c>
      <c r="D145">
        <v>149</v>
      </c>
      <c r="E145">
        <v>149</v>
      </c>
      <c r="F145">
        <v>151</v>
      </c>
      <c r="G145">
        <v>139</v>
      </c>
      <c r="H145">
        <v>141</v>
      </c>
      <c r="I145">
        <v>136</v>
      </c>
      <c r="J145">
        <v>148</v>
      </c>
      <c r="K145">
        <v>146</v>
      </c>
      <c r="L145">
        <v>210</v>
      </c>
      <c r="M145">
        <v>211</v>
      </c>
      <c r="N145">
        <v>152</v>
      </c>
      <c r="O145" s="173">
        <f t="shared" si="23"/>
        <v>156.66666666666666</v>
      </c>
      <c r="P145" s="173">
        <f t="shared" si="24"/>
        <v>11.416666666666657</v>
      </c>
      <c r="Q145" s="177">
        <f t="shared" si="25"/>
        <v>7.8600114744692987E-2</v>
      </c>
    </row>
    <row r="146" spans="1:17" x14ac:dyDescent="0.2">
      <c r="B146" t="s">
        <v>301</v>
      </c>
      <c r="C146">
        <v>146</v>
      </c>
      <c r="D146">
        <v>150</v>
      </c>
      <c r="E146">
        <v>146</v>
      </c>
      <c r="F146">
        <v>146</v>
      </c>
      <c r="G146">
        <v>114</v>
      </c>
      <c r="H146">
        <v>99</v>
      </c>
      <c r="I146">
        <v>169</v>
      </c>
      <c r="J146">
        <v>145</v>
      </c>
      <c r="K146">
        <v>145</v>
      </c>
      <c r="L146">
        <v>145</v>
      </c>
      <c r="M146">
        <v>139</v>
      </c>
      <c r="N146">
        <v>138</v>
      </c>
      <c r="O146" s="173">
        <f t="shared" si="23"/>
        <v>140.16666666666666</v>
      </c>
      <c r="P146" s="173">
        <f t="shared" si="24"/>
        <v>-16.5</v>
      </c>
      <c r="Q146" s="177">
        <f t="shared" si="25"/>
        <v>-0.10531914893617023</v>
      </c>
    </row>
    <row r="147" spans="1:17" x14ac:dyDescent="0.2">
      <c r="B147" t="s">
        <v>302</v>
      </c>
      <c r="C147">
        <v>133</v>
      </c>
      <c r="D147">
        <v>135</v>
      </c>
      <c r="E147">
        <v>136</v>
      </c>
      <c r="F147">
        <v>143</v>
      </c>
      <c r="G147">
        <v>140</v>
      </c>
      <c r="H147">
        <v>144</v>
      </c>
      <c r="I147">
        <v>145</v>
      </c>
      <c r="J147">
        <v>144</v>
      </c>
      <c r="K147">
        <v>166</v>
      </c>
      <c r="L147">
        <v>162</v>
      </c>
      <c r="M147">
        <v>166</v>
      </c>
      <c r="N147">
        <v>161</v>
      </c>
      <c r="O147" s="173">
        <f t="shared" si="23"/>
        <v>147.91666666666666</v>
      </c>
      <c r="P147" s="173">
        <f t="shared" si="24"/>
        <v>7.75</v>
      </c>
      <c r="Q147" s="177">
        <f t="shared" si="25"/>
        <v>5.5291319857312726E-2</v>
      </c>
    </row>
    <row r="148" spans="1:17" x14ac:dyDescent="0.2">
      <c r="B148" t="s">
        <v>347</v>
      </c>
      <c r="C148">
        <v>159</v>
      </c>
      <c r="D148">
        <v>157</v>
      </c>
      <c r="E148">
        <v>154</v>
      </c>
      <c r="F148">
        <v>156</v>
      </c>
      <c r="G148">
        <v>155</v>
      </c>
      <c r="H148">
        <v>151</v>
      </c>
      <c r="I148">
        <v>152</v>
      </c>
      <c r="J148">
        <v>148</v>
      </c>
      <c r="K148">
        <v>152</v>
      </c>
      <c r="L148">
        <v>155</v>
      </c>
      <c r="M148">
        <v>161</v>
      </c>
      <c r="N148">
        <v>156</v>
      </c>
      <c r="O148" s="173">
        <f t="shared" si="23"/>
        <v>154.66666666666666</v>
      </c>
      <c r="P148" s="173">
        <f t="shared" si="24"/>
        <v>6.75</v>
      </c>
      <c r="Q148" s="177">
        <f t="shared" si="25"/>
        <v>4.5633802816901409E-2</v>
      </c>
    </row>
    <row r="149" spans="1:17" x14ac:dyDescent="0.2">
      <c r="B149" t="s">
        <v>370</v>
      </c>
      <c r="C149">
        <v>150</v>
      </c>
      <c r="D149">
        <v>158</v>
      </c>
      <c r="E149">
        <v>160</v>
      </c>
      <c r="F149">
        <v>142</v>
      </c>
      <c r="G149">
        <v>141</v>
      </c>
      <c r="H149">
        <v>138</v>
      </c>
      <c r="I149">
        <v>139</v>
      </c>
      <c r="J149">
        <v>136</v>
      </c>
      <c r="K149">
        <v>134</v>
      </c>
      <c r="L149">
        <v>142</v>
      </c>
      <c r="M149">
        <v>143</v>
      </c>
      <c r="N149">
        <v>135</v>
      </c>
      <c r="O149" s="173">
        <f t="shared" si="23"/>
        <v>143.16666666666666</v>
      </c>
      <c r="P149" s="173">
        <f t="shared" si="24"/>
        <v>-11.5</v>
      </c>
      <c r="Q149" s="177">
        <f t="shared" si="25"/>
        <v>-7.4353448275862072E-2</v>
      </c>
    </row>
    <row r="150" spans="1:17" x14ac:dyDescent="0.2">
      <c r="B150" t="s">
        <v>452</v>
      </c>
      <c r="C150">
        <v>137</v>
      </c>
      <c r="D150">
        <v>145</v>
      </c>
      <c r="E150">
        <v>146</v>
      </c>
      <c r="F150">
        <v>150</v>
      </c>
      <c r="G150">
        <v>146</v>
      </c>
      <c r="H150">
        <v>138</v>
      </c>
      <c r="I150">
        <v>137</v>
      </c>
      <c r="J150">
        <v>135</v>
      </c>
      <c r="K150">
        <v>138</v>
      </c>
      <c r="L150">
        <v>141</v>
      </c>
      <c r="M150">
        <v>147</v>
      </c>
      <c r="N150">
        <v>140</v>
      </c>
      <c r="O150" s="173">
        <f t="shared" si="23"/>
        <v>141.66666666666666</v>
      </c>
      <c r="P150" s="173">
        <f t="shared" si="24"/>
        <v>-1.5</v>
      </c>
      <c r="Q150" s="177">
        <f t="shared" si="25"/>
        <v>-1.0477299185098952E-2</v>
      </c>
    </row>
    <row r="151" spans="1:17" x14ac:dyDescent="0.2">
      <c r="B151" t="s">
        <v>487</v>
      </c>
      <c r="C151">
        <v>140</v>
      </c>
      <c r="D151">
        <v>137</v>
      </c>
      <c r="E151">
        <v>119</v>
      </c>
      <c r="F151">
        <v>113</v>
      </c>
      <c r="G151">
        <v>111</v>
      </c>
      <c r="H151">
        <v>112</v>
      </c>
      <c r="I151">
        <v>117</v>
      </c>
      <c r="J151">
        <v>109</v>
      </c>
      <c r="K151">
        <v>106</v>
      </c>
      <c r="L151">
        <v>117</v>
      </c>
      <c r="M151">
        <v>122</v>
      </c>
      <c r="N151">
        <v>124</v>
      </c>
      <c r="O151" s="173">
        <f t="shared" si="23"/>
        <v>118.91666666666667</v>
      </c>
      <c r="P151" s="173">
        <f t="shared" si="24"/>
        <v>-22.749999999999986</v>
      </c>
      <c r="Q151" s="177">
        <f t="shared" si="25"/>
        <v>-0.16058823529411756</v>
      </c>
    </row>
    <row r="152" spans="1:17" x14ac:dyDescent="0.2">
      <c r="B152" t="s">
        <v>561</v>
      </c>
      <c r="C152">
        <v>138</v>
      </c>
      <c r="D152">
        <v>145</v>
      </c>
      <c r="E152">
        <v>142</v>
      </c>
      <c r="F152">
        <v>146</v>
      </c>
      <c r="G152">
        <v>148</v>
      </c>
      <c r="H152">
        <v>149</v>
      </c>
      <c r="I152">
        <v>150</v>
      </c>
      <c r="J152">
        <v>147</v>
      </c>
      <c r="K152">
        <v>152</v>
      </c>
      <c r="L152">
        <v>159</v>
      </c>
      <c r="M152">
        <v>160</v>
      </c>
      <c r="N152">
        <v>157</v>
      </c>
      <c r="O152" s="173">
        <f t="shared" si="23"/>
        <v>149.41666666666666</v>
      </c>
      <c r="P152" s="173">
        <f t="shared" si="24"/>
        <v>30.499999999999986</v>
      </c>
      <c r="Q152" s="177">
        <f t="shared" si="25"/>
        <v>0.25648213034337758</v>
      </c>
    </row>
    <row r="153" spans="1:17" x14ac:dyDescent="0.2">
      <c r="B153" t="s">
        <v>660</v>
      </c>
      <c r="C153">
        <v>156</v>
      </c>
      <c r="D153">
        <v>161</v>
      </c>
      <c r="E153">
        <v>163</v>
      </c>
      <c r="F153">
        <v>164</v>
      </c>
      <c r="G153">
        <v>162</v>
      </c>
      <c r="H153">
        <v>158</v>
      </c>
      <c r="I153">
        <v>166</v>
      </c>
      <c r="J153">
        <v>166</v>
      </c>
      <c r="K153">
        <v>170</v>
      </c>
      <c r="L153">
        <v>164</v>
      </c>
      <c r="M153">
        <v>162</v>
      </c>
      <c r="N153">
        <v>160</v>
      </c>
      <c r="O153" s="173">
        <f t="shared" si="23"/>
        <v>162.66666666666666</v>
      </c>
      <c r="P153" s="173">
        <f>SUM(O153-O152)</f>
        <v>13.25</v>
      </c>
      <c r="Q153" s="177">
        <f>SUM(P153/O152)</f>
        <v>8.8678192972671502E-2</v>
      </c>
    </row>
    <row r="154" spans="1:17" x14ac:dyDescent="0.2">
      <c r="B154" t="s">
        <v>661</v>
      </c>
      <c r="C154">
        <v>156</v>
      </c>
      <c r="D154">
        <v>155</v>
      </c>
      <c r="E154">
        <v>149</v>
      </c>
      <c r="F154">
        <v>146</v>
      </c>
      <c r="G154">
        <v>149</v>
      </c>
      <c r="H154">
        <v>151</v>
      </c>
      <c r="I154">
        <v>151</v>
      </c>
      <c r="J154">
        <v>148</v>
      </c>
      <c r="K154">
        <v>155</v>
      </c>
      <c r="L154">
        <v>156</v>
      </c>
      <c r="M154">
        <v>153</v>
      </c>
      <c r="N154">
        <v>154</v>
      </c>
      <c r="O154" s="173">
        <f t="shared" si="23"/>
        <v>151.91666666666666</v>
      </c>
      <c r="P154" s="173">
        <f>SUM(O154-O153)</f>
        <v>-10.75</v>
      </c>
      <c r="Q154" s="177">
        <f>SUM(P154/O153)</f>
        <v>-6.6086065573770489E-2</v>
      </c>
    </row>
    <row r="155" spans="1:17" x14ac:dyDescent="0.2">
      <c r="O155" s="173"/>
      <c r="P155" s="173"/>
      <c r="Q155" s="177"/>
    </row>
    <row r="156" spans="1:17" ht="25.5" x14ac:dyDescent="0.2">
      <c r="A156" s="175" t="s">
        <v>461</v>
      </c>
      <c r="B156" s="176" t="s">
        <v>433</v>
      </c>
      <c r="C156" s="179" t="s">
        <v>434</v>
      </c>
      <c r="D156" s="179" t="s">
        <v>435</v>
      </c>
      <c r="E156" s="179" t="s">
        <v>436</v>
      </c>
      <c r="F156" s="179" t="s">
        <v>437</v>
      </c>
      <c r="G156" s="179" t="s">
        <v>438</v>
      </c>
      <c r="H156" s="179" t="s">
        <v>439</v>
      </c>
      <c r="I156" s="179" t="s">
        <v>440</v>
      </c>
      <c r="J156" s="179" t="s">
        <v>441</v>
      </c>
      <c r="K156" s="179" t="s">
        <v>442</v>
      </c>
      <c r="L156" s="179" t="s">
        <v>443</v>
      </c>
      <c r="M156" s="179" t="s">
        <v>444</v>
      </c>
      <c r="N156" s="179" t="s">
        <v>445</v>
      </c>
    </row>
    <row r="157" spans="1:17" x14ac:dyDescent="0.2">
      <c r="B157" t="s">
        <v>449</v>
      </c>
      <c r="C157">
        <v>88</v>
      </c>
      <c r="D157">
        <v>88</v>
      </c>
      <c r="E157">
        <v>91</v>
      </c>
      <c r="F157">
        <v>89</v>
      </c>
      <c r="G157">
        <v>92</v>
      </c>
      <c r="H157">
        <v>87</v>
      </c>
      <c r="I157">
        <v>92</v>
      </c>
      <c r="J157">
        <v>98</v>
      </c>
      <c r="K157">
        <v>100</v>
      </c>
      <c r="L157">
        <v>101</v>
      </c>
      <c r="M157">
        <v>101</v>
      </c>
      <c r="N157">
        <v>103</v>
      </c>
      <c r="O157" s="173">
        <f t="shared" ref="O157:O165" si="26">SUM(C157:N157)/12</f>
        <v>94.166666666666671</v>
      </c>
      <c r="P157" s="173"/>
    </row>
    <row r="158" spans="1:17" x14ac:dyDescent="0.2">
      <c r="B158" t="s">
        <v>450</v>
      </c>
      <c r="C158">
        <v>99</v>
      </c>
      <c r="D158">
        <v>99</v>
      </c>
      <c r="E158">
        <v>93</v>
      </c>
      <c r="F158">
        <v>96</v>
      </c>
      <c r="G158">
        <v>87</v>
      </c>
      <c r="H158">
        <v>98</v>
      </c>
      <c r="I158">
        <v>92</v>
      </c>
      <c r="J158">
        <v>97</v>
      </c>
      <c r="K158">
        <v>96</v>
      </c>
      <c r="L158">
        <v>96</v>
      </c>
      <c r="M158">
        <v>99</v>
      </c>
      <c r="N158">
        <v>104</v>
      </c>
      <c r="O158" s="173">
        <f t="shared" si="26"/>
        <v>96.333333333333329</v>
      </c>
      <c r="P158" s="173">
        <f t="shared" ref="P158:P171" si="27">SUM(O158-O157)</f>
        <v>2.1666666666666572</v>
      </c>
      <c r="Q158" s="177">
        <f t="shared" ref="Q158:Q171" si="28">SUM(P158/O157)</f>
        <v>2.3008849557522023E-2</v>
      </c>
    </row>
    <row r="159" spans="1:17" x14ac:dyDescent="0.2">
      <c r="B159" t="s">
        <v>451</v>
      </c>
      <c r="C159">
        <v>103</v>
      </c>
      <c r="D159">
        <v>108</v>
      </c>
      <c r="E159">
        <v>99</v>
      </c>
      <c r="F159">
        <v>108</v>
      </c>
      <c r="G159">
        <v>104</v>
      </c>
      <c r="H159">
        <v>89</v>
      </c>
      <c r="I159">
        <v>81</v>
      </c>
      <c r="J159">
        <v>73</v>
      </c>
      <c r="K159">
        <v>71</v>
      </c>
      <c r="L159">
        <v>75</v>
      </c>
      <c r="M159">
        <v>110</v>
      </c>
      <c r="N159">
        <v>120</v>
      </c>
      <c r="O159" s="173">
        <f t="shared" si="26"/>
        <v>95.083333333333329</v>
      </c>
      <c r="P159" s="173">
        <f t="shared" si="27"/>
        <v>-1.25</v>
      </c>
      <c r="Q159" s="177">
        <f t="shared" si="28"/>
        <v>-1.2975778546712804E-2</v>
      </c>
    </row>
    <row r="160" spans="1:17" x14ac:dyDescent="0.2">
      <c r="B160" t="s">
        <v>267</v>
      </c>
      <c r="C160">
        <v>75</v>
      </c>
      <c r="D160">
        <v>134</v>
      </c>
      <c r="E160">
        <v>85</v>
      </c>
      <c r="F160">
        <v>85</v>
      </c>
      <c r="G160">
        <v>86</v>
      </c>
      <c r="H160">
        <v>89</v>
      </c>
      <c r="I160">
        <v>85</v>
      </c>
      <c r="J160">
        <v>85</v>
      </c>
      <c r="K160">
        <v>85</v>
      </c>
      <c r="L160">
        <v>85</v>
      </c>
      <c r="M160">
        <v>85</v>
      </c>
      <c r="N160">
        <v>85</v>
      </c>
      <c r="O160" s="173">
        <f t="shared" si="26"/>
        <v>88.666666666666671</v>
      </c>
      <c r="P160" s="173">
        <f t="shared" si="27"/>
        <v>-6.4166666666666572</v>
      </c>
      <c r="Q160" s="177">
        <f t="shared" si="28"/>
        <v>-6.7484662576687018E-2</v>
      </c>
    </row>
    <row r="161" spans="1:17" x14ac:dyDescent="0.2">
      <c r="B161" t="s">
        <v>266</v>
      </c>
      <c r="C161">
        <v>107</v>
      </c>
      <c r="D161">
        <v>90</v>
      </c>
      <c r="E161">
        <v>90</v>
      </c>
      <c r="F161">
        <v>91</v>
      </c>
      <c r="G161">
        <v>89</v>
      </c>
      <c r="H161">
        <v>89</v>
      </c>
      <c r="I161">
        <v>87</v>
      </c>
      <c r="J161">
        <v>83</v>
      </c>
      <c r="K161">
        <v>79</v>
      </c>
      <c r="L161">
        <v>83</v>
      </c>
      <c r="M161">
        <v>84</v>
      </c>
      <c r="N161">
        <v>86</v>
      </c>
      <c r="O161" s="173">
        <f t="shared" si="26"/>
        <v>88.166666666666671</v>
      </c>
      <c r="P161" s="173">
        <f t="shared" si="27"/>
        <v>-0.5</v>
      </c>
      <c r="Q161" s="177">
        <f t="shared" si="28"/>
        <v>-5.6390977443609019E-3</v>
      </c>
    </row>
    <row r="162" spans="1:17" x14ac:dyDescent="0.2">
      <c r="B162" t="s">
        <v>287</v>
      </c>
      <c r="C162">
        <v>94</v>
      </c>
      <c r="D162">
        <v>94</v>
      </c>
      <c r="E162">
        <v>95</v>
      </c>
      <c r="F162">
        <v>92</v>
      </c>
      <c r="G162">
        <v>92</v>
      </c>
      <c r="H162">
        <v>91</v>
      </c>
      <c r="I162">
        <v>93</v>
      </c>
      <c r="J162">
        <v>90</v>
      </c>
      <c r="K162">
        <v>87</v>
      </c>
      <c r="L162">
        <v>86</v>
      </c>
      <c r="M162">
        <v>86</v>
      </c>
      <c r="N162">
        <v>85</v>
      </c>
      <c r="O162" s="173">
        <f t="shared" si="26"/>
        <v>90.416666666666671</v>
      </c>
      <c r="P162" s="173">
        <f t="shared" si="27"/>
        <v>2.25</v>
      </c>
      <c r="Q162" s="177">
        <f t="shared" si="28"/>
        <v>2.5519848771266538E-2</v>
      </c>
    </row>
    <row r="163" spans="1:17" x14ac:dyDescent="0.2">
      <c r="B163" t="s">
        <v>297</v>
      </c>
      <c r="C163">
        <v>88</v>
      </c>
      <c r="D163">
        <v>90</v>
      </c>
      <c r="E163">
        <v>90</v>
      </c>
      <c r="F163">
        <v>93</v>
      </c>
      <c r="G163">
        <v>90</v>
      </c>
      <c r="H163">
        <v>89</v>
      </c>
      <c r="I163">
        <v>112</v>
      </c>
      <c r="J163">
        <v>108</v>
      </c>
      <c r="K163">
        <v>112</v>
      </c>
      <c r="L163">
        <v>113</v>
      </c>
      <c r="M163">
        <v>109</v>
      </c>
      <c r="N163">
        <v>108</v>
      </c>
      <c r="O163" s="173">
        <f t="shared" si="26"/>
        <v>100.16666666666667</v>
      </c>
      <c r="P163" s="173">
        <f t="shared" si="27"/>
        <v>9.75</v>
      </c>
      <c r="Q163" s="177">
        <f t="shared" si="28"/>
        <v>0.10783410138248847</v>
      </c>
    </row>
    <row r="164" spans="1:17" x14ac:dyDescent="0.2">
      <c r="B164" t="s">
        <v>300</v>
      </c>
      <c r="C164">
        <v>107</v>
      </c>
      <c r="D164">
        <v>106</v>
      </c>
      <c r="E164">
        <v>105</v>
      </c>
      <c r="F164">
        <v>96</v>
      </c>
      <c r="G164">
        <v>99</v>
      </c>
      <c r="H164">
        <v>101</v>
      </c>
      <c r="I164">
        <v>103</v>
      </c>
      <c r="J164">
        <v>103</v>
      </c>
      <c r="K164">
        <v>100</v>
      </c>
      <c r="L164">
        <v>113</v>
      </c>
      <c r="M164">
        <v>118</v>
      </c>
      <c r="N164">
        <v>104</v>
      </c>
      <c r="O164" s="173">
        <f t="shared" si="26"/>
        <v>104.58333333333333</v>
      </c>
      <c r="P164" s="173">
        <f t="shared" si="27"/>
        <v>4.4166666666666572</v>
      </c>
      <c r="Q164" s="177">
        <f t="shared" si="28"/>
        <v>4.4093178036605563E-2</v>
      </c>
    </row>
    <row r="165" spans="1:17" x14ac:dyDescent="0.2">
      <c r="B165" t="s">
        <v>301</v>
      </c>
      <c r="C165">
        <v>106</v>
      </c>
      <c r="D165">
        <v>102</v>
      </c>
      <c r="E165">
        <v>105</v>
      </c>
      <c r="F165">
        <v>103</v>
      </c>
      <c r="G165">
        <v>103</v>
      </c>
      <c r="H165">
        <v>103</v>
      </c>
      <c r="I165">
        <v>99</v>
      </c>
      <c r="J165">
        <v>98</v>
      </c>
      <c r="K165">
        <v>100</v>
      </c>
      <c r="L165">
        <v>101</v>
      </c>
      <c r="M165">
        <v>100</v>
      </c>
      <c r="N165">
        <v>103</v>
      </c>
      <c r="O165" s="173">
        <f t="shared" si="26"/>
        <v>101.91666666666667</v>
      </c>
      <c r="P165" s="173">
        <f t="shared" si="27"/>
        <v>-2.6666666666666572</v>
      </c>
      <c r="Q165" s="177">
        <f t="shared" si="28"/>
        <v>-2.5498007968127401E-2</v>
      </c>
    </row>
    <row r="166" spans="1:17" x14ac:dyDescent="0.2">
      <c r="B166" t="s">
        <v>302</v>
      </c>
      <c r="C166">
        <v>96</v>
      </c>
      <c r="D166">
        <v>95</v>
      </c>
      <c r="E166">
        <v>92</v>
      </c>
      <c r="F166">
        <v>93</v>
      </c>
      <c r="G166">
        <v>90</v>
      </c>
      <c r="H166">
        <v>90</v>
      </c>
      <c r="I166">
        <v>90</v>
      </c>
      <c r="J166">
        <v>90</v>
      </c>
      <c r="K166">
        <v>91</v>
      </c>
      <c r="L166">
        <v>90</v>
      </c>
      <c r="M166">
        <v>75</v>
      </c>
      <c r="N166">
        <v>74</v>
      </c>
      <c r="O166" s="173">
        <f>SUM(C166:N166)/12</f>
        <v>88.833333333333329</v>
      </c>
      <c r="P166" s="173">
        <f t="shared" si="27"/>
        <v>-13.083333333333343</v>
      </c>
      <c r="Q166" s="177">
        <f t="shared" si="28"/>
        <v>-0.12837285363859371</v>
      </c>
    </row>
    <row r="167" spans="1:17" x14ac:dyDescent="0.2">
      <c r="B167" t="s">
        <v>347</v>
      </c>
      <c r="C167">
        <v>73</v>
      </c>
      <c r="D167">
        <v>73</v>
      </c>
      <c r="E167">
        <v>68</v>
      </c>
      <c r="F167">
        <v>69</v>
      </c>
      <c r="G167">
        <v>70</v>
      </c>
      <c r="H167">
        <v>77</v>
      </c>
      <c r="I167">
        <v>71</v>
      </c>
      <c r="J167">
        <v>74</v>
      </c>
      <c r="K167">
        <v>74</v>
      </c>
      <c r="L167">
        <v>72</v>
      </c>
      <c r="N167">
        <v>93</v>
      </c>
      <c r="O167" s="173">
        <f>SUM(C167:N167)/11</f>
        <v>74</v>
      </c>
      <c r="P167" s="173">
        <f t="shared" si="27"/>
        <v>-14.833333333333329</v>
      </c>
      <c r="Q167" s="177">
        <f t="shared" si="28"/>
        <v>-0.16697936210131328</v>
      </c>
    </row>
    <row r="168" spans="1:17" x14ac:dyDescent="0.2">
      <c r="B168" t="s">
        <v>370</v>
      </c>
      <c r="C168">
        <v>95</v>
      </c>
      <c r="D168">
        <v>93</v>
      </c>
      <c r="E168">
        <v>89</v>
      </c>
      <c r="F168">
        <v>84</v>
      </c>
      <c r="G168">
        <v>84</v>
      </c>
      <c r="H168">
        <v>86</v>
      </c>
      <c r="I168">
        <v>87</v>
      </c>
      <c r="J168">
        <v>84</v>
      </c>
      <c r="K168">
        <v>86</v>
      </c>
      <c r="L168">
        <v>89</v>
      </c>
      <c r="M168">
        <v>91</v>
      </c>
      <c r="N168">
        <v>96</v>
      </c>
      <c r="O168" s="173">
        <f t="shared" ref="O168:O173" si="29">SUM(C168:N168)/12</f>
        <v>88.666666666666671</v>
      </c>
      <c r="P168" s="173">
        <f t="shared" si="27"/>
        <v>14.666666666666671</v>
      </c>
      <c r="Q168" s="177">
        <f t="shared" si="28"/>
        <v>0.19819819819819826</v>
      </c>
    </row>
    <row r="169" spans="1:17" x14ac:dyDescent="0.2">
      <c r="B169" t="s">
        <v>452</v>
      </c>
      <c r="C169">
        <v>100</v>
      </c>
      <c r="D169">
        <v>99</v>
      </c>
      <c r="E169">
        <v>98</v>
      </c>
      <c r="F169">
        <v>99</v>
      </c>
      <c r="G169">
        <v>98</v>
      </c>
      <c r="H169">
        <v>99</v>
      </c>
      <c r="I169">
        <v>101</v>
      </c>
      <c r="J169">
        <v>102</v>
      </c>
      <c r="K169">
        <v>101</v>
      </c>
      <c r="L169">
        <v>102</v>
      </c>
      <c r="M169">
        <v>103</v>
      </c>
      <c r="N169">
        <v>107</v>
      </c>
      <c r="O169" s="173">
        <f t="shared" si="29"/>
        <v>100.75</v>
      </c>
      <c r="P169" s="173">
        <f t="shared" si="27"/>
        <v>12.083333333333329</v>
      </c>
      <c r="Q169" s="177">
        <f t="shared" si="28"/>
        <v>0.13627819548872175</v>
      </c>
    </row>
    <row r="170" spans="1:17" x14ac:dyDescent="0.2">
      <c r="B170" t="s">
        <v>487</v>
      </c>
      <c r="C170">
        <v>108</v>
      </c>
      <c r="D170">
        <v>108</v>
      </c>
      <c r="E170">
        <v>109</v>
      </c>
      <c r="F170">
        <v>106</v>
      </c>
      <c r="G170">
        <v>102</v>
      </c>
      <c r="H170">
        <v>100</v>
      </c>
      <c r="I170">
        <v>97</v>
      </c>
      <c r="J170">
        <v>94</v>
      </c>
      <c r="K170">
        <v>98</v>
      </c>
      <c r="L170">
        <v>100</v>
      </c>
      <c r="M170">
        <v>105</v>
      </c>
      <c r="N170">
        <v>101</v>
      </c>
      <c r="O170" s="173">
        <f t="shared" si="29"/>
        <v>102.33333333333333</v>
      </c>
      <c r="P170" s="173">
        <f t="shared" si="27"/>
        <v>1.5833333333333286</v>
      </c>
      <c r="Q170" s="177">
        <f t="shared" si="28"/>
        <v>1.5715467328370508E-2</v>
      </c>
    </row>
    <row r="171" spans="1:17" x14ac:dyDescent="0.2">
      <c r="B171" t="s">
        <v>561</v>
      </c>
      <c r="C171">
        <v>100</v>
      </c>
      <c r="D171">
        <v>100</v>
      </c>
      <c r="E171">
        <v>101</v>
      </c>
      <c r="F171">
        <v>94</v>
      </c>
      <c r="G171">
        <v>95</v>
      </c>
      <c r="H171">
        <v>102</v>
      </c>
      <c r="I171">
        <v>97</v>
      </c>
      <c r="J171">
        <v>96</v>
      </c>
      <c r="K171">
        <v>95</v>
      </c>
      <c r="L171">
        <v>97</v>
      </c>
      <c r="M171">
        <v>98</v>
      </c>
      <c r="N171">
        <v>97</v>
      </c>
      <c r="O171" s="173">
        <f t="shared" si="29"/>
        <v>97.666666666666671</v>
      </c>
      <c r="P171" s="173">
        <f t="shared" si="27"/>
        <v>-4.6666666666666572</v>
      </c>
      <c r="Q171" s="177">
        <f t="shared" si="28"/>
        <v>-4.5602605863192092E-2</v>
      </c>
    </row>
    <row r="172" spans="1:17" x14ac:dyDescent="0.2">
      <c r="B172" t="s">
        <v>660</v>
      </c>
      <c r="C172">
        <v>92</v>
      </c>
      <c r="D172">
        <v>97</v>
      </c>
      <c r="E172">
        <v>96</v>
      </c>
      <c r="F172">
        <v>95</v>
      </c>
      <c r="G172">
        <v>94</v>
      </c>
      <c r="H172">
        <v>93</v>
      </c>
      <c r="I172">
        <v>92</v>
      </c>
      <c r="J172">
        <v>94</v>
      </c>
      <c r="K172">
        <v>96</v>
      </c>
      <c r="L172">
        <v>90</v>
      </c>
      <c r="M172">
        <v>89</v>
      </c>
      <c r="N172">
        <v>85</v>
      </c>
      <c r="O172" s="173">
        <f t="shared" si="29"/>
        <v>92.75</v>
      </c>
      <c r="P172" s="173">
        <f>SUM(O172-O171)</f>
        <v>-4.9166666666666714</v>
      </c>
      <c r="Q172" s="177">
        <f>SUM(P172/O171)</f>
        <v>-5.0341296928327693E-2</v>
      </c>
    </row>
    <row r="173" spans="1:17" x14ac:dyDescent="0.2">
      <c r="B173" t="s">
        <v>661</v>
      </c>
      <c r="C173">
        <v>84</v>
      </c>
      <c r="D173">
        <v>85</v>
      </c>
      <c r="E173">
        <v>82</v>
      </c>
      <c r="F173">
        <v>86</v>
      </c>
      <c r="G173">
        <v>87</v>
      </c>
      <c r="H173">
        <v>88</v>
      </c>
      <c r="I173">
        <v>89</v>
      </c>
      <c r="J173">
        <v>89</v>
      </c>
      <c r="K173">
        <v>90</v>
      </c>
      <c r="L173">
        <v>88</v>
      </c>
      <c r="M173">
        <v>90</v>
      </c>
      <c r="N173">
        <v>90</v>
      </c>
      <c r="O173" s="173">
        <f t="shared" si="29"/>
        <v>87.333333333333329</v>
      </c>
      <c r="P173" s="173">
        <f>SUM(O173-O172)</f>
        <v>-5.4166666666666714</v>
      </c>
      <c r="Q173" s="177">
        <f>SUM(P173/O172)</f>
        <v>-5.8400718778077322E-2</v>
      </c>
    </row>
    <row r="174" spans="1:17" x14ac:dyDescent="0.2">
      <c r="O174" s="173"/>
      <c r="P174" s="173"/>
      <c r="Q174" s="177"/>
    </row>
    <row r="175" spans="1:17" x14ac:dyDescent="0.2">
      <c r="A175" s="178"/>
      <c r="B175" s="178"/>
      <c r="C175" s="178"/>
      <c r="D175" s="178"/>
      <c r="E175" s="178"/>
      <c r="F175" s="178"/>
      <c r="G175" s="178"/>
      <c r="H175" s="178"/>
      <c r="I175" s="178"/>
      <c r="J175" s="178"/>
      <c r="K175" s="178"/>
      <c r="L175" s="178"/>
      <c r="M175" s="178"/>
      <c r="N175" s="178"/>
      <c r="O175" s="178"/>
      <c r="P175" s="178"/>
      <c r="Q175" s="178"/>
    </row>
    <row r="176" spans="1:17" ht="25.5" x14ac:dyDescent="0.2">
      <c r="A176" s="175" t="s">
        <v>462</v>
      </c>
      <c r="B176" s="176" t="s">
        <v>433</v>
      </c>
      <c r="C176" s="179" t="s">
        <v>434</v>
      </c>
      <c r="D176" s="179" t="s">
        <v>435</v>
      </c>
      <c r="E176" s="179" t="s">
        <v>436</v>
      </c>
      <c r="F176" s="179" t="s">
        <v>437</v>
      </c>
      <c r="G176" s="179" t="s">
        <v>438</v>
      </c>
      <c r="H176" s="179" t="s">
        <v>439</v>
      </c>
      <c r="I176" s="179" t="s">
        <v>440</v>
      </c>
      <c r="J176" s="179" t="s">
        <v>441</v>
      </c>
      <c r="K176" s="179" t="s">
        <v>442</v>
      </c>
      <c r="L176" s="179" t="s">
        <v>443</v>
      </c>
      <c r="M176" s="179" t="s">
        <v>444</v>
      </c>
      <c r="N176" s="179" t="s">
        <v>445</v>
      </c>
    </row>
    <row r="177" spans="2:17" x14ac:dyDescent="0.2">
      <c r="B177" t="s">
        <v>449</v>
      </c>
      <c r="C177">
        <v>69</v>
      </c>
      <c r="D177">
        <v>69</v>
      </c>
      <c r="E177">
        <v>69</v>
      </c>
      <c r="F177">
        <v>69</v>
      </c>
      <c r="G177">
        <v>56</v>
      </c>
      <c r="H177">
        <v>58</v>
      </c>
      <c r="I177">
        <v>57</v>
      </c>
      <c r="J177">
        <v>58</v>
      </c>
      <c r="K177">
        <v>56</v>
      </c>
      <c r="L177">
        <v>62</v>
      </c>
      <c r="M177">
        <v>57</v>
      </c>
      <c r="N177">
        <v>58</v>
      </c>
      <c r="O177" s="173">
        <f t="shared" ref="O177:O193" si="30">SUM(C177:N177)/12</f>
        <v>61.5</v>
      </c>
      <c r="P177" s="173"/>
    </row>
    <row r="178" spans="2:17" x14ac:dyDescent="0.2">
      <c r="B178" t="s">
        <v>450</v>
      </c>
      <c r="C178">
        <v>52</v>
      </c>
      <c r="D178">
        <v>56</v>
      </c>
      <c r="E178">
        <v>51</v>
      </c>
      <c r="F178">
        <v>57</v>
      </c>
      <c r="G178">
        <v>60</v>
      </c>
      <c r="H178">
        <v>58</v>
      </c>
      <c r="I178">
        <v>62</v>
      </c>
      <c r="J178">
        <v>63</v>
      </c>
      <c r="K178">
        <v>59</v>
      </c>
      <c r="L178">
        <v>59</v>
      </c>
      <c r="M178">
        <v>62</v>
      </c>
      <c r="N178">
        <v>60</v>
      </c>
      <c r="O178" s="173">
        <f t="shared" si="30"/>
        <v>58.25</v>
      </c>
      <c r="P178" s="173">
        <f t="shared" ref="P178:P191" si="31">SUM(O178-O177)</f>
        <v>-3.25</v>
      </c>
      <c r="Q178" s="177">
        <f t="shared" ref="Q178:Q191" si="32">SUM(P178/O177)</f>
        <v>-5.2845528455284556E-2</v>
      </c>
    </row>
    <row r="179" spans="2:17" x14ac:dyDescent="0.2">
      <c r="B179" t="s">
        <v>451</v>
      </c>
      <c r="C179">
        <v>60</v>
      </c>
      <c r="D179">
        <v>55</v>
      </c>
      <c r="E179">
        <v>57</v>
      </c>
      <c r="F179">
        <v>55</v>
      </c>
      <c r="G179">
        <v>55</v>
      </c>
      <c r="H179">
        <v>52</v>
      </c>
      <c r="I179">
        <v>60</v>
      </c>
      <c r="J179">
        <v>72</v>
      </c>
      <c r="K179">
        <v>77</v>
      </c>
      <c r="L179">
        <v>82</v>
      </c>
      <c r="M179">
        <v>87</v>
      </c>
      <c r="N179">
        <v>92</v>
      </c>
      <c r="O179" s="173">
        <f t="shared" si="30"/>
        <v>67</v>
      </c>
      <c r="P179" s="173">
        <f t="shared" si="31"/>
        <v>8.75</v>
      </c>
      <c r="Q179" s="177">
        <f t="shared" si="32"/>
        <v>0.15021459227467812</v>
      </c>
    </row>
    <row r="180" spans="2:17" x14ac:dyDescent="0.2">
      <c r="B180" t="s">
        <v>267</v>
      </c>
      <c r="C180">
        <v>87</v>
      </c>
      <c r="D180">
        <v>86</v>
      </c>
      <c r="E180">
        <v>88</v>
      </c>
      <c r="F180">
        <v>86</v>
      </c>
      <c r="G180">
        <v>86</v>
      </c>
      <c r="H180">
        <v>86</v>
      </c>
      <c r="I180">
        <v>86</v>
      </c>
      <c r="J180">
        <v>86</v>
      </c>
      <c r="K180">
        <v>86</v>
      </c>
      <c r="L180">
        <v>86</v>
      </c>
      <c r="M180">
        <v>86</v>
      </c>
      <c r="N180">
        <v>86</v>
      </c>
      <c r="O180" s="173">
        <f t="shared" si="30"/>
        <v>86.25</v>
      </c>
      <c r="P180" s="173">
        <f t="shared" si="31"/>
        <v>19.25</v>
      </c>
      <c r="Q180" s="177">
        <f t="shared" si="32"/>
        <v>0.28731343283582089</v>
      </c>
    </row>
    <row r="181" spans="2:17" x14ac:dyDescent="0.2">
      <c r="B181" t="s">
        <v>266</v>
      </c>
      <c r="C181">
        <v>93</v>
      </c>
      <c r="D181">
        <v>80</v>
      </c>
      <c r="E181">
        <v>78</v>
      </c>
      <c r="F181">
        <v>78</v>
      </c>
      <c r="G181">
        <v>84</v>
      </c>
      <c r="H181">
        <v>90</v>
      </c>
      <c r="I181">
        <v>88</v>
      </c>
      <c r="J181">
        <v>92</v>
      </c>
      <c r="K181">
        <v>94</v>
      </c>
      <c r="L181">
        <v>84</v>
      </c>
      <c r="M181">
        <v>84</v>
      </c>
      <c r="N181">
        <v>85</v>
      </c>
      <c r="O181" s="173">
        <f t="shared" si="30"/>
        <v>85.833333333333329</v>
      </c>
      <c r="P181" s="173">
        <f t="shared" si="31"/>
        <v>-0.4166666666666714</v>
      </c>
      <c r="Q181" s="177">
        <f t="shared" si="32"/>
        <v>-4.8309178743961905E-3</v>
      </c>
    </row>
    <row r="182" spans="2:17" x14ac:dyDescent="0.2">
      <c r="B182" t="s">
        <v>287</v>
      </c>
      <c r="C182">
        <v>80</v>
      </c>
      <c r="D182">
        <v>84</v>
      </c>
      <c r="E182">
        <v>85</v>
      </c>
      <c r="F182">
        <v>88</v>
      </c>
      <c r="G182">
        <v>90</v>
      </c>
      <c r="H182">
        <v>95</v>
      </c>
      <c r="I182">
        <v>101</v>
      </c>
      <c r="J182">
        <v>94</v>
      </c>
      <c r="K182">
        <v>90</v>
      </c>
      <c r="L182">
        <v>93</v>
      </c>
      <c r="M182">
        <v>101</v>
      </c>
      <c r="N182">
        <v>107</v>
      </c>
      <c r="O182" s="173">
        <f t="shared" si="30"/>
        <v>92.333333333333329</v>
      </c>
      <c r="P182" s="173">
        <f t="shared" si="31"/>
        <v>6.5</v>
      </c>
      <c r="Q182" s="177">
        <f t="shared" si="32"/>
        <v>7.5728155339805828E-2</v>
      </c>
    </row>
    <row r="183" spans="2:17" x14ac:dyDescent="0.2">
      <c r="B183" t="s">
        <v>297</v>
      </c>
      <c r="C183">
        <v>112</v>
      </c>
      <c r="D183">
        <v>110</v>
      </c>
      <c r="E183">
        <v>108</v>
      </c>
      <c r="F183">
        <v>113</v>
      </c>
      <c r="G183">
        <v>112</v>
      </c>
      <c r="H183">
        <v>108</v>
      </c>
      <c r="I183">
        <v>107</v>
      </c>
      <c r="J183">
        <v>123</v>
      </c>
      <c r="K183">
        <v>114</v>
      </c>
      <c r="L183">
        <v>116</v>
      </c>
      <c r="M183">
        <v>117</v>
      </c>
      <c r="N183">
        <v>121</v>
      </c>
      <c r="O183" s="173">
        <f t="shared" si="30"/>
        <v>113.41666666666667</v>
      </c>
      <c r="P183" s="173">
        <f t="shared" si="31"/>
        <v>21.083333333333343</v>
      </c>
      <c r="Q183" s="177">
        <f t="shared" si="32"/>
        <v>0.22833935018050552</v>
      </c>
    </row>
    <row r="184" spans="2:17" x14ac:dyDescent="0.2">
      <c r="B184" t="s">
        <v>300</v>
      </c>
      <c r="C184">
        <v>121</v>
      </c>
      <c r="D184">
        <v>122</v>
      </c>
      <c r="E184">
        <v>122</v>
      </c>
      <c r="F184">
        <v>126</v>
      </c>
      <c r="G184">
        <v>124</v>
      </c>
      <c r="H184">
        <v>122</v>
      </c>
      <c r="I184">
        <v>124</v>
      </c>
      <c r="J184">
        <v>122</v>
      </c>
      <c r="K184">
        <v>121</v>
      </c>
      <c r="L184">
        <v>115</v>
      </c>
      <c r="M184">
        <v>114</v>
      </c>
      <c r="N184">
        <v>121</v>
      </c>
      <c r="O184" s="173">
        <f t="shared" si="30"/>
        <v>121.16666666666667</v>
      </c>
      <c r="P184" s="173">
        <f t="shared" si="31"/>
        <v>7.75</v>
      </c>
      <c r="Q184" s="177">
        <f t="shared" si="32"/>
        <v>6.8332108743570902E-2</v>
      </c>
    </row>
    <row r="185" spans="2:17" x14ac:dyDescent="0.2">
      <c r="B185" t="s">
        <v>301</v>
      </c>
      <c r="C185">
        <v>99</v>
      </c>
      <c r="D185">
        <v>100</v>
      </c>
      <c r="E185">
        <v>107</v>
      </c>
      <c r="F185">
        <v>104</v>
      </c>
      <c r="G185">
        <v>103</v>
      </c>
      <c r="H185">
        <v>100</v>
      </c>
      <c r="I185">
        <v>101</v>
      </c>
      <c r="J185">
        <v>98</v>
      </c>
      <c r="K185">
        <v>92</v>
      </c>
      <c r="L185">
        <v>85</v>
      </c>
      <c r="M185">
        <v>92</v>
      </c>
      <c r="N185">
        <v>88</v>
      </c>
      <c r="O185" s="173">
        <f t="shared" si="30"/>
        <v>97.416666666666671</v>
      </c>
      <c r="P185" s="173">
        <f t="shared" si="31"/>
        <v>-23.75</v>
      </c>
      <c r="Q185" s="177">
        <f t="shared" si="32"/>
        <v>-0.19601100412654746</v>
      </c>
    </row>
    <row r="186" spans="2:17" x14ac:dyDescent="0.2">
      <c r="B186" t="s">
        <v>302</v>
      </c>
      <c r="C186">
        <v>79</v>
      </c>
      <c r="D186">
        <v>82</v>
      </c>
      <c r="E186">
        <v>82</v>
      </c>
      <c r="F186">
        <v>78</v>
      </c>
      <c r="G186">
        <v>79</v>
      </c>
      <c r="H186">
        <v>83</v>
      </c>
      <c r="I186">
        <v>84</v>
      </c>
      <c r="J186">
        <v>90</v>
      </c>
      <c r="K186">
        <v>95</v>
      </c>
      <c r="L186">
        <v>94</v>
      </c>
      <c r="M186">
        <v>94</v>
      </c>
      <c r="N186">
        <v>72</v>
      </c>
      <c r="O186" s="173">
        <f t="shared" si="30"/>
        <v>84.333333333333329</v>
      </c>
      <c r="P186" s="173">
        <f t="shared" si="31"/>
        <v>-13.083333333333343</v>
      </c>
      <c r="Q186" s="177">
        <f t="shared" si="32"/>
        <v>-0.13430282292557752</v>
      </c>
    </row>
    <row r="187" spans="2:17" x14ac:dyDescent="0.2">
      <c r="B187" t="s">
        <v>347</v>
      </c>
      <c r="C187">
        <v>84</v>
      </c>
      <c r="D187">
        <v>87</v>
      </c>
      <c r="E187">
        <v>92</v>
      </c>
      <c r="F187">
        <v>97</v>
      </c>
      <c r="G187">
        <v>101</v>
      </c>
      <c r="H187">
        <v>100</v>
      </c>
      <c r="I187">
        <v>85</v>
      </c>
      <c r="J187">
        <v>86</v>
      </c>
      <c r="K187">
        <v>90</v>
      </c>
      <c r="L187">
        <v>89</v>
      </c>
      <c r="M187">
        <v>83</v>
      </c>
      <c r="N187">
        <v>82</v>
      </c>
      <c r="O187" s="173">
        <f t="shared" si="30"/>
        <v>89.666666666666671</v>
      </c>
      <c r="P187" s="173">
        <f t="shared" si="31"/>
        <v>5.3333333333333428</v>
      </c>
      <c r="Q187" s="177">
        <f t="shared" si="32"/>
        <v>6.324110671936771E-2</v>
      </c>
    </row>
    <row r="188" spans="2:17" x14ac:dyDescent="0.2">
      <c r="B188" t="s">
        <v>370</v>
      </c>
      <c r="C188">
        <v>87</v>
      </c>
      <c r="D188">
        <v>86</v>
      </c>
      <c r="E188">
        <v>87</v>
      </c>
      <c r="F188">
        <v>77</v>
      </c>
      <c r="G188">
        <v>76</v>
      </c>
      <c r="H188">
        <v>73</v>
      </c>
      <c r="I188">
        <v>69</v>
      </c>
      <c r="J188">
        <v>75</v>
      </c>
      <c r="K188">
        <v>74</v>
      </c>
      <c r="L188">
        <v>74</v>
      </c>
      <c r="M188">
        <v>72</v>
      </c>
      <c r="N188">
        <v>73</v>
      </c>
      <c r="O188" s="173">
        <f t="shared" si="30"/>
        <v>76.916666666666671</v>
      </c>
      <c r="P188" s="173">
        <f t="shared" si="31"/>
        <v>-12.75</v>
      </c>
      <c r="Q188" s="177">
        <f t="shared" si="32"/>
        <v>-0.14219330855018586</v>
      </c>
    </row>
    <row r="189" spans="2:17" x14ac:dyDescent="0.2">
      <c r="B189" t="s">
        <v>452</v>
      </c>
      <c r="C189">
        <v>74</v>
      </c>
      <c r="D189">
        <v>71</v>
      </c>
      <c r="E189">
        <v>77</v>
      </c>
      <c r="F189">
        <v>76</v>
      </c>
      <c r="G189">
        <v>78</v>
      </c>
      <c r="H189">
        <v>71</v>
      </c>
      <c r="I189">
        <v>69</v>
      </c>
      <c r="J189">
        <v>64</v>
      </c>
      <c r="K189">
        <v>62</v>
      </c>
      <c r="L189">
        <v>55</v>
      </c>
      <c r="M189">
        <v>55</v>
      </c>
      <c r="N189">
        <v>54</v>
      </c>
      <c r="O189" s="173">
        <f t="shared" si="30"/>
        <v>67.166666666666671</v>
      </c>
      <c r="P189" s="173">
        <f t="shared" si="31"/>
        <v>-9.75</v>
      </c>
      <c r="Q189" s="177">
        <f t="shared" si="32"/>
        <v>-0.12676056338028169</v>
      </c>
    </row>
    <row r="190" spans="2:17" x14ac:dyDescent="0.2">
      <c r="B190" t="s">
        <v>487</v>
      </c>
      <c r="C190">
        <v>59</v>
      </c>
      <c r="D190">
        <v>57</v>
      </c>
      <c r="E190">
        <v>54</v>
      </c>
      <c r="F190">
        <v>53</v>
      </c>
      <c r="G190">
        <v>56</v>
      </c>
      <c r="H190">
        <v>62</v>
      </c>
      <c r="I190">
        <v>55</v>
      </c>
      <c r="J190">
        <v>50</v>
      </c>
      <c r="K190">
        <v>49</v>
      </c>
      <c r="L190">
        <v>51</v>
      </c>
      <c r="M190">
        <v>52</v>
      </c>
      <c r="N190">
        <v>50</v>
      </c>
      <c r="O190" s="173">
        <f t="shared" si="30"/>
        <v>54</v>
      </c>
      <c r="P190" s="173">
        <f t="shared" si="31"/>
        <v>-13.166666666666671</v>
      </c>
      <c r="Q190" s="177">
        <f t="shared" si="32"/>
        <v>-0.19602977667493801</v>
      </c>
    </row>
    <row r="191" spans="2:17" x14ac:dyDescent="0.2">
      <c r="B191" t="s">
        <v>561</v>
      </c>
      <c r="C191">
        <v>54</v>
      </c>
      <c r="D191">
        <v>57</v>
      </c>
      <c r="E191">
        <v>63</v>
      </c>
      <c r="F191">
        <v>64</v>
      </c>
      <c r="G191">
        <v>67</v>
      </c>
      <c r="H191">
        <v>65</v>
      </c>
      <c r="I191">
        <v>65</v>
      </c>
      <c r="J191">
        <v>65</v>
      </c>
      <c r="K191">
        <v>67</v>
      </c>
      <c r="L191">
        <v>66</v>
      </c>
      <c r="M191">
        <v>66</v>
      </c>
      <c r="N191">
        <v>69</v>
      </c>
      <c r="O191" s="173">
        <f t="shared" si="30"/>
        <v>64</v>
      </c>
      <c r="P191" s="173">
        <f t="shared" si="31"/>
        <v>10</v>
      </c>
      <c r="Q191" s="177">
        <f t="shared" si="32"/>
        <v>0.18518518518518517</v>
      </c>
    </row>
    <row r="192" spans="2:17" x14ac:dyDescent="0.2">
      <c r="B192" t="s">
        <v>660</v>
      </c>
      <c r="C192">
        <v>65</v>
      </c>
      <c r="D192">
        <v>59</v>
      </c>
      <c r="E192">
        <v>54</v>
      </c>
      <c r="F192">
        <v>55</v>
      </c>
      <c r="G192">
        <v>55</v>
      </c>
      <c r="H192">
        <v>58</v>
      </c>
      <c r="I192">
        <v>57</v>
      </c>
      <c r="J192">
        <v>57</v>
      </c>
      <c r="K192">
        <v>58</v>
      </c>
      <c r="L192">
        <v>58</v>
      </c>
      <c r="M192">
        <v>67</v>
      </c>
      <c r="N192">
        <v>66</v>
      </c>
      <c r="O192" s="173">
        <f t="shared" si="30"/>
        <v>59.083333333333336</v>
      </c>
      <c r="P192" s="173">
        <f>SUM(O192-O191)</f>
        <v>-4.9166666666666643</v>
      </c>
      <c r="Q192" s="177">
        <f>SUM(P192/O191)</f>
        <v>-7.682291666666663E-2</v>
      </c>
    </row>
    <row r="193" spans="1:17" x14ac:dyDescent="0.2">
      <c r="B193" t="s">
        <v>661</v>
      </c>
      <c r="C193">
        <v>66</v>
      </c>
      <c r="D193">
        <v>61</v>
      </c>
      <c r="E193">
        <v>46</v>
      </c>
      <c r="F193">
        <v>43</v>
      </c>
      <c r="G193">
        <v>41</v>
      </c>
      <c r="H193">
        <v>37</v>
      </c>
      <c r="I193">
        <v>40</v>
      </c>
      <c r="J193">
        <v>39</v>
      </c>
      <c r="K193">
        <v>38</v>
      </c>
      <c r="L193">
        <v>37</v>
      </c>
      <c r="M193">
        <v>37</v>
      </c>
      <c r="N193">
        <v>34</v>
      </c>
      <c r="O193" s="173">
        <f t="shared" si="30"/>
        <v>43.25</v>
      </c>
      <c r="P193" s="173">
        <f>SUM(O193-O192)</f>
        <v>-15.833333333333336</v>
      </c>
      <c r="Q193" s="177">
        <f>SUM(P193/O192)</f>
        <v>-0.26798307475317351</v>
      </c>
    </row>
    <row r="194" spans="1:17" x14ac:dyDescent="0.2">
      <c r="O194" s="173"/>
      <c r="P194" s="173"/>
      <c r="Q194" s="177"/>
    </row>
    <row r="195" spans="1:17" ht="25.5" x14ac:dyDescent="0.2">
      <c r="A195" s="175" t="s">
        <v>463</v>
      </c>
      <c r="B195" s="176" t="s">
        <v>433</v>
      </c>
      <c r="C195" s="179" t="s">
        <v>434</v>
      </c>
      <c r="D195" s="179" t="s">
        <v>435</v>
      </c>
      <c r="E195" s="179" t="s">
        <v>436</v>
      </c>
      <c r="F195" s="179" t="s">
        <v>437</v>
      </c>
      <c r="G195" s="179" t="s">
        <v>438</v>
      </c>
      <c r="H195" s="179" t="s">
        <v>439</v>
      </c>
      <c r="I195" s="179" t="s">
        <v>440</v>
      </c>
      <c r="J195" s="179" t="s">
        <v>441</v>
      </c>
      <c r="K195" s="179" t="s">
        <v>442</v>
      </c>
      <c r="L195" s="179" t="s">
        <v>443</v>
      </c>
      <c r="M195" s="179" t="s">
        <v>444</v>
      </c>
      <c r="N195" s="179" t="s">
        <v>445</v>
      </c>
    </row>
    <row r="196" spans="1:17" x14ac:dyDescent="0.2">
      <c r="B196" t="s">
        <v>449</v>
      </c>
      <c r="C196">
        <v>92</v>
      </c>
      <c r="D196">
        <v>91</v>
      </c>
      <c r="E196">
        <v>97</v>
      </c>
      <c r="F196">
        <v>94</v>
      </c>
      <c r="G196">
        <v>87</v>
      </c>
      <c r="H196">
        <v>85</v>
      </c>
      <c r="I196">
        <v>91</v>
      </c>
      <c r="J196">
        <v>89</v>
      </c>
      <c r="K196">
        <v>92</v>
      </c>
      <c r="L196">
        <v>92</v>
      </c>
      <c r="M196">
        <v>94</v>
      </c>
      <c r="N196">
        <v>92</v>
      </c>
      <c r="O196" s="173">
        <f t="shared" ref="O196:O212" si="33">SUM(C196:N196)/12</f>
        <v>91.333333333333329</v>
      </c>
      <c r="P196" s="173"/>
    </row>
    <row r="197" spans="1:17" x14ac:dyDescent="0.2">
      <c r="B197" t="s">
        <v>450</v>
      </c>
      <c r="C197">
        <v>90</v>
      </c>
      <c r="D197">
        <v>98</v>
      </c>
      <c r="E197">
        <v>89</v>
      </c>
      <c r="F197">
        <v>84</v>
      </c>
      <c r="G197">
        <v>84</v>
      </c>
      <c r="H197">
        <v>78</v>
      </c>
      <c r="I197">
        <v>83</v>
      </c>
      <c r="J197">
        <v>87</v>
      </c>
      <c r="K197">
        <v>81</v>
      </c>
      <c r="L197">
        <v>81</v>
      </c>
      <c r="M197">
        <v>77</v>
      </c>
      <c r="N197">
        <v>79</v>
      </c>
      <c r="O197" s="173">
        <f t="shared" si="33"/>
        <v>84.25</v>
      </c>
      <c r="P197" s="173">
        <f t="shared" ref="P197:P210" si="34">SUM(O197-O196)</f>
        <v>-7.0833333333333286</v>
      </c>
      <c r="Q197" s="177">
        <f t="shared" ref="Q197:Q210" si="35">SUM(P197/O196)</f>
        <v>-7.7554744525547392E-2</v>
      </c>
    </row>
    <row r="198" spans="1:17" x14ac:dyDescent="0.2">
      <c r="B198" t="s">
        <v>451</v>
      </c>
      <c r="C198">
        <v>81</v>
      </c>
      <c r="D198">
        <v>78</v>
      </c>
      <c r="E198">
        <v>73</v>
      </c>
      <c r="F198">
        <v>77</v>
      </c>
      <c r="G198">
        <v>86</v>
      </c>
      <c r="H198">
        <v>96</v>
      </c>
      <c r="I198">
        <v>84</v>
      </c>
      <c r="J198">
        <v>72</v>
      </c>
      <c r="K198">
        <v>74</v>
      </c>
      <c r="L198">
        <v>76</v>
      </c>
      <c r="M198">
        <v>78</v>
      </c>
      <c r="N198">
        <v>88</v>
      </c>
      <c r="O198" s="173">
        <f t="shared" si="33"/>
        <v>80.25</v>
      </c>
      <c r="P198" s="173">
        <f t="shared" si="34"/>
        <v>-4</v>
      </c>
      <c r="Q198" s="177">
        <f t="shared" si="35"/>
        <v>-4.7477744807121663E-2</v>
      </c>
    </row>
    <row r="199" spans="1:17" x14ac:dyDescent="0.2">
      <c r="B199" t="s">
        <v>267</v>
      </c>
      <c r="C199">
        <v>98</v>
      </c>
      <c r="D199">
        <v>98</v>
      </c>
      <c r="E199">
        <v>100</v>
      </c>
      <c r="F199">
        <v>93</v>
      </c>
      <c r="G199">
        <v>93</v>
      </c>
      <c r="H199">
        <v>93</v>
      </c>
      <c r="I199">
        <v>93</v>
      </c>
      <c r="J199">
        <v>93</v>
      </c>
      <c r="K199">
        <v>93</v>
      </c>
      <c r="L199">
        <v>93</v>
      </c>
      <c r="M199">
        <v>93</v>
      </c>
      <c r="N199">
        <v>93</v>
      </c>
      <c r="O199" s="173">
        <f t="shared" si="33"/>
        <v>94.416666666666671</v>
      </c>
      <c r="P199" s="173">
        <f t="shared" si="34"/>
        <v>14.166666666666671</v>
      </c>
      <c r="Q199" s="177">
        <f t="shared" si="35"/>
        <v>0.17653167185877472</v>
      </c>
    </row>
    <row r="200" spans="1:17" x14ac:dyDescent="0.2">
      <c r="B200" t="s">
        <v>266</v>
      </c>
      <c r="C200">
        <v>106</v>
      </c>
      <c r="D200">
        <v>90</v>
      </c>
      <c r="E200">
        <v>91</v>
      </c>
      <c r="F200">
        <v>91</v>
      </c>
      <c r="G200">
        <v>87</v>
      </c>
      <c r="H200">
        <v>80</v>
      </c>
      <c r="I200">
        <v>76</v>
      </c>
      <c r="J200">
        <v>78</v>
      </c>
      <c r="K200">
        <v>83</v>
      </c>
      <c r="L200">
        <v>92</v>
      </c>
      <c r="M200">
        <v>99</v>
      </c>
      <c r="N200">
        <v>101</v>
      </c>
      <c r="O200" s="173">
        <f t="shared" si="33"/>
        <v>89.5</v>
      </c>
      <c r="P200" s="173">
        <f t="shared" si="34"/>
        <v>-4.9166666666666714</v>
      </c>
      <c r="Q200" s="177">
        <f t="shared" si="35"/>
        <v>-5.2074139452780277E-2</v>
      </c>
    </row>
    <row r="201" spans="1:17" x14ac:dyDescent="0.2">
      <c r="B201" t="s">
        <v>287</v>
      </c>
      <c r="C201">
        <v>93</v>
      </c>
      <c r="D201">
        <v>90</v>
      </c>
      <c r="E201">
        <v>91</v>
      </c>
      <c r="F201">
        <v>94</v>
      </c>
      <c r="G201">
        <v>91</v>
      </c>
      <c r="H201">
        <v>91</v>
      </c>
      <c r="I201">
        <v>93</v>
      </c>
      <c r="J201">
        <v>90</v>
      </c>
      <c r="K201">
        <v>83</v>
      </c>
      <c r="L201">
        <v>84</v>
      </c>
      <c r="M201">
        <v>79</v>
      </c>
      <c r="N201">
        <v>77</v>
      </c>
      <c r="O201" s="173">
        <f t="shared" si="33"/>
        <v>88</v>
      </c>
      <c r="P201" s="173">
        <f t="shared" si="34"/>
        <v>-1.5</v>
      </c>
      <c r="Q201" s="177">
        <f t="shared" si="35"/>
        <v>-1.6759776536312849E-2</v>
      </c>
    </row>
    <row r="202" spans="1:17" x14ac:dyDescent="0.2">
      <c r="B202" t="s">
        <v>297</v>
      </c>
      <c r="C202">
        <v>79</v>
      </c>
      <c r="D202">
        <v>78</v>
      </c>
      <c r="E202">
        <v>74</v>
      </c>
      <c r="F202">
        <v>69</v>
      </c>
      <c r="G202">
        <v>66</v>
      </c>
      <c r="H202">
        <v>62</v>
      </c>
      <c r="I202">
        <v>59</v>
      </c>
      <c r="J202">
        <v>64</v>
      </c>
      <c r="K202">
        <v>59</v>
      </c>
      <c r="L202">
        <v>55</v>
      </c>
      <c r="M202">
        <v>61</v>
      </c>
      <c r="N202">
        <v>64</v>
      </c>
      <c r="O202" s="173">
        <f t="shared" si="33"/>
        <v>65.833333333333329</v>
      </c>
      <c r="P202" s="173">
        <f t="shared" si="34"/>
        <v>-22.166666666666671</v>
      </c>
      <c r="Q202" s="177">
        <f t="shared" si="35"/>
        <v>-0.25189393939393945</v>
      </c>
    </row>
    <row r="203" spans="1:17" x14ac:dyDescent="0.2">
      <c r="B203" t="s">
        <v>300</v>
      </c>
      <c r="C203">
        <v>68</v>
      </c>
      <c r="D203">
        <v>67</v>
      </c>
      <c r="E203">
        <v>71</v>
      </c>
      <c r="F203">
        <v>72</v>
      </c>
      <c r="G203">
        <v>81</v>
      </c>
      <c r="H203">
        <v>85</v>
      </c>
      <c r="I203">
        <v>85</v>
      </c>
      <c r="J203">
        <v>85</v>
      </c>
      <c r="K203">
        <v>73</v>
      </c>
      <c r="L203">
        <v>82</v>
      </c>
      <c r="M203">
        <v>78</v>
      </c>
      <c r="N203">
        <v>80</v>
      </c>
      <c r="O203" s="173">
        <f t="shared" si="33"/>
        <v>77.25</v>
      </c>
      <c r="P203" s="173">
        <f t="shared" si="34"/>
        <v>11.416666666666671</v>
      </c>
      <c r="Q203" s="177">
        <f t="shared" si="35"/>
        <v>0.17341772151898743</v>
      </c>
    </row>
    <row r="204" spans="1:17" x14ac:dyDescent="0.2">
      <c r="B204" t="s">
        <v>301</v>
      </c>
      <c r="C204">
        <v>77</v>
      </c>
      <c r="D204">
        <v>75</v>
      </c>
      <c r="E204">
        <v>74</v>
      </c>
      <c r="F204">
        <v>75</v>
      </c>
      <c r="G204">
        <v>75</v>
      </c>
      <c r="H204">
        <v>77</v>
      </c>
      <c r="I204">
        <v>81</v>
      </c>
      <c r="J204">
        <v>79</v>
      </c>
      <c r="K204">
        <v>79</v>
      </c>
      <c r="L204">
        <v>79</v>
      </c>
      <c r="M204">
        <v>80</v>
      </c>
      <c r="N204">
        <v>76</v>
      </c>
      <c r="O204" s="173">
        <f t="shared" si="33"/>
        <v>77.25</v>
      </c>
      <c r="P204" s="173">
        <f t="shared" si="34"/>
        <v>0</v>
      </c>
      <c r="Q204" s="177">
        <f t="shared" si="35"/>
        <v>0</v>
      </c>
    </row>
    <row r="205" spans="1:17" x14ac:dyDescent="0.2">
      <c r="B205" t="s">
        <v>302</v>
      </c>
      <c r="C205">
        <v>68</v>
      </c>
      <c r="D205">
        <v>66</v>
      </c>
      <c r="E205">
        <v>65</v>
      </c>
      <c r="F205">
        <v>61</v>
      </c>
      <c r="G205">
        <v>59</v>
      </c>
      <c r="H205">
        <v>57</v>
      </c>
      <c r="I205">
        <v>55</v>
      </c>
      <c r="J205">
        <v>56</v>
      </c>
      <c r="K205">
        <v>58</v>
      </c>
      <c r="L205">
        <v>60</v>
      </c>
      <c r="M205">
        <v>61</v>
      </c>
      <c r="N205">
        <v>62</v>
      </c>
      <c r="O205" s="173">
        <f t="shared" si="33"/>
        <v>60.666666666666664</v>
      </c>
      <c r="P205" s="173">
        <f t="shared" si="34"/>
        <v>-16.583333333333336</v>
      </c>
      <c r="Q205" s="177">
        <f t="shared" si="35"/>
        <v>-0.21467098166127296</v>
      </c>
    </row>
    <row r="206" spans="1:17" x14ac:dyDescent="0.2">
      <c r="B206" t="s">
        <v>347</v>
      </c>
      <c r="C206">
        <v>58</v>
      </c>
      <c r="D206">
        <v>59</v>
      </c>
      <c r="E206">
        <v>55</v>
      </c>
      <c r="F206">
        <v>68</v>
      </c>
      <c r="G206">
        <v>62</v>
      </c>
      <c r="H206">
        <v>58</v>
      </c>
      <c r="I206">
        <v>55</v>
      </c>
      <c r="J206">
        <v>58</v>
      </c>
      <c r="K206">
        <v>59</v>
      </c>
      <c r="L206">
        <v>57</v>
      </c>
      <c r="M206">
        <v>52</v>
      </c>
      <c r="N206">
        <v>54</v>
      </c>
      <c r="O206" s="173">
        <f t="shared" si="33"/>
        <v>57.916666666666664</v>
      </c>
      <c r="P206" s="173">
        <f t="shared" si="34"/>
        <v>-2.75</v>
      </c>
      <c r="Q206" s="177">
        <f t="shared" si="35"/>
        <v>-4.5329670329670328E-2</v>
      </c>
    </row>
    <row r="207" spans="1:17" x14ac:dyDescent="0.2">
      <c r="B207" t="s">
        <v>370</v>
      </c>
      <c r="C207">
        <v>55</v>
      </c>
      <c r="D207">
        <v>55</v>
      </c>
      <c r="E207">
        <v>49</v>
      </c>
      <c r="F207">
        <v>51</v>
      </c>
      <c r="G207">
        <v>53</v>
      </c>
      <c r="H207">
        <v>57</v>
      </c>
      <c r="I207">
        <v>63</v>
      </c>
      <c r="J207">
        <v>65</v>
      </c>
      <c r="K207">
        <v>65</v>
      </c>
      <c r="L207">
        <v>61</v>
      </c>
      <c r="M207">
        <v>66</v>
      </c>
      <c r="N207">
        <v>63</v>
      </c>
      <c r="O207" s="173">
        <f t="shared" si="33"/>
        <v>58.583333333333336</v>
      </c>
      <c r="P207" s="173">
        <f t="shared" si="34"/>
        <v>0.6666666666666714</v>
      </c>
      <c r="Q207" s="177">
        <f t="shared" si="35"/>
        <v>1.1510791366906557E-2</v>
      </c>
    </row>
    <row r="208" spans="1:17" x14ac:dyDescent="0.2">
      <c r="B208" t="s">
        <v>452</v>
      </c>
      <c r="C208">
        <v>63</v>
      </c>
      <c r="D208">
        <v>66</v>
      </c>
      <c r="E208">
        <v>66</v>
      </c>
      <c r="F208">
        <v>59</v>
      </c>
      <c r="G208">
        <v>69</v>
      </c>
      <c r="H208">
        <v>72</v>
      </c>
      <c r="I208">
        <v>76</v>
      </c>
      <c r="J208">
        <v>75</v>
      </c>
      <c r="K208">
        <v>81</v>
      </c>
      <c r="L208">
        <v>82</v>
      </c>
      <c r="M208">
        <v>70</v>
      </c>
      <c r="N208">
        <v>80</v>
      </c>
      <c r="O208" s="173">
        <f t="shared" si="33"/>
        <v>71.583333333333329</v>
      </c>
      <c r="P208" s="173">
        <f t="shared" si="34"/>
        <v>12.999999999999993</v>
      </c>
      <c r="Q208" s="177">
        <f t="shared" si="35"/>
        <v>0.22190611664295862</v>
      </c>
    </row>
    <row r="209" spans="1:17" x14ac:dyDescent="0.2">
      <c r="B209" t="s">
        <v>487</v>
      </c>
      <c r="C209">
        <v>72</v>
      </c>
      <c r="D209">
        <v>71</v>
      </c>
      <c r="E209">
        <v>74</v>
      </c>
      <c r="F209">
        <v>75</v>
      </c>
      <c r="G209">
        <v>69</v>
      </c>
      <c r="H209">
        <v>74</v>
      </c>
      <c r="I209">
        <v>72</v>
      </c>
      <c r="J209">
        <v>74</v>
      </c>
      <c r="K209">
        <v>79</v>
      </c>
      <c r="L209">
        <v>82</v>
      </c>
      <c r="M209">
        <v>87</v>
      </c>
      <c r="N209">
        <v>87</v>
      </c>
      <c r="O209" s="173">
        <f t="shared" si="33"/>
        <v>76.333333333333329</v>
      </c>
      <c r="P209" s="173">
        <f t="shared" si="34"/>
        <v>4.75</v>
      </c>
      <c r="Q209" s="177">
        <f t="shared" si="35"/>
        <v>6.6356228172293363E-2</v>
      </c>
    </row>
    <row r="210" spans="1:17" x14ac:dyDescent="0.2">
      <c r="B210" t="s">
        <v>561</v>
      </c>
      <c r="C210">
        <v>94</v>
      </c>
      <c r="D210">
        <v>94</v>
      </c>
      <c r="E210">
        <v>101</v>
      </c>
      <c r="F210">
        <v>108</v>
      </c>
      <c r="G210">
        <v>108</v>
      </c>
      <c r="H210">
        <v>107</v>
      </c>
      <c r="I210">
        <v>98</v>
      </c>
      <c r="J210">
        <v>97</v>
      </c>
      <c r="K210">
        <v>96</v>
      </c>
      <c r="L210">
        <v>98</v>
      </c>
      <c r="M210">
        <v>100</v>
      </c>
      <c r="N210">
        <v>101</v>
      </c>
      <c r="O210" s="173">
        <f t="shared" si="33"/>
        <v>100.16666666666667</v>
      </c>
      <c r="P210" s="173">
        <f t="shared" si="34"/>
        <v>23.833333333333343</v>
      </c>
      <c r="Q210" s="177">
        <f t="shared" si="35"/>
        <v>0.31222707423580798</v>
      </c>
    </row>
    <row r="211" spans="1:17" x14ac:dyDescent="0.2">
      <c r="B211" t="s">
        <v>660</v>
      </c>
      <c r="C211">
        <v>101</v>
      </c>
      <c r="D211">
        <v>96</v>
      </c>
      <c r="E211">
        <v>102</v>
      </c>
      <c r="F211">
        <v>105</v>
      </c>
      <c r="G211">
        <v>103</v>
      </c>
      <c r="H211">
        <v>104</v>
      </c>
      <c r="I211">
        <v>101</v>
      </c>
      <c r="J211">
        <v>103</v>
      </c>
      <c r="K211">
        <v>94</v>
      </c>
      <c r="L211">
        <v>106</v>
      </c>
      <c r="M211">
        <v>101</v>
      </c>
      <c r="N211">
        <v>100</v>
      </c>
      <c r="O211" s="173">
        <f t="shared" si="33"/>
        <v>101.33333333333333</v>
      </c>
      <c r="P211" s="173">
        <f>SUM(O211-O210)</f>
        <v>1.1666666666666572</v>
      </c>
      <c r="Q211" s="177">
        <f>SUM(P211/O210)</f>
        <v>1.1647254575707059E-2</v>
      </c>
    </row>
    <row r="212" spans="1:17" x14ac:dyDescent="0.2">
      <c r="B212" t="s">
        <v>661</v>
      </c>
      <c r="C212">
        <v>95</v>
      </c>
      <c r="D212">
        <v>93</v>
      </c>
      <c r="E212">
        <v>93</v>
      </c>
      <c r="F212">
        <v>97</v>
      </c>
      <c r="G212">
        <v>93</v>
      </c>
      <c r="H212">
        <v>91</v>
      </c>
      <c r="I212">
        <v>92</v>
      </c>
      <c r="J212">
        <v>91</v>
      </c>
      <c r="K212">
        <v>87</v>
      </c>
      <c r="L212">
        <v>88</v>
      </c>
      <c r="M212">
        <v>86</v>
      </c>
      <c r="N212">
        <v>84</v>
      </c>
      <c r="O212" s="173">
        <f t="shared" si="33"/>
        <v>90.833333333333329</v>
      </c>
      <c r="P212" s="173">
        <f>SUM(O212-O211)</f>
        <v>-10.5</v>
      </c>
      <c r="Q212" s="177">
        <f>SUM(P212/O211)</f>
        <v>-0.10361842105263158</v>
      </c>
    </row>
    <row r="213" spans="1:17" x14ac:dyDescent="0.2">
      <c r="O213" s="173"/>
      <c r="P213" s="173"/>
      <c r="Q213" s="177"/>
    </row>
    <row r="214" spans="1:17" ht="25.5" x14ac:dyDescent="0.2">
      <c r="A214" s="175" t="s">
        <v>464</v>
      </c>
      <c r="B214" s="176" t="s">
        <v>433</v>
      </c>
      <c r="C214" s="179" t="s">
        <v>434</v>
      </c>
      <c r="D214" s="179" t="s">
        <v>435</v>
      </c>
      <c r="E214" s="179" t="s">
        <v>436</v>
      </c>
      <c r="F214" s="179" t="s">
        <v>437</v>
      </c>
      <c r="G214" s="179" t="s">
        <v>438</v>
      </c>
      <c r="H214" s="179" t="s">
        <v>439</v>
      </c>
      <c r="I214" s="179" t="s">
        <v>440</v>
      </c>
      <c r="J214" s="179" t="s">
        <v>441</v>
      </c>
      <c r="K214" s="179" t="s">
        <v>442</v>
      </c>
      <c r="L214" s="179" t="s">
        <v>443</v>
      </c>
      <c r="M214" s="179" t="s">
        <v>444</v>
      </c>
      <c r="N214" s="179" t="s">
        <v>445</v>
      </c>
    </row>
    <row r="215" spans="1:17" x14ac:dyDescent="0.2">
      <c r="B215" t="s">
        <v>449</v>
      </c>
      <c r="C215">
        <v>438</v>
      </c>
      <c r="D215">
        <v>444</v>
      </c>
      <c r="E215">
        <v>446</v>
      </c>
      <c r="F215">
        <v>441</v>
      </c>
      <c r="G215">
        <v>444</v>
      </c>
      <c r="H215">
        <v>449</v>
      </c>
      <c r="I215">
        <v>447</v>
      </c>
      <c r="J215">
        <v>460</v>
      </c>
      <c r="K215">
        <v>465</v>
      </c>
      <c r="L215">
        <v>463</v>
      </c>
      <c r="M215">
        <v>469</v>
      </c>
      <c r="N215">
        <v>478</v>
      </c>
      <c r="O215" s="173">
        <f t="shared" ref="O215:O231" si="36">SUM(C215:N215)/12</f>
        <v>453.66666666666669</v>
      </c>
      <c r="P215" s="173"/>
    </row>
    <row r="216" spans="1:17" x14ac:dyDescent="0.2">
      <c r="B216" t="s">
        <v>450</v>
      </c>
      <c r="C216">
        <v>474</v>
      </c>
      <c r="D216">
        <v>481</v>
      </c>
      <c r="E216">
        <v>491</v>
      </c>
      <c r="F216">
        <v>478</v>
      </c>
      <c r="G216">
        <v>472</v>
      </c>
      <c r="H216">
        <v>477</v>
      </c>
      <c r="I216">
        <v>476</v>
      </c>
      <c r="J216">
        <v>470</v>
      </c>
      <c r="K216">
        <v>467</v>
      </c>
      <c r="L216">
        <v>480</v>
      </c>
      <c r="M216">
        <v>461</v>
      </c>
      <c r="N216">
        <v>449</v>
      </c>
      <c r="O216" s="173">
        <f t="shared" si="36"/>
        <v>473</v>
      </c>
      <c r="P216" s="173">
        <f t="shared" ref="P216:P229" si="37">SUM(O216-O215)</f>
        <v>19.333333333333314</v>
      </c>
      <c r="Q216" s="177">
        <f t="shared" ref="Q216:Q229" si="38">SUM(P216/O215)</f>
        <v>4.261572373254955E-2</v>
      </c>
    </row>
    <row r="217" spans="1:17" x14ac:dyDescent="0.2">
      <c r="B217" t="s">
        <v>451</v>
      </c>
      <c r="C217">
        <v>463</v>
      </c>
      <c r="D217">
        <v>474</v>
      </c>
      <c r="E217">
        <v>480</v>
      </c>
      <c r="F217">
        <v>457</v>
      </c>
      <c r="G217">
        <v>459</v>
      </c>
      <c r="H217">
        <v>469</v>
      </c>
      <c r="I217">
        <v>460</v>
      </c>
      <c r="J217">
        <v>446</v>
      </c>
      <c r="K217">
        <v>457</v>
      </c>
      <c r="L217">
        <v>468</v>
      </c>
      <c r="M217">
        <v>479</v>
      </c>
      <c r="N217">
        <v>490</v>
      </c>
      <c r="O217" s="173">
        <f t="shared" si="36"/>
        <v>466.83333333333331</v>
      </c>
      <c r="P217" s="173">
        <f t="shared" si="37"/>
        <v>-6.1666666666666856</v>
      </c>
      <c r="Q217" s="177">
        <f t="shared" si="38"/>
        <v>-1.3037350246652613E-2</v>
      </c>
    </row>
    <row r="218" spans="1:17" x14ac:dyDescent="0.2">
      <c r="B218" t="s">
        <v>267</v>
      </c>
      <c r="C218">
        <v>537</v>
      </c>
      <c r="D218">
        <v>544</v>
      </c>
      <c r="E218">
        <v>514</v>
      </c>
      <c r="F218">
        <v>562</v>
      </c>
      <c r="G218">
        <v>557</v>
      </c>
      <c r="H218">
        <v>551</v>
      </c>
      <c r="I218">
        <v>545</v>
      </c>
      <c r="J218">
        <v>538</v>
      </c>
      <c r="K218">
        <v>525</v>
      </c>
      <c r="L218">
        <v>518</v>
      </c>
      <c r="M218">
        <v>502</v>
      </c>
      <c r="N218">
        <v>506</v>
      </c>
      <c r="O218" s="173">
        <f t="shared" si="36"/>
        <v>533.25</v>
      </c>
      <c r="P218" s="173">
        <f t="shared" si="37"/>
        <v>66.416666666666686</v>
      </c>
      <c r="Q218" s="177">
        <f t="shared" si="38"/>
        <v>0.14227061763655841</v>
      </c>
    </row>
    <row r="219" spans="1:17" x14ac:dyDescent="0.2">
      <c r="B219" t="s">
        <v>266</v>
      </c>
      <c r="C219">
        <v>519</v>
      </c>
      <c r="D219">
        <v>507</v>
      </c>
      <c r="E219">
        <v>516</v>
      </c>
      <c r="F219">
        <v>509</v>
      </c>
      <c r="G219">
        <v>495</v>
      </c>
      <c r="H219">
        <v>503</v>
      </c>
      <c r="I219">
        <v>484</v>
      </c>
      <c r="J219">
        <v>484</v>
      </c>
      <c r="K219">
        <v>477</v>
      </c>
      <c r="L219">
        <v>470</v>
      </c>
      <c r="M219">
        <v>474</v>
      </c>
      <c r="N219">
        <v>464</v>
      </c>
      <c r="O219" s="173">
        <f t="shared" si="36"/>
        <v>491.83333333333331</v>
      </c>
      <c r="P219" s="173">
        <f t="shared" si="37"/>
        <v>-41.416666666666686</v>
      </c>
      <c r="Q219" s="177">
        <f t="shared" si="38"/>
        <v>-7.7668385685263353E-2</v>
      </c>
    </row>
    <row r="220" spans="1:17" x14ac:dyDescent="0.2">
      <c r="B220" t="s">
        <v>287</v>
      </c>
      <c r="C220">
        <v>472</v>
      </c>
      <c r="D220">
        <v>489</v>
      </c>
      <c r="E220">
        <v>468</v>
      </c>
      <c r="F220">
        <v>461</v>
      </c>
      <c r="G220">
        <v>460</v>
      </c>
      <c r="H220">
        <v>449</v>
      </c>
      <c r="I220">
        <v>436</v>
      </c>
      <c r="J220">
        <v>442</v>
      </c>
      <c r="K220">
        <v>445</v>
      </c>
      <c r="L220">
        <v>458</v>
      </c>
      <c r="M220">
        <v>472</v>
      </c>
      <c r="N220">
        <v>480</v>
      </c>
      <c r="O220" s="173">
        <f t="shared" si="36"/>
        <v>461</v>
      </c>
      <c r="P220" s="173">
        <f t="shared" si="37"/>
        <v>-30.833333333333314</v>
      </c>
      <c r="Q220" s="177">
        <f t="shared" si="38"/>
        <v>-6.2690613351406271E-2</v>
      </c>
    </row>
    <row r="221" spans="1:17" x14ac:dyDescent="0.2">
      <c r="B221" t="s">
        <v>297</v>
      </c>
      <c r="C221">
        <v>478</v>
      </c>
      <c r="D221">
        <v>478</v>
      </c>
      <c r="E221">
        <v>474</v>
      </c>
      <c r="F221">
        <v>493</v>
      </c>
      <c r="G221">
        <v>488</v>
      </c>
      <c r="H221">
        <v>495</v>
      </c>
      <c r="I221">
        <v>507</v>
      </c>
      <c r="J221">
        <v>499</v>
      </c>
      <c r="K221">
        <v>500</v>
      </c>
      <c r="L221">
        <v>518</v>
      </c>
      <c r="M221">
        <v>540</v>
      </c>
      <c r="N221">
        <v>551</v>
      </c>
      <c r="O221" s="173">
        <f t="shared" si="36"/>
        <v>501.75</v>
      </c>
      <c r="P221" s="173">
        <f t="shared" si="37"/>
        <v>40.75</v>
      </c>
      <c r="Q221" s="177">
        <f t="shared" si="38"/>
        <v>8.8394793926247286E-2</v>
      </c>
    </row>
    <row r="222" spans="1:17" x14ac:dyDescent="0.2">
      <c r="B222" t="s">
        <v>300</v>
      </c>
      <c r="C222">
        <v>551</v>
      </c>
      <c r="D222">
        <v>536</v>
      </c>
      <c r="E222">
        <v>521</v>
      </c>
      <c r="F222">
        <v>522</v>
      </c>
      <c r="G222">
        <v>527</v>
      </c>
      <c r="H222">
        <v>545</v>
      </c>
      <c r="I222">
        <v>548</v>
      </c>
      <c r="J222">
        <v>549</v>
      </c>
      <c r="K222">
        <v>549</v>
      </c>
      <c r="L222">
        <v>650</v>
      </c>
      <c r="M222">
        <v>666</v>
      </c>
      <c r="N222">
        <v>591</v>
      </c>
      <c r="O222" s="173">
        <f t="shared" si="36"/>
        <v>562.91666666666663</v>
      </c>
      <c r="P222" s="173">
        <f t="shared" si="37"/>
        <v>61.166666666666629</v>
      </c>
      <c r="Q222" s="177">
        <f t="shared" si="38"/>
        <v>0.12190666002325187</v>
      </c>
    </row>
    <row r="223" spans="1:17" x14ac:dyDescent="0.2">
      <c r="B223" t="s">
        <v>301</v>
      </c>
      <c r="C223">
        <v>596</v>
      </c>
      <c r="D223">
        <v>617</v>
      </c>
      <c r="E223">
        <v>722</v>
      </c>
      <c r="F223">
        <v>657</v>
      </c>
      <c r="G223">
        <v>723</v>
      </c>
      <c r="H223">
        <v>717</v>
      </c>
      <c r="I223">
        <v>729</v>
      </c>
      <c r="J223">
        <v>730</v>
      </c>
      <c r="K223">
        <v>721</v>
      </c>
      <c r="L223">
        <v>721</v>
      </c>
      <c r="M223">
        <v>754</v>
      </c>
      <c r="N223">
        <v>770</v>
      </c>
      <c r="O223" s="173">
        <f t="shared" si="36"/>
        <v>704.75</v>
      </c>
      <c r="P223" s="173">
        <f t="shared" si="37"/>
        <v>141.83333333333337</v>
      </c>
      <c r="Q223" s="177">
        <f t="shared" si="38"/>
        <v>0.25196150999259814</v>
      </c>
    </row>
    <row r="224" spans="1:17" x14ac:dyDescent="0.2">
      <c r="B224" t="s">
        <v>302</v>
      </c>
      <c r="C224">
        <v>711</v>
      </c>
      <c r="D224">
        <v>710</v>
      </c>
      <c r="E224">
        <v>721</v>
      </c>
      <c r="F224">
        <v>726</v>
      </c>
      <c r="G224">
        <v>736</v>
      </c>
      <c r="H224">
        <v>731</v>
      </c>
      <c r="I224">
        <v>722</v>
      </c>
      <c r="J224">
        <v>719</v>
      </c>
      <c r="K224">
        <v>722</v>
      </c>
      <c r="L224">
        <v>750</v>
      </c>
      <c r="M224">
        <v>759</v>
      </c>
      <c r="N224">
        <v>764</v>
      </c>
      <c r="O224" s="173">
        <f t="shared" si="36"/>
        <v>730.91666666666663</v>
      </c>
      <c r="P224" s="173">
        <f t="shared" si="37"/>
        <v>26.166666666666629</v>
      </c>
      <c r="Q224" s="177">
        <f t="shared" si="38"/>
        <v>3.7129005557526254E-2</v>
      </c>
    </row>
    <row r="225" spans="1:17" x14ac:dyDescent="0.2">
      <c r="B225" t="s">
        <v>347</v>
      </c>
      <c r="C225">
        <v>750</v>
      </c>
      <c r="D225">
        <v>743</v>
      </c>
      <c r="E225">
        <v>732</v>
      </c>
      <c r="F225">
        <v>728</v>
      </c>
      <c r="G225">
        <v>713</v>
      </c>
      <c r="H225">
        <v>774</v>
      </c>
      <c r="I225">
        <v>746</v>
      </c>
      <c r="J225">
        <v>760</v>
      </c>
      <c r="K225">
        <v>768</v>
      </c>
      <c r="L225">
        <v>783</v>
      </c>
      <c r="M225">
        <v>769</v>
      </c>
      <c r="N225">
        <v>766</v>
      </c>
      <c r="O225" s="173">
        <f t="shared" si="36"/>
        <v>752.66666666666663</v>
      </c>
      <c r="P225" s="173">
        <f t="shared" si="37"/>
        <v>21.75</v>
      </c>
      <c r="Q225" s="177">
        <f t="shared" si="38"/>
        <v>2.9757154258351386E-2</v>
      </c>
    </row>
    <row r="226" spans="1:17" x14ac:dyDescent="0.2">
      <c r="B226" t="s">
        <v>370</v>
      </c>
      <c r="C226">
        <v>793</v>
      </c>
      <c r="D226">
        <v>763</v>
      </c>
      <c r="E226">
        <v>771</v>
      </c>
      <c r="F226">
        <v>782</v>
      </c>
      <c r="G226">
        <v>756</v>
      </c>
      <c r="H226">
        <v>768</v>
      </c>
      <c r="I226">
        <v>763</v>
      </c>
      <c r="J226">
        <v>762</v>
      </c>
      <c r="K226">
        <v>773</v>
      </c>
      <c r="L226">
        <v>776</v>
      </c>
      <c r="M226">
        <v>743</v>
      </c>
      <c r="N226">
        <v>744</v>
      </c>
      <c r="O226" s="173">
        <f t="shared" si="36"/>
        <v>766.16666666666663</v>
      </c>
      <c r="P226" s="173">
        <f t="shared" si="37"/>
        <v>13.5</v>
      </c>
      <c r="Q226" s="177">
        <f t="shared" si="38"/>
        <v>1.7936226749335697E-2</v>
      </c>
    </row>
    <row r="227" spans="1:17" x14ac:dyDescent="0.2">
      <c r="B227" t="s">
        <v>452</v>
      </c>
      <c r="C227">
        <v>746</v>
      </c>
      <c r="D227">
        <v>738</v>
      </c>
      <c r="E227">
        <v>726</v>
      </c>
      <c r="F227">
        <v>723</v>
      </c>
      <c r="G227">
        <v>723</v>
      </c>
      <c r="H227">
        <v>711</v>
      </c>
      <c r="I227">
        <v>722</v>
      </c>
      <c r="J227">
        <v>715</v>
      </c>
      <c r="K227">
        <v>701</v>
      </c>
      <c r="L227">
        <v>696</v>
      </c>
      <c r="M227">
        <v>716</v>
      </c>
      <c r="N227">
        <v>722</v>
      </c>
      <c r="O227" s="173">
        <f t="shared" si="36"/>
        <v>719.91666666666663</v>
      </c>
      <c r="P227" s="173">
        <f t="shared" si="37"/>
        <v>-46.25</v>
      </c>
      <c r="Q227" s="177">
        <f t="shared" si="38"/>
        <v>-6.0365455731999133E-2</v>
      </c>
    </row>
    <row r="228" spans="1:17" x14ac:dyDescent="0.2">
      <c r="B228" t="s">
        <v>487</v>
      </c>
      <c r="C228">
        <v>720</v>
      </c>
      <c r="D228">
        <v>754</v>
      </c>
      <c r="E228">
        <v>702</v>
      </c>
      <c r="F228">
        <v>720</v>
      </c>
      <c r="G228">
        <v>705</v>
      </c>
      <c r="H228">
        <v>715</v>
      </c>
      <c r="I228">
        <v>712</v>
      </c>
      <c r="J228">
        <v>720</v>
      </c>
      <c r="K228">
        <v>712</v>
      </c>
      <c r="L228">
        <v>709</v>
      </c>
      <c r="M228">
        <v>704</v>
      </c>
      <c r="N228">
        <v>720</v>
      </c>
      <c r="O228" s="173">
        <f t="shared" si="36"/>
        <v>716.08333333333337</v>
      </c>
      <c r="P228" s="173">
        <f t="shared" si="37"/>
        <v>-3.8333333333332575</v>
      </c>
      <c r="Q228" s="177">
        <f t="shared" si="38"/>
        <v>-5.3246903576801823E-3</v>
      </c>
    </row>
    <row r="229" spans="1:17" x14ac:dyDescent="0.2">
      <c r="B229" t="s">
        <v>561</v>
      </c>
      <c r="C229">
        <v>726</v>
      </c>
      <c r="D229">
        <v>712</v>
      </c>
      <c r="E229">
        <v>724</v>
      </c>
      <c r="F229">
        <v>708</v>
      </c>
      <c r="G229">
        <v>701</v>
      </c>
      <c r="H229">
        <v>715</v>
      </c>
      <c r="I229">
        <v>708</v>
      </c>
      <c r="J229">
        <v>702</v>
      </c>
      <c r="K229">
        <v>695</v>
      </c>
      <c r="L229">
        <v>713</v>
      </c>
      <c r="M229">
        <v>720</v>
      </c>
      <c r="N229">
        <v>732</v>
      </c>
      <c r="O229" s="173">
        <f t="shared" si="36"/>
        <v>713</v>
      </c>
      <c r="P229" s="173">
        <f t="shared" si="37"/>
        <v>-3.0833333333333712</v>
      </c>
      <c r="Q229" s="177">
        <f t="shared" si="38"/>
        <v>-4.3058303270104101E-3</v>
      </c>
    </row>
    <row r="230" spans="1:17" x14ac:dyDescent="0.2">
      <c r="B230" t="s">
        <v>660</v>
      </c>
      <c r="C230">
        <v>712</v>
      </c>
      <c r="D230">
        <v>705</v>
      </c>
      <c r="E230">
        <v>689</v>
      </c>
      <c r="F230">
        <v>668</v>
      </c>
      <c r="G230">
        <v>662</v>
      </c>
      <c r="H230">
        <v>644</v>
      </c>
      <c r="I230">
        <v>641</v>
      </c>
      <c r="J230">
        <v>629</v>
      </c>
      <c r="K230">
        <v>652</v>
      </c>
      <c r="L230">
        <v>643</v>
      </c>
      <c r="M230">
        <v>652</v>
      </c>
      <c r="N230">
        <v>662</v>
      </c>
      <c r="O230" s="173">
        <f t="shared" si="36"/>
        <v>663.25</v>
      </c>
      <c r="P230" s="173">
        <f>SUM(O230-O229)</f>
        <v>-49.75</v>
      </c>
      <c r="Q230" s="177">
        <f>SUM(P230/O229)</f>
        <v>-6.9775596072931281E-2</v>
      </c>
    </row>
    <row r="231" spans="1:17" x14ac:dyDescent="0.2">
      <c r="B231" t="s">
        <v>661</v>
      </c>
      <c r="C231">
        <v>637</v>
      </c>
      <c r="D231">
        <v>640</v>
      </c>
      <c r="E231">
        <v>638</v>
      </c>
      <c r="F231">
        <v>629</v>
      </c>
      <c r="G231">
        <v>627</v>
      </c>
      <c r="H231">
        <v>647</v>
      </c>
      <c r="I231">
        <v>651</v>
      </c>
      <c r="J231">
        <v>655</v>
      </c>
      <c r="K231">
        <v>640</v>
      </c>
      <c r="L231">
        <v>632</v>
      </c>
      <c r="M231">
        <v>641</v>
      </c>
      <c r="N231">
        <v>644</v>
      </c>
      <c r="O231" s="173">
        <f t="shared" si="36"/>
        <v>640.08333333333337</v>
      </c>
      <c r="P231" s="173">
        <f>SUM(O231-O230)</f>
        <v>-23.166666666666629</v>
      </c>
      <c r="Q231" s="177">
        <f>SUM(P231/O230)</f>
        <v>-3.4929011182309282E-2</v>
      </c>
    </row>
    <row r="232" spans="1:17" x14ac:dyDescent="0.2">
      <c r="O232" s="173"/>
      <c r="P232" s="173"/>
      <c r="Q232" s="177"/>
    </row>
    <row r="233" spans="1:17" x14ac:dyDescent="0.2">
      <c r="A233" s="178"/>
      <c r="B233" s="178"/>
      <c r="C233" s="178"/>
      <c r="D233" s="178"/>
      <c r="E233" s="178"/>
      <c r="F233" s="178"/>
      <c r="G233" s="178"/>
      <c r="H233" s="178"/>
      <c r="I233" s="178"/>
      <c r="J233" s="178"/>
      <c r="K233" s="178"/>
      <c r="L233" s="178"/>
      <c r="M233" s="178"/>
      <c r="N233" s="178"/>
      <c r="O233" s="178"/>
      <c r="P233" s="178"/>
      <c r="Q233" s="178"/>
    </row>
    <row r="234" spans="1:17" ht="25.5" x14ac:dyDescent="0.2">
      <c r="A234" s="175" t="s">
        <v>465</v>
      </c>
      <c r="B234" s="176" t="s">
        <v>433</v>
      </c>
      <c r="C234" s="179" t="s">
        <v>434</v>
      </c>
      <c r="D234" s="179" t="s">
        <v>435</v>
      </c>
      <c r="E234" s="179" t="s">
        <v>436</v>
      </c>
      <c r="F234" s="179" t="s">
        <v>437</v>
      </c>
      <c r="G234" s="179" t="s">
        <v>438</v>
      </c>
      <c r="H234" s="179" t="s">
        <v>439</v>
      </c>
      <c r="I234" s="179" t="s">
        <v>440</v>
      </c>
      <c r="J234" s="179" t="s">
        <v>441</v>
      </c>
      <c r="K234" s="179" t="s">
        <v>442</v>
      </c>
      <c r="L234" s="179" t="s">
        <v>443</v>
      </c>
      <c r="M234" s="179" t="s">
        <v>444</v>
      </c>
      <c r="N234" s="179" t="s">
        <v>445</v>
      </c>
    </row>
    <row r="235" spans="1:17" x14ac:dyDescent="0.2">
      <c r="B235" t="s">
        <v>449</v>
      </c>
      <c r="C235">
        <v>51</v>
      </c>
      <c r="D235">
        <v>44</v>
      </c>
      <c r="E235">
        <v>43</v>
      </c>
      <c r="F235">
        <v>39</v>
      </c>
      <c r="G235">
        <v>39</v>
      </c>
      <c r="H235">
        <v>39</v>
      </c>
      <c r="I235">
        <v>43</v>
      </c>
      <c r="J235">
        <v>41</v>
      </c>
      <c r="K235">
        <v>42</v>
      </c>
      <c r="L235">
        <v>42</v>
      </c>
      <c r="M235">
        <v>43</v>
      </c>
      <c r="N235">
        <v>40</v>
      </c>
      <c r="O235" s="173">
        <f t="shared" ref="O235:O251" si="39">SUM(C235:N235)/12</f>
        <v>42.166666666666664</v>
      </c>
      <c r="P235" s="173"/>
    </row>
    <row r="236" spans="1:17" x14ac:dyDescent="0.2">
      <c r="B236" t="s">
        <v>450</v>
      </c>
      <c r="C236">
        <v>43</v>
      </c>
      <c r="D236">
        <v>47</v>
      </c>
      <c r="E236">
        <v>47</v>
      </c>
      <c r="F236">
        <v>51</v>
      </c>
      <c r="G236">
        <v>46</v>
      </c>
      <c r="H236">
        <v>44</v>
      </c>
      <c r="I236">
        <v>48</v>
      </c>
      <c r="J236">
        <v>41</v>
      </c>
      <c r="K236">
        <v>47</v>
      </c>
      <c r="L236">
        <v>44</v>
      </c>
      <c r="M236">
        <v>43</v>
      </c>
      <c r="N236">
        <v>46</v>
      </c>
      <c r="O236" s="173">
        <f t="shared" si="39"/>
        <v>45.583333333333336</v>
      </c>
      <c r="P236" s="173">
        <f t="shared" ref="P236:P249" si="40">SUM(O236-O235)</f>
        <v>3.4166666666666714</v>
      </c>
      <c r="Q236" s="177">
        <f t="shared" ref="Q236:Q249" si="41">SUM(P236/O235)</f>
        <v>8.1027667984189838E-2</v>
      </c>
    </row>
    <row r="237" spans="1:17" x14ac:dyDescent="0.2">
      <c r="B237" t="s">
        <v>451</v>
      </c>
      <c r="C237">
        <v>45</v>
      </c>
      <c r="D237">
        <v>49</v>
      </c>
      <c r="E237">
        <v>48</v>
      </c>
      <c r="F237">
        <v>51</v>
      </c>
      <c r="G237">
        <v>51</v>
      </c>
      <c r="H237">
        <v>46</v>
      </c>
      <c r="I237">
        <v>49</v>
      </c>
      <c r="J237">
        <v>45</v>
      </c>
      <c r="K237">
        <v>46</v>
      </c>
      <c r="L237">
        <v>47</v>
      </c>
      <c r="M237">
        <v>48</v>
      </c>
      <c r="N237">
        <v>49</v>
      </c>
      <c r="O237" s="173">
        <f t="shared" si="39"/>
        <v>47.833333333333336</v>
      </c>
      <c r="P237" s="173">
        <f t="shared" si="40"/>
        <v>2.25</v>
      </c>
      <c r="Q237" s="177">
        <f t="shared" si="41"/>
        <v>4.9360146252285186E-2</v>
      </c>
    </row>
    <row r="238" spans="1:17" x14ac:dyDescent="0.2">
      <c r="B238" t="s">
        <v>267</v>
      </c>
      <c r="C238">
        <v>35</v>
      </c>
      <c r="D238">
        <v>35</v>
      </c>
      <c r="E238">
        <v>36</v>
      </c>
      <c r="F238">
        <v>39</v>
      </c>
      <c r="G238">
        <v>39</v>
      </c>
      <c r="H238">
        <v>43</v>
      </c>
      <c r="I238">
        <v>47</v>
      </c>
      <c r="J238">
        <v>45</v>
      </c>
      <c r="K238">
        <v>47</v>
      </c>
      <c r="L238">
        <v>51</v>
      </c>
      <c r="M238">
        <v>47</v>
      </c>
      <c r="N238">
        <v>45</v>
      </c>
      <c r="O238" s="173">
        <f t="shared" si="39"/>
        <v>42.416666666666664</v>
      </c>
      <c r="P238" s="173">
        <f t="shared" si="40"/>
        <v>-5.4166666666666714</v>
      </c>
      <c r="Q238" s="177">
        <f t="shared" si="41"/>
        <v>-0.113240418118467</v>
      </c>
    </row>
    <row r="239" spans="1:17" x14ac:dyDescent="0.2">
      <c r="B239" t="s">
        <v>266</v>
      </c>
      <c r="C239">
        <v>55</v>
      </c>
      <c r="D239">
        <v>51</v>
      </c>
      <c r="E239">
        <v>49</v>
      </c>
      <c r="F239">
        <v>51</v>
      </c>
      <c r="G239">
        <v>52</v>
      </c>
      <c r="H239">
        <v>54</v>
      </c>
      <c r="I239">
        <v>55</v>
      </c>
      <c r="J239">
        <v>55</v>
      </c>
      <c r="K239">
        <v>42</v>
      </c>
      <c r="L239">
        <v>38</v>
      </c>
      <c r="M239">
        <v>85</v>
      </c>
      <c r="N239">
        <v>81</v>
      </c>
      <c r="O239" s="173">
        <f t="shared" si="39"/>
        <v>55.666666666666664</v>
      </c>
      <c r="P239" s="173">
        <f t="shared" si="40"/>
        <v>13.25</v>
      </c>
      <c r="Q239" s="177">
        <f t="shared" si="41"/>
        <v>0.31237721021611004</v>
      </c>
    </row>
    <row r="240" spans="1:17" x14ac:dyDescent="0.2">
      <c r="B240" t="s">
        <v>287</v>
      </c>
      <c r="C240">
        <v>81</v>
      </c>
      <c r="D240">
        <v>81</v>
      </c>
      <c r="E240">
        <v>74</v>
      </c>
      <c r="F240">
        <v>79</v>
      </c>
      <c r="G240">
        <v>77</v>
      </c>
      <c r="H240">
        <v>77</v>
      </c>
      <c r="I240">
        <v>74</v>
      </c>
      <c r="J240">
        <v>74</v>
      </c>
      <c r="K240">
        <v>74</v>
      </c>
      <c r="L240">
        <v>75</v>
      </c>
      <c r="M240">
        <v>75</v>
      </c>
      <c r="N240">
        <v>76</v>
      </c>
      <c r="O240" s="173">
        <f t="shared" si="39"/>
        <v>76.416666666666671</v>
      </c>
      <c r="P240" s="173">
        <f t="shared" si="40"/>
        <v>20.750000000000007</v>
      </c>
      <c r="Q240" s="177">
        <f t="shared" si="41"/>
        <v>0.37275449101796421</v>
      </c>
    </row>
    <row r="241" spans="1:18" x14ac:dyDescent="0.2">
      <c r="B241" t="s">
        <v>297</v>
      </c>
      <c r="C241">
        <v>78</v>
      </c>
      <c r="D241">
        <v>76</v>
      </c>
      <c r="E241">
        <v>80</v>
      </c>
      <c r="F241">
        <v>81</v>
      </c>
      <c r="G241">
        <v>77</v>
      </c>
      <c r="H241">
        <v>76</v>
      </c>
      <c r="I241">
        <v>74</v>
      </c>
      <c r="J241">
        <v>76</v>
      </c>
      <c r="K241">
        <v>71</v>
      </c>
      <c r="L241">
        <v>71</v>
      </c>
      <c r="M241">
        <v>74</v>
      </c>
      <c r="N241">
        <v>75</v>
      </c>
      <c r="O241" s="173">
        <f t="shared" si="39"/>
        <v>75.75</v>
      </c>
      <c r="P241" s="173">
        <f t="shared" si="40"/>
        <v>-0.6666666666666714</v>
      </c>
      <c r="Q241" s="177">
        <f t="shared" si="41"/>
        <v>-8.7241003271538234E-3</v>
      </c>
    </row>
    <row r="242" spans="1:18" x14ac:dyDescent="0.2">
      <c r="B242" t="s">
        <v>300</v>
      </c>
      <c r="C242">
        <v>75</v>
      </c>
      <c r="D242">
        <v>74</v>
      </c>
      <c r="E242">
        <v>73</v>
      </c>
      <c r="F242">
        <v>72</v>
      </c>
      <c r="G242">
        <v>75</v>
      </c>
      <c r="H242">
        <v>74</v>
      </c>
      <c r="I242">
        <v>73</v>
      </c>
      <c r="J242">
        <v>73</v>
      </c>
      <c r="K242">
        <v>71</v>
      </c>
      <c r="L242">
        <v>84</v>
      </c>
      <c r="M242">
        <v>79</v>
      </c>
      <c r="N242">
        <v>74</v>
      </c>
      <c r="O242" s="173">
        <f t="shared" si="39"/>
        <v>74.75</v>
      </c>
      <c r="P242" s="173">
        <f t="shared" si="40"/>
        <v>-1</v>
      </c>
      <c r="Q242" s="177">
        <f t="shared" si="41"/>
        <v>-1.3201320132013201E-2</v>
      </c>
      <c r="R242" s="177"/>
    </row>
    <row r="243" spans="1:18" x14ac:dyDescent="0.2">
      <c r="B243" t="s">
        <v>301</v>
      </c>
      <c r="C243">
        <v>70</v>
      </c>
      <c r="D243">
        <v>68</v>
      </c>
      <c r="E243">
        <v>80</v>
      </c>
      <c r="F243">
        <v>73</v>
      </c>
      <c r="G243">
        <v>82</v>
      </c>
      <c r="H243">
        <v>81</v>
      </c>
      <c r="I243">
        <v>83</v>
      </c>
      <c r="J243">
        <v>80</v>
      </c>
      <c r="K243">
        <v>78</v>
      </c>
      <c r="L243">
        <v>78</v>
      </c>
      <c r="M243">
        <v>78</v>
      </c>
      <c r="N243">
        <v>86</v>
      </c>
      <c r="O243" s="173">
        <f t="shared" si="39"/>
        <v>78.083333333333329</v>
      </c>
      <c r="P243" s="173">
        <f t="shared" si="40"/>
        <v>3.3333333333333286</v>
      </c>
      <c r="Q243" s="177">
        <f t="shared" si="41"/>
        <v>4.4593088071348874E-2</v>
      </c>
    </row>
    <row r="244" spans="1:18" x14ac:dyDescent="0.2">
      <c r="B244" t="s">
        <v>302</v>
      </c>
      <c r="C244">
        <v>75</v>
      </c>
      <c r="D244">
        <v>74</v>
      </c>
      <c r="E244">
        <v>79</v>
      </c>
      <c r="F244">
        <v>77</v>
      </c>
      <c r="G244">
        <v>75</v>
      </c>
      <c r="H244">
        <v>66</v>
      </c>
      <c r="I244">
        <v>64</v>
      </c>
      <c r="J244">
        <v>64</v>
      </c>
      <c r="K244">
        <v>47</v>
      </c>
      <c r="L244">
        <v>47</v>
      </c>
      <c r="M244">
        <v>45</v>
      </c>
      <c r="N244">
        <v>47</v>
      </c>
      <c r="O244" s="173">
        <f t="shared" si="39"/>
        <v>63.333333333333336</v>
      </c>
      <c r="P244" s="173">
        <f t="shared" si="40"/>
        <v>-14.749999999999993</v>
      </c>
      <c r="Q244" s="177">
        <f t="shared" si="41"/>
        <v>-0.18890074706510132</v>
      </c>
    </row>
    <row r="245" spans="1:18" x14ac:dyDescent="0.2">
      <c r="B245" t="s">
        <v>347</v>
      </c>
      <c r="C245">
        <v>42</v>
      </c>
      <c r="D245">
        <v>43</v>
      </c>
      <c r="E245">
        <v>41</v>
      </c>
      <c r="F245">
        <v>41</v>
      </c>
      <c r="G245">
        <v>38</v>
      </c>
      <c r="H245">
        <v>54</v>
      </c>
      <c r="I245">
        <v>60</v>
      </c>
      <c r="J245">
        <v>53</v>
      </c>
      <c r="K245">
        <v>57</v>
      </c>
      <c r="L245">
        <v>45</v>
      </c>
      <c r="M245">
        <v>48</v>
      </c>
      <c r="N245">
        <v>49</v>
      </c>
      <c r="O245" s="173">
        <f t="shared" si="39"/>
        <v>47.583333333333336</v>
      </c>
      <c r="P245" s="173">
        <f t="shared" si="40"/>
        <v>-15.75</v>
      </c>
      <c r="Q245" s="177">
        <f t="shared" si="41"/>
        <v>-0.24868421052631579</v>
      </c>
    </row>
    <row r="246" spans="1:18" x14ac:dyDescent="0.2">
      <c r="B246" t="s">
        <v>370</v>
      </c>
      <c r="C246">
        <v>49</v>
      </c>
      <c r="D246">
        <v>51</v>
      </c>
      <c r="E246">
        <v>45</v>
      </c>
      <c r="F246">
        <v>54</v>
      </c>
      <c r="G246">
        <v>56</v>
      </c>
      <c r="H246">
        <v>56</v>
      </c>
      <c r="I246">
        <v>53</v>
      </c>
      <c r="J246">
        <v>50</v>
      </c>
      <c r="K246">
        <v>47</v>
      </c>
      <c r="L246">
        <v>44</v>
      </c>
      <c r="M246">
        <v>44</v>
      </c>
      <c r="N246">
        <v>52</v>
      </c>
      <c r="O246" s="173">
        <f t="shared" si="39"/>
        <v>50.083333333333336</v>
      </c>
      <c r="P246" s="173">
        <f>SUM(O246-O245)</f>
        <v>2.5</v>
      </c>
      <c r="Q246" s="177">
        <f>SUM(P246/O245)</f>
        <v>5.2539404553415062E-2</v>
      </c>
    </row>
    <row r="247" spans="1:18" x14ac:dyDescent="0.2">
      <c r="B247" t="s">
        <v>452</v>
      </c>
      <c r="C247">
        <v>54</v>
      </c>
      <c r="D247">
        <v>54</v>
      </c>
      <c r="E247">
        <v>51</v>
      </c>
      <c r="F247">
        <v>57</v>
      </c>
      <c r="G247">
        <v>56</v>
      </c>
      <c r="H247">
        <v>64</v>
      </c>
      <c r="I247">
        <v>66</v>
      </c>
      <c r="J247">
        <v>65</v>
      </c>
      <c r="K247">
        <v>65</v>
      </c>
      <c r="L247">
        <v>65</v>
      </c>
      <c r="M247">
        <v>72</v>
      </c>
      <c r="N247">
        <v>63</v>
      </c>
      <c r="O247" s="173">
        <f t="shared" si="39"/>
        <v>61</v>
      </c>
      <c r="P247" s="173">
        <f t="shared" si="40"/>
        <v>10.916666666666664</v>
      </c>
      <c r="Q247" s="177">
        <f t="shared" si="41"/>
        <v>0.21797004991680527</v>
      </c>
    </row>
    <row r="248" spans="1:18" x14ac:dyDescent="0.2">
      <c r="B248" t="s">
        <v>487</v>
      </c>
      <c r="C248">
        <v>67</v>
      </c>
      <c r="D248">
        <v>65</v>
      </c>
      <c r="E248">
        <v>65</v>
      </c>
      <c r="F248">
        <v>61</v>
      </c>
      <c r="G248">
        <v>59</v>
      </c>
      <c r="H248">
        <v>58</v>
      </c>
      <c r="I248">
        <v>53</v>
      </c>
      <c r="J248">
        <v>56</v>
      </c>
      <c r="K248">
        <v>57</v>
      </c>
      <c r="L248">
        <v>57</v>
      </c>
      <c r="M248">
        <v>52</v>
      </c>
      <c r="N248">
        <v>58</v>
      </c>
      <c r="O248" s="173">
        <f t="shared" si="39"/>
        <v>59</v>
      </c>
      <c r="P248" s="173">
        <f t="shared" si="40"/>
        <v>-2</v>
      </c>
      <c r="Q248" s="177">
        <f t="shared" si="41"/>
        <v>-3.2786885245901641E-2</v>
      </c>
    </row>
    <row r="249" spans="1:18" x14ac:dyDescent="0.2">
      <c r="B249" t="s">
        <v>561</v>
      </c>
      <c r="C249">
        <v>55</v>
      </c>
      <c r="D249">
        <v>43</v>
      </c>
      <c r="E249">
        <v>45</v>
      </c>
      <c r="F249">
        <v>45</v>
      </c>
      <c r="G249">
        <v>40</v>
      </c>
      <c r="H249">
        <v>45</v>
      </c>
      <c r="I249">
        <v>45</v>
      </c>
      <c r="J249">
        <v>49</v>
      </c>
      <c r="K249">
        <v>53</v>
      </c>
      <c r="L249">
        <v>50</v>
      </c>
      <c r="M249">
        <v>51</v>
      </c>
      <c r="N249">
        <v>50</v>
      </c>
      <c r="O249" s="173">
        <f t="shared" si="39"/>
        <v>47.583333333333336</v>
      </c>
      <c r="P249" s="173">
        <f t="shared" si="40"/>
        <v>-11.416666666666664</v>
      </c>
      <c r="Q249" s="177">
        <f t="shared" si="41"/>
        <v>-0.19350282485875703</v>
      </c>
    </row>
    <row r="250" spans="1:18" x14ac:dyDescent="0.2">
      <c r="B250" t="s">
        <v>660</v>
      </c>
      <c r="C250">
        <v>49</v>
      </c>
      <c r="D250">
        <v>44</v>
      </c>
      <c r="E250">
        <v>44</v>
      </c>
      <c r="F250">
        <v>47</v>
      </c>
      <c r="G250">
        <v>43</v>
      </c>
      <c r="H250">
        <v>42</v>
      </c>
      <c r="I250">
        <v>44</v>
      </c>
      <c r="J250">
        <v>47</v>
      </c>
      <c r="K250">
        <v>38</v>
      </c>
      <c r="L250">
        <v>13</v>
      </c>
      <c r="M250">
        <v>13</v>
      </c>
      <c r="N250">
        <v>11</v>
      </c>
      <c r="O250" s="173">
        <f t="shared" si="39"/>
        <v>36.25</v>
      </c>
      <c r="P250" s="173">
        <f>SUM(O250-O249)</f>
        <v>-11.333333333333336</v>
      </c>
      <c r="Q250" s="177">
        <f>SUM(P250/O249)</f>
        <v>-0.23817863397548164</v>
      </c>
    </row>
    <row r="251" spans="1:18" x14ac:dyDescent="0.2">
      <c r="B251" t="s">
        <v>661</v>
      </c>
      <c r="C251">
        <v>11</v>
      </c>
      <c r="D251">
        <v>11</v>
      </c>
      <c r="E251">
        <v>10</v>
      </c>
      <c r="F251">
        <v>10</v>
      </c>
      <c r="G251">
        <v>11</v>
      </c>
      <c r="H251">
        <v>11</v>
      </c>
      <c r="I251">
        <v>10</v>
      </c>
      <c r="J251">
        <v>8</v>
      </c>
      <c r="K251">
        <v>8</v>
      </c>
      <c r="L251">
        <v>9</v>
      </c>
      <c r="M251">
        <v>58</v>
      </c>
      <c r="N251">
        <v>58</v>
      </c>
      <c r="O251" s="173">
        <f t="shared" si="39"/>
        <v>17.916666666666668</v>
      </c>
      <c r="P251" s="173">
        <f>SUM(O251-O250)</f>
        <v>-18.333333333333332</v>
      </c>
      <c r="Q251" s="177">
        <f>SUM(P251/O250)</f>
        <v>-0.50574712643678155</v>
      </c>
    </row>
    <row r="252" spans="1:18" x14ac:dyDescent="0.2">
      <c r="O252" s="173"/>
      <c r="P252" s="173"/>
      <c r="Q252" s="177"/>
    </row>
    <row r="253" spans="1:18" ht="24.75" customHeight="1" x14ac:dyDescent="0.2">
      <c r="A253" s="644" t="s">
        <v>466</v>
      </c>
      <c r="B253" s="179" t="s">
        <v>433</v>
      </c>
      <c r="C253" s="179" t="s">
        <v>434</v>
      </c>
      <c r="D253" s="179" t="s">
        <v>435</v>
      </c>
      <c r="E253" s="179" t="s">
        <v>436</v>
      </c>
      <c r="F253" s="179" t="s">
        <v>437</v>
      </c>
      <c r="G253" s="179" t="s">
        <v>438</v>
      </c>
      <c r="H253" s="179" t="s">
        <v>439</v>
      </c>
      <c r="I253" s="179" t="s">
        <v>440</v>
      </c>
      <c r="J253" s="179" t="s">
        <v>441</v>
      </c>
      <c r="K253" s="179" t="s">
        <v>442</v>
      </c>
      <c r="L253" s="179" t="s">
        <v>443</v>
      </c>
      <c r="M253" s="179" t="s">
        <v>444</v>
      </c>
      <c r="N253" s="179" t="s">
        <v>445</v>
      </c>
    </row>
    <row r="254" spans="1:18" x14ac:dyDescent="0.2">
      <c r="B254" t="s">
        <v>347</v>
      </c>
      <c r="H254">
        <v>120</v>
      </c>
      <c r="I254">
        <v>96</v>
      </c>
      <c r="J254">
        <v>123</v>
      </c>
      <c r="K254">
        <v>105</v>
      </c>
      <c r="L254">
        <v>122</v>
      </c>
      <c r="M254">
        <v>118</v>
      </c>
      <c r="N254">
        <v>118</v>
      </c>
      <c r="O254" s="173">
        <f>SUM(C254:N254)/7</f>
        <v>114.57142857142857</v>
      </c>
      <c r="P254" s="173"/>
      <c r="Q254" s="177"/>
    </row>
    <row r="255" spans="1:18" x14ac:dyDescent="0.2">
      <c r="B255" t="s">
        <v>370</v>
      </c>
      <c r="C255">
        <v>108</v>
      </c>
      <c r="D255">
        <v>110</v>
      </c>
      <c r="E255">
        <v>105</v>
      </c>
      <c r="F255">
        <v>102</v>
      </c>
      <c r="G255">
        <v>121</v>
      </c>
      <c r="H255">
        <v>133</v>
      </c>
      <c r="I255">
        <v>137</v>
      </c>
      <c r="J255">
        <v>129</v>
      </c>
      <c r="K255">
        <v>137</v>
      </c>
      <c r="L255">
        <v>140</v>
      </c>
      <c r="M255">
        <v>134</v>
      </c>
      <c r="N255">
        <v>128</v>
      </c>
      <c r="O255" s="173">
        <f t="shared" ref="O255:O260" si="42">SUM(C255:N255)/12</f>
        <v>123.66666666666667</v>
      </c>
      <c r="P255" s="173">
        <f t="shared" ref="P255:P260" si="43">SUM(O255-O254)</f>
        <v>9.095238095238102</v>
      </c>
      <c r="Q255" s="177">
        <f t="shared" ref="Q255:Q260" si="44">SUM(P255/O254)</f>
        <v>7.9384871155444778E-2</v>
      </c>
    </row>
    <row r="256" spans="1:18" x14ac:dyDescent="0.2">
      <c r="B256" t="s">
        <v>452</v>
      </c>
      <c r="C256">
        <v>109</v>
      </c>
      <c r="D256">
        <v>111</v>
      </c>
      <c r="E256">
        <v>117</v>
      </c>
      <c r="F256">
        <v>117</v>
      </c>
      <c r="G256">
        <v>122</v>
      </c>
      <c r="H256">
        <v>122</v>
      </c>
      <c r="I256">
        <v>140</v>
      </c>
      <c r="J256">
        <v>138</v>
      </c>
      <c r="K256">
        <v>138</v>
      </c>
      <c r="L256">
        <v>107</v>
      </c>
      <c r="M256">
        <v>109</v>
      </c>
      <c r="N256">
        <v>128</v>
      </c>
      <c r="O256" s="173">
        <f t="shared" si="42"/>
        <v>121.5</v>
      </c>
      <c r="P256" s="173">
        <f t="shared" si="43"/>
        <v>-2.1666666666666714</v>
      </c>
      <c r="Q256" s="177">
        <f t="shared" si="44"/>
        <v>-1.7520215633423219E-2</v>
      </c>
    </row>
    <row r="257" spans="1:18" x14ac:dyDescent="0.2">
      <c r="B257" t="s">
        <v>487</v>
      </c>
      <c r="C257">
        <v>109</v>
      </c>
      <c r="D257">
        <v>116</v>
      </c>
      <c r="E257">
        <v>125</v>
      </c>
      <c r="F257">
        <v>113</v>
      </c>
      <c r="G257">
        <v>99</v>
      </c>
      <c r="H257">
        <v>98</v>
      </c>
      <c r="I257">
        <v>107</v>
      </c>
      <c r="J257">
        <v>113</v>
      </c>
      <c r="K257">
        <v>118</v>
      </c>
      <c r="L257">
        <v>105</v>
      </c>
      <c r="M257">
        <v>107</v>
      </c>
      <c r="N257">
        <v>110</v>
      </c>
      <c r="O257" s="173">
        <f t="shared" si="42"/>
        <v>110</v>
      </c>
      <c r="P257" s="173">
        <f t="shared" si="43"/>
        <v>-11.5</v>
      </c>
      <c r="Q257" s="177">
        <f t="shared" si="44"/>
        <v>-9.4650205761316872E-2</v>
      </c>
    </row>
    <row r="258" spans="1:18" x14ac:dyDescent="0.2">
      <c r="B258" t="s">
        <v>561</v>
      </c>
      <c r="C258">
        <v>111</v>
      </c>
      <c r="D258">
        <v>102</v>
      </c>
      <c r="E258">
        <v>122</v>
      </c>
      <c r="F258">
        <v>144</v>
      </c>
      <c r="G258">
        <v>154</v>
      </c>
      <c r="H258">
        <v>164</v>
      </c>
      <c r="I258">
        <v>164</v>
      </c>
      <c r="J258">
        <v>169</v>
      </c>
      <c r="K258">
        <v>164</v>
      </c>
      <c r="L258">
        <v>165</v>
      </c>
      <c r="M258">
        <v>161</v>
      </c>
      <c r="N258">
        <v>142</v>
      </c>
      <c r="O258" s="173">
        <f t="shared" si="42"/>
        <v>146.83333333333334</v>
      </c>
      <c r="P258" s="173">
        <f t="shared" si="43"/>
        <v>36.833333333333343</v>
      </c>
      <c r="Q258" s="177">
        <f t="shared" si="44"/>
        <v>0.33484848484848495</v>
      </c>
    </row>
    <row r="259" spans="1:18" x14ac:dyDescent="0.2">
      <c r="B259" t="s">
        <v>660</v>
      </c>
      <c r="C259">
        <v>158</v>
      </c>
      <c r="D259">
        <v>164</v>
      </c>
      <c r="E259">
        <v>169</v>
      </c>
      <c r="F259">
        <v>191</v>
      </c>
      <c r="G259">
        <v>185</v>
      </c>
      <c r="H259">
        <v>192</v>
      </c>
      <c r="I259">
        <v>181</v>
      </c>
      <c r="J259">
        <v>162</v>
      </c>
      <c r="K259">
        <v>140</v>
      </c>
      <c r="L259">
        <v>146</v>
      </c>
      <c r="M259">
        <v>154</v>
      </c>
      <c r="N259">
        <v>150</v>
      </c>
      <c r="O259" s="173">
        <f t="shared" si="42"/>
        <v>166</v>
      </c>
      <c r="P259" s="173">
        <f t="shared" si="43"/>
        <v>19.166666666666657</v>
      </c>
      <c r="Q259" s="177">
        <f t="shared" si="44"/>
        <v>0.13053348467650391</v>
      </c>
    </row>
    <row r="260" spans="1:18" x14ac:dyDescent="0.2">
      <c r="B260" t="s">
        <v>661</v>
      </c>
      <c r="C260">
        <v>135</v>
      </c>
      <c r="D260">
        <v>124</v>
      </c>
      <c r="E260">
        <v>138</v>
      </c>
      <c r="F260">
        <v>129</v>
      </c>
      <c r="G260">
        <v>115</v>
      </c>
      <c r="H260">
        <v>99</v>
      </c>
      <c r="I260">
        <v>91</v>
      </c>
      <c r="J260">
        <v>84</v>
      </c>
      <c r="K260">
        <v>90</v>
      </c>
      <c r="L260">
        <v>104</v>
      </c>
      <c r="M260">
        <v>95</v>
      </c>
      <c r="N260">
        <v>97</v>
      </c>
      <c r="O260" s="173">
        <f t="shared" si="42"/>
        <v>108.41666666666667</v>
      </c>
      <c r="P260" s="173">
        <f t="shared" si="43"/>
        <v>-57.583333333333329</v>
      </c>
      <c r="Q260" s="177">
        <f t="shared" si="44"/>
        <v>-0.3468875502008032</v>
      </c>
    </row>
    <row r="262" spans="1:18" x14ac:dyDescent="0.2">
      <c r="A262" s="178"/>
      <c r="B262" s="178"/>
      <c r="C262" s="178"/>
      <c r="D262" s="178"/>
      <c r="E262" s="178"/>
      <c r="F262" s="178"/>
      <c r="G262" s="178"/>
      <c r="H262" s="178"/>
      <c r="I262" s="178"/>
      <c r="J262" s="178"/>
      <c r="K262" s="178"/>
      <c r="L262" s="178"/>
      <c r="M262" s="178"/>
      <c r="N262" s="178"/>
      <c r="O262" s="178"/>
      <c r="P262" s="178"/>
      <c r="Q262" s="178"/>
      <c r="R262" s="178"/>
    </row>
    <row r="263" spans="1:18" ht="38.25" x14ac:dyDescent="0.2">
      <c r="A263" s="1038" t="s">
        <v>467</v>
      </c>
      <c r="B263" s="1049" t="s">
        <v>433</v>
      </c>
      <c r="C263" s="1050" t="s">
        <v>434</v>
      </c>
      <c r="D263" s="1050" t="s">
        <v>435</v>
      </c>
      <c r="E263" s="1050" t="s">
        <v>436</v>
      </c>
      <c r="F263" s="1050" t="s">
        <v>437</v>
      </c>
      <c r="G263" s="1050" t="s">
        <v>438</v>
      </c>
      <c r="H263" s="1050" t="s">
        <v>439</v>
      </c>
      <c r="I263" s="1050" t="s">
        <v>440</v>
      </c>
      <c r="J263" s="1050" t="s">
        <v>441</v>
      </c>
      <c r="K263" s="1050" t="s">
        <v>442</v>
      </c>
      <c r="L263" s="1050" t="s">
        <v>443</v>
      </c>
      <c r="M263" s="1050" t="s">
        <v>444</v>
      </c>
      <c r="N263" s="1051" t="s">
        <v>445</v>
      </c>
      <c r="O263" s="1048" t="s">
        <v>446</v>
      </c>
      <c r="P263" s="1047" t="s">
        <v>447</v>
      </c>
      <c r="Q263" s="1047" t="s">
        <v>448</v>
      </c>
      <c r="R263" s="1046" t="s">
        <v>468</v>
      </c>
    </row>
    <row r="264" spans="1:18" x14ac:dyDescent="0.2">
      <c r="A264" s="1052" t="s">
        <v>486</v>
      </c>
      <c r="B264" s="828" t="s">
        <v>449</v>
      </c>
      <c r="C264" s="1053">
        <f t="shared" ref="C264:N276" si="45">SUM(C3,C22,C41,C61,C80,C99,C119,C138,C157,C177,C196,C215,C235)</f>
        <v>4476</v>
      </c>
      <c r="D264" s="1053">
        <f t="shared" si="45"/>
        <v>4483</v>
      </c>
      <c r="E264" s="1053">
        <f t="shared" si="45"/>
        <v>4465</v>
      </c>
      <c r="F264" s="1053">
        <f t="shared" si="45"/>
        <v>4430</v>
      </c>
      <c r="G264" s="1053">
        <f t="shared" si="45"/>
        <v>4464</v>
      </c>
      <c r="H264" s="1053">
        <f t="shared" si="45"/>
        <v>4489</v>
      </c>
      <c r="I264" s="1053">
        <f t="shared" si="45"/>
        <v>4483</v>
      </c>
      <c r="J264" s="1053">
        <f t="shared" si="45"/>
        <v>4518</v>
      </c>
      <c r="K264" s="1053">
        <f t="shared" si="45"/>
        <v>4524</v>
      </c>
      <c r="L264" s="1053">
        <f t="shared" si="45"/>
        <v>4527</v>
      </c>
      <c r="M264" s="1053">
        <f t="shared" si="45"/>
        <v>4496</v>
      </c>
      <c r="N264" s="1054">
        <f t="shared" si="45"/>
        <v>4561</v>
      </c>
      <c r="O264" s="1045">
        <f t="shared" ref="O264:O272" si="46">SUM(C264:N264)/12</f>
        <v>4493</v>
      </c>
      <c r="P264" s="711"/>
      <c r="Q264" s="711"/>
      <c r="R264" s="1044"/>
    </row>
    <row r="265" spans="1:18" x14ac:dyDescent="0.2">
      <c r="A265" s="1055"/>
      <c r="B265" s="828" t="s">
        <v>450</v>
      </c>
      <c r="C265" s="1053">
        <f t="shared" si="45"/>
        <v>4520</v>
      </c>
      <c r="D265" s="1053">
        <f t="shared" si="45"/>
        <v>4564</v>
      </c>
      <c r="E265" s="1053">
        <f t="shared" si="45"/>
        <v>4554</v>
      </c>
      <c r="F265" s="1053">
        <f t="shared" si="45"/>
        <v>4570</v>
      </c>
      <c r="G265" s="1053">
        <f t="shared" si="45"/>
        <v>4539</v>
      </c>
      <c r="H265" s="1053">
        <f t="shared" si="45"/>
        <v>4559</v>
      </c>
      <c r="I265" s="1053">
        <f t="shared" si="45"/>
        <v>4522</v>
      </c>
      <c r="J265" s="1053">
        <f t="shared" si="45"/>
        <v>4548</v>
      </c>
      <c r="K265" s="1053">
        <f t="shared" si="45"/>
        <v>4510</v>
      </c>
      <c r="L265" s="1053">
        <f t="shared" si="45"/>
        <v>4548</v>
      </c>
      <c r="M265" s="1053">
        <f t="shared" si="45"/>
        <v>4537</v>
      </c>
      <c r="N265" s="1054">
        <f t="shared" si="45"/>
        <v>4525</v>
      </c>
      <c r="O265" s="1045">
        <f t="shared" si="46"/>
        <v>4541.333333333333</v>
      </c>
      <c r="P265" s="712">
        <f t="shared" ref="P265:P271" si="47">SUM(O265-N264)</f>
        <v>-19.66666666666697</v>
      </c>
      <c r="Q265" s="713">
        <f t="shared" ref="Q265:Q273" si="48">SUM(P265/O264)</f>
        <v>-4.3771793159730621E-3</v>
      </c>
      <c r="R265" s="1044"/>
    </row>
    <row r="266" spans="1:18" x14ac:dyDescent="0.2">
      <c r="A266" s="1055"/>
      <c r="B266" s="828" t="s">
        <v>451</v>
      </c>
      <c r="C266" s="1053">
        <f t="shared" si="45"/>
        <v>4558</v>
      </c>
      <c r="D266" s="1053">
        <f t="shared" si="45"/>
        <v>4615</v>
      </c>
      <c r="E266" s="1053">
        <f t="shared" si="45"/>
        <v>4607</v>
      </c>
      <c r="F266" s="1053">
        <f t="shared" si="45"/>
        <v>4575</v>
      </c>
      <c r="G266" s="1053">
        <f t="shared" si="45"/>
        <v>4575</v>
      </c>
      <c r="H266" s="1053">
        <f t="shared" si="45"/>
        <v>4624</v>
      </c>
      <c r="I266" s="1053">
        <f t="shared" si="45"/>
        <v>4604</v>
      </c>
      <c r="J266" s="1053">
        <f t="shared" si="45"/>
        <v>4666</v>
      </c>
      <c r="K266" s="1053">
        <f t="shared" si="45"/>
        <v>4736</v>
      </c>
      <c r="L266" s="1053">
        <f t="shared" si="45"/>
        <v>4774</v>
      </c>
      <c r="M266" s="1053">
        <f t="shared" si="45"/>
        <v>4832</v>
      </c>
      <c r="N266" s="1054">
        <f t="shared" si="45"/>
        <v>4872</v>
      </c>
      <c r="O266" s="1045">
        <f t="shared" si="46"/>
        <v>4669.833333333333</v>
      </c>
      <c r="P266" s="712">
        <f t="shared" si="47"/>
        <v>144.83333333333303</v>
      </c>
      <c r="Q266" s="713">
        <f t="shared" si="48"/>
        <v>3.1892248972401581E-2</v>
      </c>
      <c r="R266" s="1043">
        <f>SUM(Q265:Q266)</f>
        <v>2.7515069656428519E-2</v>
      </c>
    </row>
    <row r="267" spans="1:18" x14ac:dyDescent="0.2">
      <c r="A267" s="1055"/>
      <c r="B267" s="828" t="s">
        <v>267</v>
      </c>
      <c r="C267" s="1053">
        <f t="shared" si="45"/>
        <v>4823</v>
      </c>
      <c r="D267" s="1053">
        <f t="shared" si="45"/>
        <v>4949</v>
      </c>
      <c r="E267" s="1053">
        <f t="shared" si="45"/>
        <v>4738</v>
      </c>
      <c r="F267" s="1053">
        <f t="shared" si="45"/>
        <v>4753</v>
      </c>
      <c r="G267" s="1053">
        <f t="shared" si="45"/>
        <v>4796</v>
      </c>
      <c r="H267" s="1053">
        <f t="shared" si="45"/>
        <v>4795</v>
      </c>
      <c r="I267" s="1053">
        <f t="shared" si="45"/>
        <v>4787</v>
      </c>
      <c r="J267" s="1053">
        <f t="shared" si="45"/>
        <v>4789</v>
      </c>
      <c r="K267" s="1053">
        <f t="shared" si="45"/>
        <v>4682</v>
      </c>
      <c r="L267" s="1053">
        <f t="shared" si="45"/>
        <v>4694</v>
      </c>
      <c r="M267" s="1053">
        <f t="shared" si="45"/>
        <v>4685</v>
      </c>
      <c r="N267" s="1054">
        <f t="shared" si="45"/>
        <v>4723</v>
      </c>
      <c r="O267" s="1045">
        <f t="shared" si="46"/>
        <v>4767.833333333333</v>
      </c>
      <c r="P267" s="712">
        <f t="shared" si="47"/>
        <v>-104.16666666666697</v>
      </c>
      <c r="Q267" s="713">
        <f t="shared" si="48"/>
        <v>-2.2306292158892245E-2</v>
      </c>
      <c r="R267" s="1043">
        <f>SUM(Q265:Q267)</f>
        <v>5.2087774975362738E-3</v>
      </c>
    </row>
    <row r="268" spans="1:18" x14ac:dyDescent="0.2">
      <c r="A268" s="1055"/>
      <c r="B268" s="828" t="s">
        <v>266</v>
      </c>
      <c r="C268" s="1053">
        <f t="shared" si="45"/>
        <v>4934</v>
      </c>
      <c r="D268" s="1053">
        <f t="shared" si="45"/>
        <v>4681</v>
      </c>
      <c r="E268" s="1053">
        <f t="shared" si="45"/>
        <v>4701</v>
      </c>
      <c r="F268" s="1053">
        <f t="shared" si="45"/>
        <v>4713</v>
      </c>
      <c r="G268" s="1053">
        <f t="shared" si="45"/>
        <v>4644</v>
      </c>
      <c r="H268" s="1053">
        <f t="shared" si="45"/>
        <v>4760</v>
      </c>
      <c r="I268" s="1053">
        <f t="shared" si="45"/>
        <v>4760</v>
      </c>
      <c r="J268" s="1053">
        <f t="shared" si="45"/>
        <v>4753</v>
      </c>
      <c r="K268" s="1053">
        <f t="shared" si="45"/>
        <v>4744</v>
      </c>
      <c r="L268" s="1053">
        <f t="shared" si="45"/>
        <v>4764</v>
      </c>
      <c r="M268" s="1053">
        <f t="shared" si="45"/>
        <v>4810</v>
      </c>
      <c r="N268" s="1054">
        <f t="shared" si="45"/>
        <v>4804</v>
      </c>
      <c r="O268" s="1045">
        <f t="shared" si="46"/>
        <v>4755.666666666667</v>
      </c>
      <c r="P268" s="712">
        <f t="shared" si="47"/>
        <v>32.66666666666697</v>
      </c>
      <c r="Q268" s="713">
        <f t="shared" si="48"/>
        <v>6.8514699199497264E-3</v>
      </c>
      <c r="R268" s="1043">
        <f>SUM(Q265:Q268)</f>
        <v>1.2060247417486E-2</v>
      </c>
    </row>
    <row r="269" spans="1:18" x14ac:dyDescent="0.2">
      <c r="A269" s="1055"/>
      <c r="B269" s="828" t="s">
        <v>287</v>
      </c>
      <c r="C269" s="1053">
        <f t="shared" si="45"/>
        <v>4780</v>
      </c>
      <c r="D269" s="1053">
        <f t="shared" si="45"/>
        <v>4815</v>
      </c>
      <c r="E269" s="1053">
        <f t="shared" si="45"/>
        <v>4843</v>
      </c>
      <c r="F269" s="1053">
        <f t="shared" si="45"/>
        <v>4851</v>
      </c>
      <c r="G269" s="1053">
        <f t="shared" si="45"/>
        <v>4883</v>
      </c>
      <c r="H269" s="1053">
        <f t="shared" si="45"/>
        <v>4792</v>
      </c>
      <c r="I269" s="1053">
        <f t="shared" si="45"/>
        <v>4842</v>
      </c>
      <c r="J269" s="1053">
        <f t="shared" si="45"/>
        <v>4977</v>
      </c>
      <c r="K269" s="1053">
        <f t="shared" si="45"/>
        <v>4949</v>
      </c>
      <c r="L269" s="1053">
        <f t="shared" si="45"/>
        <v>4956</v>
      </c>
      <c r="M269" s="1053">
        <f t="shared" si="45"/>
        <v>5017</v>
      </c>
      <c r="N269" s="1054">
        <f t="shared" si="45"/>
        <v>4991</v>
      </c>
      <c r="O269" s="1045">
        <f t="shared" si="46"/>
        <v>4891.333333333333</v>
      </c>
      <c r="P269" s="712">
        <f t="shared" si="47"/>
        <v>87.33333333333303</v>
      </c>
      <c r="Q269" s="713">
        <f t="shared" si="48"/>
        <v>1.8364056914558006E-2</v>
      </c>
      <c r="R269" s="1043">
        <f>SUM(Q265:Q269)</f>
        <v>3.0424304332044006E-2</v>
      </c>
    </row>
    <row r="270" spans="1:18" x14ac:dyDescent="0.2">
      <c r="A270" s="1055"/>
      <c r="B270" s="828" t="s">
        <v>297</v>
      </c>
      <c r="C270" s="1053">
        <f t="shared" si="45"/>
        <v>5030</v>
      </c>
      <c r="D270" s="1053">
        <f t="shared" si="45"/>
        <v>5070</v>
      </c>
      <c r="E270" s="1053">
        <f t="shared" si="45"/>
        <v>5041</v>
      </c>
      <c r="F270" s="1053">
        <f t="shared" si="45"/>
        <v>5085</v>
      </c>
      <c r="G270" s="1053">
        <f t="shared" si="45"/>
        <v>5067</v>
      </c>
      <c r="H270" s="1053">
        <f t="shared" si="45"/>
        <v>5102</v>
      </c>
      <c r="I270" s="1053">
        <f t="shared" si="45"/>
        <v>5086</v>
      </c>
      <c r="J270" s="1053">
        <f t="shared" si="45"/>
        <v>5164</v>
      </c>
      <c r="K270" s="1053">
        <f t="shared" si="45"/>
        <v>5141</v>
      </c>
      <c r="L270" s="1053">
        <f t="shared" si="45"/>
        <v>5196</v>
      </c>
      <c r="M270" s="1053">
        <f t="shared" si="45"/>
        <v>5262</v>
      </c>
      <c r="N270" s="1054">
        <f t="shared" si="45"/>
        <v>5272</v>
      </c>
      <c r="O270" s="1045">
        <f t="shared" si="46"/>
        <v>5126.333333333333</v>
      </c>
      <c r="P270" s="712">
        <f t="shared" si="47"/>
        <v>135.33333333333303</v>
      </c>
      <c r="Q270" s="713">
        <f t="shared" si="48"/>
        <v>2.7667984189723261E-2</v>
      </c>
      <c r="R270" s="1043">
        <f>SUM(Q265:Q270)</f>
        <v>5.8092288521767267E-2</v>
      </c>
    </row>
    <row r="271" spans="1:18" x14ac:dyDescent="0.2">
      <c r="A271" s="1055"/>
      <c r="B271" s="828" t="s">
        <v>300</v>
      </c>
      <c r="C271" s="1053">
        <f t="shared" si="45"/>
        <v>5300</v>
      </c>
      <c r="D271" s="1053">
        <f t="shared" si="45"/>
        <v>5270</v>
      </c>
      <c r="E271" s="1053">
        <f t="shared" si="45"/>
        <v>5214</v>
      </c>
      <c r="F271" s="1053">
        <f t="shared" si="45"/>
        <v>5280</v>
      </c>
      <c r="G271" s="1053">
        <f t="shared" si="45"/>
        <v>5289</v>
      </c>
      <c r="H271" s="1053">
        <f t="shared" si="45"/>
        <v>5344</v>
      </c>
      <c r="I271" s="1053">
        <f t="shared" si="45"/>
        <v>5315</v>
      </c>
      <c r="J271" s="1053">
        <f t="shared" si="45"/>
        <v>5326</v>
      </c>
      <c r="K271" s="1053">
        <f t="shared" si="45"/>
        <v>5260</v>
      </c>
      <c r="L271" s="1053">
        <f t="shared" si="45"/>
        <v>5801</v>
      </c>
      <c r="M271" s="1053">
        <f t="shared" si="45"/>
        <v>5765</v>
      </c>
      <c r="N271" s="1054">
        <f t="shared" si="45"/>
        <v>5296</v>
      </c>
      <c r="O271" s="1045">
        <f t="shared" si="46"/>
        <v>5371.666666666667</v>
      </c>
      <c r="P271" s="712">
        <f t="shared" si="47"/>
        <v>99.66666666666697</v>
      </c>
      <c r="Q271" s="713">
        <f t="shared" si="48"/>
        <v>1.9442096365173349E-2</v>
      </c>
      <c r="R271" s="1043">
        <f t="shared" ref="R271:R276" si="49">SUM(Q265:Q271)</f>
        <v>7.7534384886940616E-2</v>
      </c>
    </row>
    <row r="272" spans="1:18" x14ac:dyDescent="0.2">
      <c r="A272" s="1055"/>
      <c r="B272" s="828" t="s">
        <v>301</v>
      </c>
      <c r="C272" s="1053">
        <f t="shared" si="45"/>
        <v>5324</v>
      </c>
      <c r="D272" s="1053">
        <f t="shared" si="45"/>
        <v>5413</v>
      </c>
      <c r="E272" s="1053">
        <f t="shared" si="45"/>
        <v>5738</v>
      </c>
      <c r="F272" s="1053">
        <f t="shared" si="45"/>
        <v>5475</v>
      </c>
      <c r="G272" s="1053">
        <f t="shared" si="45"/>
        <v>5231</v>
      </c>
      <c r="H272" s="1053">
        <f t="shared" si="45"/>
        <v>5265</v>
      </c>
      <c r="I272" s="1053">
        <f t="shared" si="45"/>
        <v>5442</v>
      </c>
      <c r="J272" s="1053">
        <f t="shared" si="45"/>
        <v>5402</v>
      </c>
      <c r="K272" s="1053">
        <f t="shared" si="45"/>
        <v>5364</v>
      </c>
      <c r="L272" s="1053">
        <f t="shared" si="45"/>
        <v>5409</v>
      </c>
      <c r="M272" s="1053">
        <f t="shared" si="45"/>
        <v>5790</v>
      </c>
      <c r="N272" s="1054">
        <f t="shared" si="45"/>
        <v>5890</v>
      </c>
      <c r="O272" s="1045">
        <f t="shared" si="46"/>
        <v>5478.583333333333</v>
      </c>
      <c r="P272" s="712">
        <f t="shared" ref="P272:P277" si="50">SUM(O272-O271)</f>
        <v>106.91666666666606</v>
      </c>
      <c r="Q272" s="713">
        <f t="shared" si="48"/>
        <v>1.9903816320198459E-2</v>
      </c>
      <c r="R272" s="1043">
        <f t="shared" si="49"/>
        <v>0.10181538052311213</v>
      </c>
    </row>
    <row r="273" spans="1:18" x14ac:dyDescent="0.2">
      <c r="A273" s="1055"/>
      <c r="B273" s="828" t="s">
        <v>302</v>
      </c>
      <c r="C273" s="1053">
        <f t="shared" si="45"/>
        <v>5636</v>
      </c>
      <c r="D273" s="1053">
        <f t="shared" si="45"/>
        <v>5620</v>
      </c>
      <c r="E273" s="1053">
        <f t="shared" si="45"/>
        <v>5623</v>
      </c>
      <c r="F273" s="1053">
        <f t="shared" si="45"/>
        <v>5600</v>
      </c>
      <c r="G273" s="1053">
        <f t="shared" si="45"/>
        <v>5642</v>
      </c>
      <c r="H273" s="1053">
        <f t="shared" si="45"/>
        <v>5678</v>
      </c>
      <c r="I273" s="1053">
        <f t="shared" si="45"/>
        <v>5668</v>
      </c>
      <c r="J273" s="1053">
        <f t="shared" si="45"/>
        <v>5682</v>
      </c>
      <c r="K273" s="1053">
        <f t="shared" si="45"/>
        <v>5707</v>
      </c>
      <c r="L273" s="1053">
        <f t="shared" si="45"/>
        <v>5751</v>
      </c>
      <c r="M273" s="1053">
        <f t="shared" si="45"/>
        <v>5791</v>
      </c>
      <c r="N273" s="1054">
        <f t="shared" si="45"/>
        <v>5813</v>
      </c>
      <c r="O273" s="1045">
        <f>SUM(C273:N273)/12</f>
        <v>5684.25</v>
      </c>
      <c r="P273" s="712">
        <f t="shared" si="50"/>
        <v>205.66666666666697</v>
      </c>
      <c r="Q273" s="713">
        <f t="shared" si="48"/>
        <v>3.7540118339595148E-2</v>
      </c>
      <c r="R273" s="1043">
        <f t="shared" si="49"/>
        <v>0.1074632498903057</v>
      </c>
    </row>
    <row r="274" spans="1:18" x14ac:dyDescent="0.2">
      <c r="A274" s="1055"/>
      <c r="B274" s="828" t="s">
        <v>347</v>
      </c>
      <c r="C274" s="1053">
        <f t="shared" si="45"/>
        <v>5792</v>
      </c>
      <c r="D274" s="1053">
        <f t="shared" si="45"/>
        <v>5837</v>
      </c>
      <c r="E274" s="1053">
        <f t="shared" si="45"/>
        <v>5783</v>
      </c>
      <c r="F274" s="1053">
        <f t="shared" si="45"/>
        <v>5776</v>
      </c>
      <c r="G274" s="1053">
        <f t="shared" si="45"/>
        <v>5691</v>
      </c>
      <c r="H274" s="1053">
        <f t="shared" si="45"/>
        <v>5868</v>
      </c>
      <c r="I274" s="1053">
        <f t="shared" si="45"/>
        <v>5812</v>
      </c>
      <c r="J274" s="1053">
        <f t="shared" si="45"/>
        <v>5855</v>
      </c>
      <c r="K274" s="1053">
        <f t="shared" si="45"/>
        <v>5867</v>
      </c>
      <c r="L274" s="1053">
        <f t="shared" si="45"/>
        <v>5881</v>
      </c>
      <c r="M274" s="1053">
        <f t="shared" si="45"/>
        <v>5824</v>
      </c>
      <c r="N274" s="1054">
        <f t="shared" si="45"/>
        <v>5846</v>
      </c>
      <c r="O274" s="1045">
        <f>SUM(C274:N274)/12</f>
        <v>5819.333333333333</v>
      </c>
      <c r="P274" s="712">
        <f t="shared" si="50"/>
        <v>135.08333333333303</v>
      </c>
      <c r="Q274" s="713">
        <f t="shared" ref="Q274:Q279" si="51">SUM(P274/O273)</f>
        <v>2.3764495462608618E-2</v>
      </c>
      <c r="R274" s="1043">
        <f t="shared" si="49"/>
        <v>0.15353403751180655</v>
      </c>
    </row>
    <row r="275" spans="1:18" x14ac:dyDescent="0.2">
      <c r="A275" s="1055"/>
      <c r="B275" s="828" t="s">
        <v>370</v>
      </c>
      <c r="C275" s="1053">
        <f t="shared" si="45"/>
        <v>5909</v>
      </c>
      <c r="D275" s="1053">
        <f t="shared" si="45"/>
        <v>5921</v>
      </c>
      <c r="E275" s="1053">
        <f t="shared" si="45"/>
        <v>5881</v>
      </c>
      <c r="F275" s="1053">
        <f t="shared" si="45"/>
        <v>5938</v>
      </c>
      <c r="G275" s="1053">
        <f t="shared" si="45"/>
        <v>5963</v>
      </c>
      <c r="H275" s="1053">
        <f t="shared" si="45"/>
        <v>5986</v>
      </c>
      <c r="I275" s="1053">
        <f t="shared" si="45"/>
        <v>5927</v>
      </c>
      <c r="J275" s="1053">
        <f t="shared" si="45"/>
        <v>5974</v>
      </c>
      <c r="K275" s="1053">
        <f t="shared" si="45"/>
        <v>6009</v>
      </c>
      <c r="L275" s="1053">
        <f t="shared" si="45"/>
        <v>6021</v>
      </c>
      <c r="M275" s="1053">
        <f t="shared" si="45"/>
        <v>5978</v>
      </c>
      <c r="N275" s="1054">
        <f t="shared" si="45"/>
        <v>5883</v>
      </c>
      <c r="O275" s="1045">
        <f>SUM(C275:N275)/12</f>
        <v>5949.166666666667</v>
      </c>
      <c r="P275" s="712">
        <f t="shared" si="50"/>
        <v>129.83333333333394</v>
      </c>
      <c r="Q275" s="713">
        <f t="shared" si="51"/>
        <v>2.2310688509565919E-2</v>
      </c>
      <c r="R275" s="1043">
        <f t="shared" si="49"/>
        <v>0.16899325610142274</v>
      </c>
    </row>
    <row r="276" spans="1:18" x14ac:dyDescent="0.2">
      <c r="A276" s="1055"/>
      <c r="B276" s="828" t="s">
        <v>469</v>
      </c>
      <c r="C276" s="1053">
        <f t="shared" si="45"/>
        <v>5999</v>
      </c>
      <c r="D276" s="1053">
        <f t="shared" si="45"/>
        <v>6010</v>
      </c>
      <c r="E276" s="1053">
        <f t="shared" si="45"/>
        <v>6006</v>
      </c>
      <c r="F276" s="1053">
        <f t="shared" si="45"/>
        <v>6022</v>
      </c>
      <c r="G276" s="1053">
        <f t="shared" si="45"/>
        <v>6027</v>
      </c>
      <c r="H276" s="1053">
        <f t="shared" si="45"/>
        <v>6072</v>
      </c>
      <c r="I276" s="1053">
        <f t="shared" si="45"/>
        <v>6094</v>
      </c>
      <c r="J276" s="1053">
        <f t="shared" si="45"/>
        <v>6090</v>
      </c>
      <c r="K276" s="1053">
        <f t="shared" si="45"/>
        <v>6044</v>
      </c>
      <c r="L276" s="1053">
        <f t="shared" si="45"/>
        <v>6053</v>
      </c>
      <c r="M276" s="1053">
        <f t="shared" si="45"/>
        <v>6097</v>
      </c>
      <c r="N276" s="1054">
        <f t="shared" si="45"/>
        <v>6122</v>
      </c>
      <c r="O276" s="1045">
        <f>SUM(C276:N276)/12</f>
        <v>6053</v>
      </c>
      <c r="P276" s="712">
        <f t="shared" si="50"/>
        <v>103.83333333333303</v>
      </c>
      <c r="Q276" s="713">
        <f t="shared" si="51"/>
        <v>1.7453424849418635E-2</v>
      </c>
      <c r="R276" s="1043">
        <f t="shared" si="49"/>
        <v>0.16808262403628338</v>
      </c>
    </row>
    <row r="277" spans="1:18" x14ac:dyDescent="0.2">
      <c r="A277" s="1055"/>
      <c r="B277" s="828" t="s">
        <v>487</v>
      </c>
      <c r="C277" s="1053">
        <f t="shared" ref="C277:O280" si="52">SUM(C16,C35,C54,C74,C93,C112,C132,C151,C170,C190,C209,C228,C248,C257)</f>
        <v>6219</v>
      </c>
      <c r="D277" s="1053">
        <f t="shared" si="52"/>
        <v>6195</v>
      </c>
      <c r="E277" s="1053">
        <f t="shared" si="52"/>
        <v>6211</v>
      </c>
      <c r="F277" s="1053">
        <f t="shared" si="52"/>
        <v>6268</v>
      </c>
      <c r="G277" s="1053">
        <f t="shared" si="52"/>
        <v>6289</v>
      </c>
      <c r="H277" s="1053">
        <f t="shared" si="52"/>
        <v>6246</v>
      </c>
      <c r="I277" s="1053">
        <f t="shared" si="52"/>
        <v>6283</v>
      </c>
      <c r="J277" s="1053">
        <f t="shared" si="52"/>
        <v>6294</v>
      </c>
      <c r="K277" s="1053">
        <f t="shared" si="52"/>
        <v>6169</v>
      </c>
      <c r="L277" s="1053">
        <f t="shared" si="52"/>
        <v>6109</v>
      </c>
      <c r="M277" s="1053">
        <f t="shared" si="52"/>
        <v>6183</v>
      </c>
      <c r="N277" s="1054">
        <f t="shared" si="52"/>
        <v>6197</v>
      </c>
      <c r="O277" s="1045">
        <f t="shared" si="52"/>
        <v>6221.9166666666652</v>
      </c>
      <c r="P277" s="712">
        <f t="shared" si="50"/>
        <v>168.91666666666515</v>
      </c>
      <c r="Q277" s="713">
        <f t="shared" si="51"/>
        <v>2.7906272371826392E-2</v>
      </c>
      <c r="R277" s="1043">
        <f>SUM(Q271:Q277)</f>
        <v>0.16832091221838652</v>
      </c>
    </row>
    <row r="278" spans="1:18" x14ac:dyDescent="0.2">
      <c r="A278" s="1055"/>
      <c r="B278" s="828" t="s">
        <v>561</v>
      </c>
      <c r="C278" s="1053">
        <f t="shared" si="52"/>
        <v>6254</v>
      </c>
      <c r="D278" s="1053">
        <f t="shared" si="52"/>
        <v>6195</v>
      </c>
      <c r="E278" s="1053">
        <f t="shared" si="52"/>
        <v>6259</v>
      </c>
      <c r="F278" s="1053">
        <f t="shared" si="52"/>
        <v>6210</v>
      </c>
      <c r="G278" s="1053">
        <f t="shared" si="52"/>
        <v>6164</v>
      </c>
      <c r="H278" s="1053">
        <f t="shared" si="52"/>
        <v>6214</v>
      </c>
      <c r="I278" s="1053">
        <f t="shared" si="52"/>
        <v>6176</v>
      </c>
      <c r="J278" s="1053">
        <f t="shared" si="52"/>
        <v>6172</v>
      </c>
      <c r="K278" s="1053">
        <f t="shared" si="52"/>
        <v>6086</v>
      </c>
      <c r="L278" s="1053">
        <f t="shared" si="52"/>
        <v>6077</v>
      </c>
      <c r="M278" s="1053">
        <f t="shared" si="52"/>
        <v>6086</v>
      </c>
      <c r="N278" s="1054">
        <f t="shared" si="52"/>
        <v>6159</v>
      </c>
      <c r="O278" s="1045">
        <f t="shared" si="52"/>
        <v>6171.0000000000009</v>
      </c>
      <c r="P278" s="712">
        <f>SUM(O278-O277)</f>
        <v>-50.916666666664241</v>
      </c>
      <c r="Q278" s="713">
        <f t="shared" si="51"/>
        <v>-8.1834375795236062E-3</v>
      </c>
      <c r="R278" s="1043">
        <f>SUM(Q272:Q278)</f>
        <v>0.14069537827368955</v>
      </c>
    </row>
    <row r="279" spans="1:18" x14ac:dyDescent="0.2">
      <c r="A279" s="1055"/>
      <c r="B279" s="828" t="s">
        <v>660</v>
      </c>
      <c r="C279" s="1053">
        <f t="shared" si="52"/>
        <v>6046</v>
      </c>
      <c r="D279" s="1053">
        <f t="shared" si="52"/>
        <v>5977</v>
      </c>
      <c r="E279" s="1053">
        <f t="shared" si="52"/>
        <v>5919</v>
      </c>
      <c r="F279" s="1053">
        <f t="shared" si="52"/>
        <v>5878</v>
      </c>
      <c r="G279" s="1053">
        <f t="shared" si="52"/>
        <v>5876</v>
      </c>
      <c r="H279" s="1053">
        <f t="shared" si="52"/>
        <v>5773</v>
      </c>
      <c r="I279" s="1053">
        <f t="shared" si="52"/>
        <v>5785</v>
      </c>
      <c r="J279" s="1053">
        <f t="shared" si="52"/>
        <v>5754</v>
      </c>
      <c r="K279" s="1053">
        <f t="shared" si="52"/>
        <v>5747</v>
      </c>
      <c r="L279" s="1053">
        <f t="shared" si="52"/>
        <v>5612</v>
      </c>
      <c r="M279" s="1053">
        <f t="shared" si="52"/>
        <v>5667</v>
      </c>
      <c r="N279" s="1054">
        <f t="shared" si="52"/>
        <v>5672</v>
      </c>
      <c r="O279" s="1045">
        <f t="shared" si="52"/>
        <v>5808.833333333333</v>
      </c>
      <c r="P279" s="712">
        <f>SUM(O279-O278)</f>
        <v>-362.16666666666788</v>
      </c>
      <c r="Q279" s="713">
        <f t="shared" si="51"/>
        <v>-5.8688489169772783E-2</v>
      </c>
      <c r="R279" s="1043">
        <f>SUM(Q273:Q279)</f>
        <v>6.2103072783718329E-2</v>
      </c>
    </row>
    <row r="280" spans="1:18" s="853" customFormat="1" x14ac:dyDescent="0.2">
      <c r="A280" s="1037"/>
      <c r="B280" s="1036" t="s">
        <v>661</v>
      </c>
      <c r="C280" s="1035">
        <f t="shared" si="52"/>
        <v>5433</v>
      </c>
      <c r="D280" s="1035">
        <f t="shared" si="52"/>
        <v>5487</v>
      </c>
      <c r="E280" s="1035">
        <f t="shared" si="52"/>
        <v>5411</v>
      </c>
      <c r="F280" s="1035">
        <f t="shared" si="52"/>
        <v>5423</v>
      </c>
      <c r="G280" s="1035">
        <f t="shared" si="52"/>
        <v>5368</v>
      </c>
      <c r="H280" s="1035">
        <f t="shared" si="52"/>
        <v>5293</v>
      </c>
      <c r="I280" s="1035">
        <f t="shared" si="52"/>
        <v>5267</v>
      </c>
      <c r="J280" s="1035">
        <f t="shared" si="52"/>
        <v>5284</v>
      </c>
      <c r="K280" s="1035">
        <f t="shared" si="52"/>
        <v>5341</v>
      </c>
      <c r="L280" s="1035">
        <f t="shared" si="52"/>
        <v>5347</v>
      </c>
      <c r="M280" s="1035">
        <f t="shared" si="52"/>
        <v>5336</v>
      </c>
      <c r="N280" s="1034">
        <f t="shared" si="52"/>
        <v>5326</v>
      </c>
      <c r="O280" s="1042">
        <f t="shared" si="52"/>
        <v>5359.6666666666661</v>
      </c>
      <c r="P280" s="1041">
        <f>SUM(O280-O279)</f>
        <v>-449.16666666666697</v>
      </c>
      <c r="Q280" s="1040">
        <f>SUM(P280/O279)</f>
        <v>-7.7324764008837171E-2</v>
      </c>
      <c r="R280" s="1039">
        <f>SUM(Q274:Q280)</f>
        <v>-5.2761809564714011E-2</v>
      </c>
    </row>
    <row r="282" spans="1:18" x14ac:dyDescent="0.2">
      <c r="A282" s="557" t="s">
        <v>958</v>
      </c>
      <c r="G282" s="1056">
        <f>O280</f>
        <v>5359.6666666666661</v>
      </c>
    </row>
    <row r="286" spans="1:18" x14ac:dyDescent="0.2">
      <c r="A286" s="823"/>
      <c r="B286" s="823"/>
      <c r="C286" s="823"/>
      <c r="D286" s="823"/>
      <c r="E286" s="823"/>
      <c r="F286" s="823"/>
      <c r="G286" s="823"/>
      <c r="H286" s="823"/>
      <c r="I286" s="823"/>
      <c r="J286" s="823"/>
      <c r="K286" s="823"/>
      <c r="L286" s="823"/>
      <c r="M286" s="823"/>
      <c r="N286" s="823"/>
      <c r="O286" s="823"/>
      <c r="P286" s="823"/>
      <c r="Q286" s="823"/>
    </row>
    <row r="287" spans="1:18" ht="38.25" x14ac:dyDescent="0.2">
      <c r="A287" s="175" t="s">
        <v>432</v>
      </c>
      <c r="B287" s="176" t="s">
        <v>433</v>
      </c>
      <c r="C287" s="179" t="s">
        <v>434</v>
      </c>
      <c r="D287" s="179" t="s">
        <v>435</v>
      </c>
      <c r="E287" s="179" t="s">
        <v>436</v>
      </c>
      <c r="F287" s="179" t="s">
        <v>437</v>
      </c>
      <c r="G287" s="179" t="s">
        <v>438</v>
      </c>
      <c r="H287" s="179" t="s">
        <v>439</v>
      </c>
      <c r="I287" s="179" t="s">
        <v>440</v>
      </c>
      <c r="J287" s="179" t="s">
        <v>441</v>
      </c>
      <c r="K287" s="179" t="s">
        <v>442</v>
      </c>
      <c r="L287" s="179" t="s">
        <v>443</v>
      </c>
      <c r="M287" s="179" t="s">
        <v>444</v>
      </c>
      <c r="N287" s="179" t="s">
        <v>445</v>
      </c>
      <c r="O287" s="174" t="s">
        <v>446</v>
      </c>
      <c r="P287" s="824" t="s">
        <v>447</v>
      </c>
      <c r="Q287" s="824" t="s">
        <v>448</v>
      </c>
    </row>
    <row r="288" spans="1:18" x14ac:dyDescent="0.2">
      <c r="B288" t="s">
        <v>449</v>
      </c>
      <c r="C288">
        <v>1998</v>
      </c>
      <c r="D288">
        <v>2016</v>
      </c>
      <c r="E288">
        <v>1984</v>
      </c>
      <c r="F288">
        <v>2010</v>
      </c>
      <c r="G288">
        <v>2067</v>
      </c>
      <c r="H288">
        <v>2078</v>
      </c>
      <c r="I288">
        <v>2078</v>
      </c>
      <c r="J288">
        <v>2085</v>
      </c>
      <c r="K288">
        <v>2134</v>
      </c>
      <c r="L288">
        <v>2136</v>
      </c>
      <c r="M288">
        <v>2135</v>
      </c>
      <c r="N288">
        <v>2143</v>
      </c>
      <c r="O288">
        <f>SUM(C288:N288)/12</f>
        <v>2072</v>
      </c>
    </row>
    <row r="289" spans="2:17" x14ac:dyDescent="0.2">
      <c r="B289" t="s">
        <v>450</v>
      </c>
      <c r="C289">
        <v>2155</v>
      </c>
      <c r="D289">
        <v>2157</v>
      </c>
      <c r="E289">
        <v>2172</v>
      </c>
      <c r="F289">
        <v>2180</v>
      </c>
      <c r="G289">
        <v>2183</v>
      </c>
      <c r="H289">
        <v>2205</v>
      </c>
      <c r="I289">
        <v>2192</v>
      </c>
      <c r="J289">
        <v>2191</v>
      </c>
      <c r="K289">
        <v>2183</v>
      </c>
      <c r="L289">
        <v>2183</v>
      </c>
      <c r="M289">
        <v>2191</v>
      </c>
      <c r="N289">
        <v>2189</v>
      </c>
      <c r="O289" s="173">
        <f t="shared" ref="O289:O303" si="53">SUM(C289:N289)/12</f>
        <v>2181.75</v>
      </c>
      <c r="P289" s="173">
        <f t="shared" ref="P289:P303" si="54">SUM(O289-O288)</f>
        <v>109.75</v>
      </c>
      <c r="Q289" s="177">
        <f>SUM(P289/O288)</f>
        <v>5.2968146718146716E-2</v>
      </c>
    </row>
    <row r="290" spans="2:17" x14ac:dyDescent="0.2">
      <c r="B290" t="s">
        <v>451</v>
      </c>
      <c r="C290">
        <v>2201</v>
      </c>
      <c r="D290">
        <v>2233</v>
      </c>
      <c r="E290">
        <v>2235</v>
      </c>
      <c r="F290">
        <v>2252</v>
      </c>
      <c r="G290">
        <v>2259</v>
      </c>
      <c r="H290">
        <v>2271</v>
      </c>
      <c r="I290">
        <v>2271</v>
      </c>
      <c r="J290">
        <v>2307</v>
      </c>
      <c r="K290">
        <v>2319</v>
      </c>
      <c r="L290">
        <v>2331</v>
      </c>
      <c r="M290">
        <v>2343</v>
      </c>
      <c r="N290">
        <v>2355</v>
      </c>
      <c r="O290" s="173">
        <f t="shared" si="53"/>
        <v>2281.4166666666665</v>
      </c>
      <c r="P290" s="173">
        <f t="shared" si="54"/>
        <v>99.666666666666515</v>
      </c>
      <c r="Q290" s="177">
        <f t="shared" ref="Q290:Q295" si="55">SUM(P290/O289)</f>
        <v>4.5681983117527906E-2</v>
      </c>
    </row>
    <row r="291" spans="2:17" x14ac:dyDescent="0.2">
      <c r="B291" t="s">
        <v>267</v>
      </c>
      <c r="C291">
        <v>2324</v>
      </c>
      <c r="D291">
        <v>2433</v>
      </c>
      <c r="E291">
        <v>2266</v>
      </c>
      <c r="F291">
        <v>2266</v>
      </c>
      <c r="G291">
        <v>2306</v>
      </c>
      <c r="H291">
        <v>2306</v>
      </c>
      <c r="I291">
        <v>2306</v>
      </c>
      <c r="J291">
        <v>2334</v>
      </c>
      <c r="K291">
        <v>2230</v>
      </c>
      <c r="L291">
        <v>2230</v>
      </c>
      <c r="M291">
        <v>2230</v>
      </c>
      <c r="N291">
        <v>2230</v>
      </c>
      <c r="O291" s="173">
        <f t="shared" si="53"/>
        <v>2288.4166666666665</v>
      </c>
      <c r="P291" s="173">
        <f t="shared" si="54"/>
        <v>7</v>
      </c>
      <c r="Q291" s="177">
        <f t="shared" si="55"/>
        <v>3.0682689849143444E-3</v>
      </c>
    </row>
    <row r="292" spans="2:17" x14ac:dyDescent="0.2">
      <c r="B292" t="s">
        <v>266</v>
      </c>
      <c r="C292">
        <v>2408</v>
      </c>
      <c r="D292">
        <v>2335</v>
      </c>
      <c r="E292">
        <v>2353</v>
      </c>
      <c r="F292">
        <v>2353</v>
      </c>
      <c r="G292">
        <v>2311</v>
      </c>
      <c r="H292">
        <v>2367</v>
      </c>
      <c r="I292">
        <v>2367</v>
      </c>
      <c r="J292">
        <v>2352</v>
      </c>
      <c r="K292">
        <v>2336</v>
      </c>
      <c r="L292">
        <v>2336</v>
      </c>
      <c r="M292">
        <v>2292</v>
      </c>
      <c r="N292">
        <v>2318</v>
      </c>
      <c r="O292" s="173">
        <f t="shared" si="53"/>
        <v>2344</v>
      </c>
      <c r="P292" s="173">
        <f t="shared" si="54"/>
        <v>55.583333333333485</v>
      </c>
      <c r="Q292" s="177">
        <f t="shared" si="55"/>
        <v>2.4288991660900983E-2</v>
      </c>
    </row>
    <row r="293" spans="2:17" x14ac:dyDescent="0.2">
      <c r="B293" t="s">
        <v>287</v>
      </c>
      <c r="C293">
        <v>2312</v>
      </c>
      <c r="D293">
        <v>2305</v>
      </c>
      <c r="E293">
        <v>2318</v>
      </c>
      <c r="F293">
        <v>2318</v>
      </c>
      <c r="G293">
        <v>2350</v>
      </c>
      <c r="H293">
        <v>2314</v>
      </c>
      <c r="I293">
        <v>2314</v>
      </c>
      <c r="J293">
        <v>2426</v>
      </c>
      <c r="K293">
        <v>2400</v>
      </c>
      <c r="L293">
        <v>2454</v>
      </c>
      <c r="M293">
        <v>2536</v>
      </c>
      <c r="N293">
        <v>2334</v>
      </c>
      <c r="O293" s="173">
        <f t="shared" si="53"/>
        <v>2365.0833333333335</v>
      </c>
      <c r="P293" s="173">
        <f t="shared" si="54"/>
        <v>21.083333333333485</v>
      </c>
      <c r="Q293" s="177">
        <f t="shared" si="55"/>
        <v>8.9945961319682095E-3</v>
      </c>
    </row>
    <row r="294" spans="2:17" x14ac:dyDescent="0.2">
      <c r="B294" t="s">
        <v>297</v>
      </c>
      <c r="C294">
        <v>2357</v>
      </c>
      <c r="D294">
        <v>2384</v>
      </c>
      <c r="E294">
        <v>2387</v>
      </c>
      <c r="F294">
        <v>2410</v>
      </c>
      <c r="G294">
        <v>2414</v>
      </c>
      <c r="H294">
        <v>2444</v>
      </c>
      <c r="I294">
        <v>2444</v>
      </c>
      <c r="J294">
        <v>2433</v>
      </c>
      <c r="K294">
        <v>2417</v>
      </c>
      <c r="L294">
        <v>2424</v>
      </c>
      <c r="M294">
        <v>2443</v>
      </c>
      <c r="N294">
        <v>2445</v>
      </c>
      <c r="O294" s="173">
        <f t="shared" si="53"/>
        <v>2416.8333333333335</v>
      </c>
      <c r="P294" s="173">
        <f t="shared" si="54"/>
        <v>51.75</v>
      </c>
      <c r="Q294" s="177">
        <f t="shared" si="55"/>
        <v>2.1880835770409779E-2</v>
      </c>
    </row>
    <row r="295" spans="2:17" x14ac:dyDescent="0.2">
      <c r="B295" t="s">
        <v>300</v>
      </c>
      <c r="C295">
        <v>2453</v>
      </c>
      <c r="D295">
        <v>2437</v>
      </c>
      <c r="E295">
        <v>2420</v>
      </c>
      <c r="F295">
        <v>2487</v>
      </c>
      <c r="G295">
        <v>2437</v>
      </c>
      <c r="H295">
        <v>2479</v>
      </c>
      <c r="I295">
        <v>2466</v>
      </c>
      <c r="J295">
        <v>2488</v>
      </c>
      <c r="K295">
        <v>2477</v>
      </c>
      <c r="L295">
        <v>2562</v>
      </c>
      <c r="M295">
        <v>2557</v>
      </c>
      <c r="N295">
        <v>2455</v>
      </c>
      <c r="O295" s="173">
        <f t="shared" si="53"/>
        <v>2476.5</v>
      </c>
      <c r="P295" s="173">
        <f t="shared" si="54"/>
        <v>59.666666666666515</v>
      </c>
      <c r="Q295" s="177">
        <f t="shared" si="55"/>
        <v>2.4687952554996142E-2</v>
      </c>
    </row>
    <row r="296" spans="2:17" x14ac:dyDescent="0.2">
      <c r="B296" t="s">
        <v>301</v>
      </c>
      <c r="C296">
        <v>2495</v>
      </c>
      <c r="D296">
        <v>2542</v>
      </c>
      <c r="E296">
        <v>2644</v>
      </c>
      <c r="F296">
        <v>2580</v>
      </c>
      <c r="G296">
        <v>2273</v>
      </c>
      <c r="H296">
        <v>2302</v>
      </c>
      <c r="I296">
        <v>2395</v>
      </c>
      <c r="J296">
        <v>2404</v>
      </c>
      <c r="K296">
        <v>2394</v>
      </c>
      <c r="L296">
        <v>2426</v>
      </c>
      <c r="M296">
        <v>2689</v>
      </c>
      <c r="N296">
        <v>2739</v>
      </c>
      <c r="O296" s="173">
        <f t="shared" si="53"/>
        <v>2490.25</v>
      </c>
      <c r="P296" s="173">
        <f t="shared" si="54"/>
        <v>13.75</v>
      </c>
      <c r="Q296" s="177">
        <f t="shared" ref="Q296:Q301" si="56">SUM(P296/O295)</f>
        <v>5.5521905915606705E-3</v>
      </c>
    </row>
    <row r="297" spans="2:17" x14ac:dyDescent="0.2">
      <c r="B297" t="s">
        <v>302</v>
      </c>
      <c r="C297">
        <v>2704</v>
      </c>
      <c r="D297">
        <v>2698</v>
      </c>
      <c r="E297">
        <v>2694</v>
      </c>
      <c r="F297">
        <v>2677</v>
      </c>
      <c r="G297">
        <v>2732</v>
      </c>
      <c r="H297">
        <v>2755</v>
      </c>
      <c r="I297">
        <v>2778</v>
      </c>
      <c r="J297">
        <v>2778</v>
      </c>
      <c r="K297">
        <v>2775</v>
      </c>
      <c r="L297">
        <v>2782</v>
      </c>
      <c r="M297">
        <v>2819</v>
      </c>
      <c r="N297">
        <v>2864</v>
      </c>
      <c r="O297" s="173">
        <f t="shared" si="53"/>
        <v>2754.6666666666665</v>
      </c>
      <c r="P297" s="173">
        <f t="shared" si="54"/>
        <v>264.41666666666652</v>
      </c>
      <c r="Q297" s="177">
        <f t="shared" si="56"/>
        <v>0.10618077167620379</v>
      </c>
    </row>
    <row r="298" spans="2:17" x14ac:dyDescent="0.2">
      <c r="B298" t="s">
        <v>347</v>
      </c>
      <c r="C298">
        <v>2871</v>
      </c>
      <c r="D298">
        <v>2904</v>
      </c>
      <c r="E298">
        <v>2884</v>
      </c>
      <c r="F298">
        <v>2895</v>
      </c>
      <c r="G298">
        <v>2826</v>
      </c>
      <c r="H298">
        <v>2865</v>
      </c>
      <c r="I298">
        <v>2853</v>
      </c>
      <c r="J298">
        <v>2903</v>
      </c>
      <c r="K298">
        <v>2885</v>
      </c>
      <c r="L298">
        <v>2910</v>
      </c>
      <c r="M298">
        <v>2930</v>
      </c>
      <c r="N298">
        <v>2884</v>
      </c>
      <c r="O298" s="173">
        <f t="shared" si="53"/>
        <v>2884.1666666666665</v>
      </c>
      <c r="P298" s="173">
        <f t="shared" si="54"/>
        <v>129.5</v>
      </c>
      <c r="Q298" s="177">
        <f t="shared" si="56"/>
        <v>4.7011132623426911E-2</v>
      </c>
    </row>
    <row r="299" spans="2:17" x14ac:dyDescent="0.2">
      <c r="B299" t="s">
        <v>370</v>
      </c>
      <c r="C299">
        <v>2896</v>
      </c>
      <c r="D299">
        <v>2980</v>
      </c>
      <c r="E299">
        <v>2969</v>
      </c>
      <c r="F299">
        <v>2961</v>
      </c>
      <c r="G299">
        <v>3022</v>
      </c>
      <c r="H299">
        <v>3037</v>
      </c>
      <c r="I299">
        <v>3049</v>
      </c>
      <c r="J299">
        <v>3076</v>
      </c>
      <c r="K299">
        <v>3088</v>
      </c>
      <c r="L299">
        <v>3074</v>
      </c>
      <c r="M299">
        <v>3058</v>
      </c>
      <c r="N299">
        <v>2954</v>
      </c>
      <c r="O299" s="173">
        <f t="shared" si="53"/>
        <v>3013.6666666666665</v>
      </c>
      <c r="P299" s="173">
        <f t="shared" si="54"/>
        <v>129.5</v>
      </c>
      <c r="Q299" s="177">
        <f t="shared" si="56"/>
        <v>4.4900317827217567E-2</v>
      </c>
    </row>
    <row r="300" spans="2:17" x14ac:dyDescent="0.2">
      <c r="B300" t="s">
        <v>452</v>
      </c>
      <c r="C300">
        <v>3027</v>
      </c>
      <c r="D300">
        <v>3039</v>
      </c>
      <c r="E300">
        <v>3034</v>
      </c>
      <c r="F300">
        <v>3040</v>
      </c>
      <c r="G300">
        <v>3022</v>
      </c>
      <c r="H300">
        <v>3057</v>
      </c>
      <c r="I300">
        <v>3074</v>
      </c>
      <c r="J300">
        <v>3088</v>
      </c>
      <c r="K300">
        <v>3056</v>
      </c>
      <c r="L300">
        <v>3094</v>
      </c>
      <c r="M300">
        <v>3138</v>
      </c>
      <c r="N300">
        <v>3130</v>
      </c>
      <c r="O300" s="173">
        <f t="shared" si="53"/>
        <v>3066.5833333333335</v>
      </c>
      <c r="P300" s="173">
        <f t="shared" si="54"/>
        <v>52.91666666666697</v>
      </c>
      <c r="Q300" s="177">
        <f t="shared" si="56"/>
        <v>1.7558898351952318E-2</v>
      </c>
    </row>
    <row r="301" spans="2:17" x14ac:dyDescent="0.2">
      <c r="B301" t="s">
        <v>487</v>
      </c>
      <c r="C301">
        <v>3123</v>
      </c>
      <c r="D301">
        <v>3065</v>
      </c>
      <c r="E301">
        <v>3115</v>
      </c>
      <c r="F301">
        <v>3134</v>
      </c>
      <c r="G301">
        <v>3160</v>
      </c>
      <c r="H301">
        <v>3165</v>
      </c>
      <c r="I301">
        <v>3166</v>
      </c>
      <c r="J301">
        <v>3187</v>
      </c>
      <c r="K301">
        <v>3069</v>
      </c>
      <c r="L301">
        <v>3020</v>
      </c>
      <c r="M301">
        <v>3040</v>
      </c>
      <c r="N301">
        <v>3070</v>
      </c>
      <c r="O301" s="173">
        <f t="shared" si="53"/>
        <v>3109.5</v>
      </c>
      <c r="P301" s="173">
        <f t="shared" si="54"/>
        <v>42.916666666666515</v>
      </c>
      <c r="Q301" s="177">
        <f t="shared" si="56"/>
        <v>1.3994945514823722E-2</v>
      </c>
    </row>
    <row r="302" spans="2:17" x14ac:dyDescent="0.2">
      <c r="B302" t="s">
        <v>561</v>
      </c>
      <c r="C302">
        <v>3068</v>
      </c>
      <c r="D302">
        <v>3065</v>
      </c>
      <c r="E302">
        <v>3103</v>
      </c>
      <c r="F302">
        <v>3034</v>
      </c>
      <c r="G302">
        <v>3036</v>
      </c>
      <c r="H302">
        <v>3045</v>
      </c>
      <c r="I302">
        <v>3049</v>
      </c>
      <c r="J302">
        <v>3041</v>
      </c>
      <c r="K302">
        <v>2986</v>
      </c>
      <c r="L302">
        <v>2936</v>
      </c>
      <c r="M302">
        <v>2897</v>
      </c>
      <c r="N302">
        <v>2906</v>
      </c>
      <c r="O302" s="173">
        <f t="shared" si="53"/>
        <v>3013.8333333333335</v>
      </c>
      <c r="P302" s="173">
        <f t="shared" si="54"/>
        <v>-95.666666666666515</v>
      </c>
      <c r="Q302" s="177">
        <f>SUM(P302/O301)</f>
        <v>-3.0765932357828114E-2</v>
      </c>
    </row>
    <row r="303" spans="2:17" x14ac:dyDescent="0.2">
      <c r="B303" t="s">
        <v>660</v>
      </c>
      <c r="C303">
        <v>2911</v>
      </c>
      <c r="D303">
        <v>2880</v>
      </c>
      <c r="E303">
        <v>2853</v>
      </c>
      <c r="F303">
        <v>2835</v>
      </c>
      <c r="G303">
        <v>2828</v>
      </c>
      <c r="H303">
        <v>2758</v>
      </c>
      <c r="I303">
        <v>2810</v>
      </c>
      <c r="J303">
        <v>2815</v>
      </c>
      <c r="K303">
        <v>2770</v>
      </c>
      <c r="L303">
        <v>2722</v>
      </c>
      <c r="M303">
        <v>2761</v>
      </c>
      <c r="N303">
        <v>2747</v>
      </c>
      <c r="O303" s="173">
        <f t="shared" si="53"/>
        <v>2807.5</v>
      </c>
      <c r="P303" s="173">
        <f t="shared" si="54"/>
        <v>-206.33333333333348</v>
      </c>
      <c r="Q303" s="177">
        <f>SUM(P303/O302)</f>
        <v>-6.846209146712387E-2</v>
      </c>
    </row>
    <row r="304" spans="2:17" x14ac:dyDescent="0.2">
      <c r="B304" t="s">
        <v>661</v>
      </c>
      <c r="C304">
        <v>2607</v>
      </c>
      <c r="D304">
        <v>2654</v>
      </c>
      <c r="E304">
        <v>2602</v>
      </c>
      <c r="O304" s="173"/>
      <c r="P304" s="173"/>
      <c r="Q304" s="177"/>
    </row>
    <row r="305" spans="1:17" x14ac:dyDescent="0.2">
      <c r="O305" s="173"/>
      <c r="P305" s="173"/>
      <c r="Q305" s="177"/>
    </row>
    <row r="306" spans="1:17" ht="25.5" x14ac:dyDescent="0.2">
      <c r="A306" s="175" t="s">
        <v>453</v>
      </c>
      <c r="B306" s="176" t="s">
        <v>433</v>
      </c>
      <c r="C306" s="179" t="s">
        <v>434</v>
      </c>
      <c r="D306" s="179" t="s">
        <v>435</v>
      </c>
      <c r="E306" s="179" t="s">
        <v>436</v>
      </c>
      <c r="F306" s="179" t="s">
        <v>437</v>
      </c>
      <c r="G306" s="179" t="s">
        <v>438</v>
      </c>
      <c r="H306" s="179" t="s">
        <v>439</v>
      </c>
      <c r="I306" s="179" t="s">
        <v>440</v>
      </c>
      <c r="J306" s="179" t="s">
        <v>441</v>
      </c>
      <c r="K306" s="179" t="s">
        <v>442</v>
      </c>
      <c r="L306" s="179" t="s">
        <v>443</v>
      </c>
      <c r="M306" s="179" t="s">
        <v>444</v>
      </c>
      <c r="N306" s="179" t="s">
        <v>445</v>
      </c>
    </row>
    <row r="307" spans="1:17" x14ac:dyDescent="0.2">
      <c r="B307" t="s">
        <v>449</v>
      </c>
      <c r="C307">
        <v>83</v>
      </c>
      <c r="D307">
        <v>80</v>
      </c>
      <c r="E307">
        <v>74</v>
      </c>
      <c r="F307">
        <v>78</v>
      </c>
      <c r="G307">
        <v>79</v>
      </c>
      <c r="H307">
        <v>81</v>
      </c>
      <c r="I307">
        <v>82</v>
      </c>
      <c r="J307">
        <v>83</v>
      </c>
      <c r="K307">
        <v>82</v>
      </c>
      <c r="L307">
        <v>83</v>
      </c>
      <c r="M307">
        <v>85</v>
      </c>
      <c r="N307">
        <v>87</v>
      </c>
      <c r="O307" s="173">
        <f t="shared" ref="O307:O315" si="57">SUM(C307:N307)/12</f>
        <v>81.416666666666671</v>
      </c>
      <c r="P307" s="173"/>
    </row>
    <row r="308" spans="1:17" x14ac:dyDescent="0.2">
      <c r="B308" t="s">
        <v>450</v>
      </c>
      <c r="C308">
        <v>92</v>
      </c>
      <c r="D308">
        <v>93</v>
      </c>
      <c r="E308">
        <v>94</v>
      </c>
      <c r="F308">
        <v>97</v>
      </c>
      <c r="G308">
        <v>98</v>
      </c>
      <c r="H308">
        <v>95</v>
      </c>
      <c r="I308">
        <v>89</v>
      </c>
      <c r="J308">
        <v>93</v>
      </c>
      <c r="K308">
        <v>90</v>
      </c>
      <c r="L308">
        <v>97</v>
      </c>
      <c r="M308">
        <v>99</v>
      </c>
      <c r="N308">
        <v>92</v>
      </c>
      <c r="O308" s="173">
        <f t="shared" si="57"/>
        <v>94.083333333333329</v>
      </c>
      <c r="P308" s="173">
        <f t="shared" ref="P308:P315" si="58">SUM(O308-O307)</f>
        <v>12.666666666666657</v>
      </c>
      <c r="Q308" s="177">
        <f t="shared" ref="Q308:Q314" si="59">SUM(P308/O307)</f>
        <v>0.15557830092118718</v>
      </c>
    </row>
    <row r="309" spans="1:17" x14ac:dyDescent="0.2">
      <c r="B309" t="s">
        <v>451</v>
      </c>
      <c r="C309">
        <v>90</v>
      </c>
      <c r="D309">
        <v>91</v>
      </c>
      <c r="E309">
        <v>92</v>
      </c>
      <c r="F309">
        <v>100</v>
      </c>
      <c r="G309">
        <v>99</v>
      </c>
      <c r="H309">
        <v>111</v>
      </c>
      <c r="I309">
        <v>102</v>
      </c>
      <c r="J309">
        <v>94</v>
      </c>
      <c r="K309">
        <v>96</v>
      </c>
      <c r="L309">
        <v>98</v>
      </c>
      <c r="M309">
        <v>93</v>
      </c>
      <c r="N309">
        <v>89</v>
      </c>
      <c r="O309" s="173">
        <f t="shared" si="57"/>
        <v>96.25</v>
      </c>
      <c r="P309" s="173">
        <f t="shared" si="58"/>
        <v>2.1666666666666714</v>
      </c>
      <c r="Q309" s="177">
        <f t="shared" si="59"/>
        <v>2.3029229406554524E-2</v>
      </c>
    </row>
    <row r="310" spans="1:17" x14ac:dyDescent="0.2">
      <c r="B310" t="s">
        <v>267</v>
      </c>
      <c r="C310">
        <v>72</v>
      </c>
      <c r="D310">
        <v>74</v>
      </c>
      <c r="E310">
        <v>73</v>
      </c>
      <c r="F310">
        <v>73</v>
      </c>
      <c r="G310">
        <v>73</v>
      </c>
      <c r="H310">
        <v>73</v>
      </c>
      <c r="I310">
        <v>73</v>
      </c>
      <c r="J310">
        <v>65</v>
      </c>
      <c r="K310">
        <v>65</v>
      </c>
      <c r="L310">
        <v>65</v>
      </c>
      <c r="M310">
        <v>65</v>
      </c>
      <c r="N310">
        <v>60</v>
      </c>
      <c r="O310" s="173">
        <f t="shared" si="57"/>
        <v>69.25</v>
      </c>
      <c r="P310" s="173">
        <f t="shared" si="58"/>
        <v>-27</v>
      </c>
      <c r="Q310" s="177">
        <f t="shared" si="59"/>
        <v>-0.2805194805194805</v>
      </c>
    </row>
    <row r="311" spans="1:17" x14ac:dyDescent="0.2">
      <c r="B311" t="s">
        <v>266</v>
      </c>
      <c r="C311">
        <v>59</v>
      </c>
      <c r="D311">
        <v>58</v>
      </c>
      <c r="E311">
        <v>59</v>
      </c>
      <c r="F311">
        <v>60</v>
      </c>
      <c r="G311">
        <v>56</v>
      </c>
      <c r="H311">
        <v>54</v>
      </c>
      <c r="I311">
        <v>54</v>
      </c>
      <c r="J311">
        <v>51</v>
      </c>
      <c r="K311">
        <v>53</v>
      </c>
      <c r="L311">
        <v>59</v>
      </c>
      <c r="M311">
        <v>64</v>
      </c>
      <c r="N311">
        <v>62</v>
      </c>
      <c r="O311" s="173">
        <f t="shared" si="57"/>
        <v>57.416666666666664</v>
      </c>
      <c r="P311" s="173">
        <f t="shared" si="58"/>
        <v>-11.833333333333336</v>
      </c>
      <c r="Q311" s="177">
        <f t="shared" si="59"/>
        <v>-0.17087845968712398</v>
      </c>
    </row>
    <row r="312" spans="1:17" x14ac:dyDescent="0.2">
      <c r="B312" t="s">
        <v>287</v>
      </c>
      <c r="C312">
        <v>66</v>
      </c>
      <c r="D312">
        <v>68</v>
      </c>
      <c r="E312">
        <v>66</v>
      </c>
      <c r="F312">
        <v>65</v>
      </c>
      <c r="G312">
        <v>63</v>
      </c>
      <c r="H312">
        <v>68</v>
      </c>
      <c r="I312">
        <v>63</v>
      </c>
      <c r="J312">
        <v>57</v>
      </c>
      <c r="K312">
        <v>45</v>
      </c>
      <c r="L312">
        <v>45</v>
      </c>
      <c r="M312">
        <v>47</v>
      </c>
      <c r="N312">
        <v>49</v>
      </c>
      <c r="O312" s="173">
        <f t="shared" si="57"/>
        <v>58.5</v>
      </c>
      <c r="P312" s="173">
        <f t="shared" si="58"/>
        <v>1.0833333333333357</v>
      </c>
      <c r="Q312" s="177">
        <f t="shared" si="59"/>
        <v>1.8867924528301928E-2</v>
      </c>
    </row>
    <row r="313" spans="1:17" x14ac:dyDescent="0.2">
      <c r="B313" t="s">
        <v>297</v>
      </c>
      <c r="C313">
        <v>47</v>
      </c>
      <c r="D313">
        <v>45</v>
      </c>
      <c r="E313">
        <v>45</v>
      </c>
      <c r="F313">
        <v>47</v>
      </c>
      <c r="G313">
        <v>47</v>
      </c>
      <c r="H313">
        <v>42</v>
      </c>
      <c r="I313">
        <v>40</v>
      </c>
      <c r="J313">
        <v>42</v>
      </c>
      <c r="K313">
        <v>47</v>
      </c>
      <c r="L313">
        <v>46</v>
      </c>
      <c r="M313">
        <v>41</v>
      </c>
      <c r="N313">
        <v>39</v>
      </c>
      <c r="O313" s="173">
        <f t="shared" si="57"/>
        <v>44</v>
      </c>
      <c r="P313" s="173">
        <f t="shared" si="58"/>
        <v>-14.5</v>
      </c>
      <c r="Q313" s="177">
        <f t="shared" si="59"/>
        <v>-0.24786324786324787</v>
      </c>
    </row>
    <row r="314" spans="1:17" x14ac:dyDescent="0.2">
      <c r="B314" t="s">
        <v>300</v>
      </c>
      <c r="C314">
        <v>40</v>
      </c>
      <c r="D314">
        <v>40</v>
      </c>
      <c r="E314">
        <v>40</v>
      </c>
      <c r="F314">
        <v>43</v>
      </c>
      <c r="G314">
        <v>37</v>
      </c>
      <c r="H314">
        <v>38</v>
      </c>
      <c r="I314">
        <v>37</v>
      </c>
      <c r="J314">
        <v>39</v>
      </c>
      <c r="K314">
        <v>41</v>
      </c>
      <c r="L314">
        <v>51</v>
      </c>
      <c r="M314">
        <v>50</v>
      </c>
      <c r="N314">
        <v>37</v>
      </c>
      <c r="O314" s="173">
        <f t="shared" si="57"/>
        <v>41.083333333333336</v>
      </c>
      <c r="P314" s="173">
        <f t="shared" si="58"/>
        <v>-2.9166666666666643</v>
      </c>
      <c r="Q314" s="177">
        <f t="shared" si="59"/>
        <v>-6.6287878787878729E-2</v>
      </c>
    </row>
    <row r="315" spans="1:17" x14ac:dyDescent="0.2">
      <c r="B315" t="s">
        <v>301</v>
      </c>
      <c r="C315">
        <v>39</v>
      </c>
      <c r="D315">
        <v>39</v>
      </c>
      <c r="E315">
        <v>44</v>
      </c>
      <c r="F315">
        <v>39</v>
      </c>
      <c r="G315">
        <v>42</v>
      </c>
      <c r="H315">
        <v>41</v>
      </c>
      <c r="I315">
        <v>40</v>
      </c>
      <c r="J315">
        <v>37</v>
      </c>
      <c r="K315">
        <v>36</v>
      </c>
      <c r="L315">
        <v>36</v>
      </c>
      <c r="M315">
        <v>40</v>
      </c>
      <c r="N315">
        <v>41</v>
      </c>
      <c r="O315" s="173">
        <f t="shared" si="57"/>
        <v>39.5</v>
      </c>
      <c r="P315" s="173">
        <f t="shared" si="58"/>
        <v>-1.5833333333333357</v>
      </c>
      <c r="Q315" s="177">
        <f t="shared" ref="Q315:Q321" si="60">SUM(P315/O314)</f>
        <v>-3.8539553752535552E-2</v>
      </c>
    </row>
    <row r="316" spans="1:17" x14ac:dyDescent="0.2">
      <c r="B316" t="s">
        <v>302</v>
      </c>
      <c r="C316">
        <v>32</v>
      </c>
      <c r="D316">
        <v>34</v>
      </c>
      <c r="E316">
        <v>31</v>
      </c>
      <c r="F316">
        <v>32</v>
      </c>
      <c r="G316">
        <v>33</v>
      </c>
      <c r="H316">
        <v>31</v>
      </c>
      <c r="I316">
        <v>31</v>
      </c>
      <c r="J316">
        <v>31</v>
      </c>
      <c r="K316">
        <v>34</v>
      </c>
      <c r="L316">
        <v>36</v>
      </c>
      <c r="M316">
        <v>40</v>
      </c>
      <c r="N316">
        <v>39</v>
      </c>
      <c r="O316" s="173">
        <f>SUM(C316:N316)/12</f>
        <v>33.666666666666664</v>
      </c>
      <c r="P316" s="173">
        <f t="shared" ref="P316:P321" si="61">SUM(O316-O315)</f>
        <v>-5.8333333333333357</v>
      </c>
      <c r="Q316" s="177">
        <f t="shared" si="60"/>
        <v>-0.14767932489451482</v>
      </c>
    </row>
    <row r="317" spans="1:17" x14ac:dyDescent="0.2">
      <c r="B317" t="s">
        <v>347</v>
      </c>
      <c r="C317">
        <v>43</v>
      </c>
      <c r="D317">
        <v>43</v>
      </c>
      <c r="E317">
        <v>41</v>
      </c>
      <c r="F317">
        <v>0</v>
      </c>
      <c r="G317">
        <v>0</v>
      </c>
      <c r="H317">
        <v>0</v>
      </c>
      <c r="I317">
        <v>35</v>
      </c>
      <c r="J317">
        <v>35</v>
      </c>
      <c r="K317">
        <v>38</v>
      </c>
      <c r="L317">
        <v>36</v>
      </c>
      <c r="M317">
        <v>35</v>
      </c>
      <c r="N317">
        <v>32</v>
      </c>
      <c r="O317" s="173">
        <f>SUM(C317:N317)/9</f>
        <v>37.555555555555557</v>
      </c>
      <c r="P317" s="173">
        <f t="shared" si="61"/>
        <v>3.8888888888888928</v>
      </c>
      <c r="Q317" s="177">
        <f t="shared" si="60"/>
        <v>0.11551155115511563</v>
      </c>
    </row>
    <row r="318" spans="1:17" x14ac:dyDescent="0.2">
      <c r="B318" t="s">
        <v>370</v>
      </c>
      <c r="C318">
        <v>32</v>
      </c>
      <c r="D318">
        <v>33</v>
      </c>
      <c r="E318">
        <v>46</v>
      </c>
      <c r="F318">
        <v>60</v>
      </c>
      <c r="G318">
        <v>63</v>
      </c>
      <c r="H318">
        <v>62</v>
      </c>
      <c r="I318">
        <v>63</v>
      </c>
      <c r="J318">
        <v>64</v>
      </c>
      <c r="K318">
        <v>61</v>
      </c>
      <c r="L318">
        <v>60</v>
      </c>
      <c r="M318">
        <v>67</v>
      </c>
      <c r="N318">
        <v>70</v>
      </c>
      <c r="O318" s="173">
        <f>SUM(C318:N318)/12</f>
        <v>56.75</v>
      </c>
      <c r="P318" s="173">
        <f t="shared" si="61"/>
        <v>19.194444444444443</v>
      </c>
      <c r="Q318" s="177">
        <f t="shared" si="60"/>
        <v>0.51109467455621294</v>
      </c>
    </row>
    <row r="319" spans="1:17" x14ac:dyDescent="0.2">
      <c r="B319" t="s">
        <v>452</v>
      </c>
      <c r="C319">
        <v>68</v>
      </c>
      <c r="D319">
        <v>65</v>
      </c>
      <c r="E319">
        <v>62</v>
      </c>
      <c r="F319">
        <v>61</v>
      </c>
      <c r="G319">
        <v>65</v>
      </c>
      <c r="H319">
        <v>66</v>
      </c>
      <c r="I319">
        <v>68</v>
      </c>
      <c r="J319">
        <v>66</v>
      </c>
      <c r="K319">
        <v>70</v>
      </c>
      <c r="L319">
        <v>68</v>
      </c>
      <c r="M319">
        <v>65</v>
      </c>
      <c r="N319">
        <v>68</v>
      </c>
      <c r="O319" s="173">
        <f>SUM(C319:N319)/12</f>
        <v>66</v>
      </c>
      <c r="P319" s="173">
        <f t="shared" si="61"/>
        <v>9.25</v>
      </c>
      <c r="Q319" s="177">
        <f t="shared" si="60"/>
        <v>0.16299559471365638</v>
      </c>
    </row>
    <row r="320" spans="1:17" x14ac:dyDescent="0.2">
      <c r="B320" t="s">
        <v>487</v>
      </c>
      <c r="C320">
        <v>70</v>
      </c>
      <c r="D320">
        <v>71</v>
      </c>
      <c r="E320">
        <v>74</v>
      </c>
      <c r="F320">
        <v>74</v>
      </c>
      <c r="G320">
        <v>74</v>
      </c>
      <c r="H320">
        <v>79</v>
      </c>
      <c r="I320">
        <v>77</v>
      </c>
      <c r="J320">
        <v>80</v>
      </c>
      <c r="K320">
        <v>70</v>
      </c>
      <c r="L320">
        <v>66</v>
      </c>
      <c r="M320">
        <v>65</v>
      </c>
      <c r="N320">
        <v>57</v>
      </c>
      <c r="O320" s="173">
        <f>SUM(C320:N320)/12</f>
        <v>71.416666666666671</v>
      </c>
      <c r="P320" s="173">
        <f t="shared" si="61"/>
        <v>5.4166666666666714</v>
      </c>
      <c r="Q320" s="177">
        <f t="shared" si="60"/>
        <v>8.2070707070707141E-2</v>
      </c>
    </row>
    <row r="321" spans="1:17" x14ac:dyDescent="0.2">
      <c r="B321" t="s">
        <v>561</v>
      </c>
      <c r="C321">
        <v>55</v>
      </c>
      <c r="D321">
        <v>70</v>
      </c>
      <c r="E321">
        <v>75</v>
      </c>
      <c r="F321">
        <v>77</v>
      </c>
      <c r="G321">
        <v>78</v>
      </c>
      <c r="H321">
        <v>51</v>
      </c>
      <c r="I321">
        <v>46</v>
      </c>
      <c r="J321">
        <v>50</v>
      </c>
      <c r="K321">
        <v>52</v>
      </c>
      <c r="L321">
        <v>52</v>
      </c>
      <c r="M321">
        <v>53</v>
      </c>
      <c r="N321">
        <v>59</v>
      </c>
      <c r="O321" s="173">
        <f>SUM(C321:N321)/12</f>
        <v>59.833333333333336</v>
      </c>
      <c r="P321" s="173">
        <f t="shared" si="61"/>
        <v>-11.583333333333336</v>
      </c>
      <c r="Q321" s="177">
        <f t="shared" si="60"/>
        <v>-0.16219369894982499</v>
      </c>
    </row>
    <row r="322" spans="1:17" x14ac:dyDescent="0.2">
      <c r="B322" t="s">
        <v>660</v>
      </c>
      <c r="C322">
        <v>56</v>
      </c>
      <c r="D322">
        <v>56</v>
      </c>
      <c r="E322">
        <v>56</v>
      </c>
      <c r="F322">
        <v>60</v>
      </c>
      <c r="G322">
        <v>51</v>
      </c>
      <c r="H322">
        <v>50</v>
      </c>
      <c r="I322">
        <v>54</v>
      </c>
      <c r="J322">
        <v>54</v>
      </c>
      <c r="K322">
        <v>7</v>
      </c>
      <c r="L322">
        <v>7</v>
      </c>
      <c r="M322">
        <v>8</v>
      </c>
      <c r="N322">
        <v>8</v>
      </c>
      <c r="O322" s="173">
        <f>SUM(C322:N322)/12</f>
        <v>38.916666666666664</v>
      </c>
      <c r="P322" s="173">
        <f>SUM(O322-O321)</f>
        <v>-20.916666666666671</v>
      </c>
      <c r="Q322" s="177">
        <f>SUM(P322/O321)</f>
        <v>-0.34958217270194991</v>
      </c>
    </row>
    <row r="323" spans="1:17" x14ac:dyDescent="0.2">
      <c r="B323" t="s">
        <v>661</v>
      </c>
      <c r="C323">
        <v>8</v>
      </c>
      <c r="D323">
        <v>7</v>
      </c>
      <c r="E323">
        <v>7</v>
      </c>
      <c r="O323" s="173"/>
      <c r="P323" s="173"/>
      <c r="Q323" s="177"/>
    </row>
    <row r="324" spans="1:17" x14ac:dyDescent="0.2">
      <c r="O324" s="173"/>
      <c r="P324" s="173"/>
      <c r="Q324" s="177"/>
    </row>
    <row r="325" spans="1:17" ht="25.5" x14ac:dyDescent="0.2">
      <c r="A325" s="175" t="s">
        <v>454</v>
      </c>
      <c r="B325" s="176" t="s">
        <v>433</v>
      </c>
      <c r="C325" s="179" t="s">
        <v>434</v>
      </c>
      <c r="D325" s="179" t="s">
        <v>435</v>
      </c>
      <c r="E325" s="179" t="s">
        <v>436</v>
      </c>
      <c r="F325" s="179" t="s">
        <v>437</v>
      </c>
      <c r="G325" s="179" t="s">
        <v>438</v>
      </c>
      <c r="H325" s="179" t="s">
        <v>439</v>
      </c>
      <c r="I325" s="179" t="s">
        <v>440</v>
      </c>
      <c r="J325" s="179" t="s">
        <v>441</v>
      </c>
      <c r="K325" s="179" t="s">
        <v>442</v>
      </c>
      <c r="L325" s="179" t="s">
        <v>443</v>
      </c>
      <c r="M325" s="179" t="s">
        <v>444</v>
      </c>
      <c r="N325" s="179" t="s">
        <v>445</v>
      </c>
    </row>
    <row r="326" spans="1:17" x14ac:dyDescent="0.2">
      <c r="B326" t="s">
        <v>449</v>
      </c>
      <c r="C326">
        <v>305</v>
      </c>
      <c r="D326">
        <v>299</v>
      </c>
      <c r="E326">
        <v>289</v>
      </c>
      <c r="F326">
        <v>276</v>
      </c>
      <c r="G326">
        <v>277</v>
      </c>
      <c r="H326">
        <v>295</v>
      </c>
      <c r="I326">
        <v>283</v>
      </c>
      <c r="J326">
        <v>273</v>
      </c>
      <c r="K326">
        <v>259</v>
      </c>
      <c r="L326">
        <v>249</v>
      </c>
      <c r="M326">
        <v>241</v>
      </c>
      <c r="N326">
        <v>237</v>
      </c>
      <c r="O326" s="173">
        <f t="shared" ref="O326:O341" si="62">SUM(C326:N326)/12</f>
        <v>273.58333333333331</v>
      </c>
      <c r="P326" s="173"/>
    </row>
    <row r="327" spans="1:17" x14ac:dyDescent="0.2">
      <c r="B327" t="s">
        <v>450</v>
      </c>
      <c r="C327">
        <v>237</v>
      </c>
      <c r="D327">
        <v>230</v>
      </c>
      <c r="E327">
        <v>230</v>
      </c>
      <c r="F327">
        <v>230</v>
      </c>
      <c r="G327">
        <v>231</v>
      </c>
      <c r="H327">
        <v>215</v>
      </c>
      <c r="I327">
        <v>218</v>
      </c>
      <c r="J327">
        <v>212</v>
      </c>
      <c r="K327">
        <v>214</v>
      </c>
      <c r="L327">
        <v>217</v>
      </c>
      <c r="M327">
        <v>220</v>
      </c>
      <c r="N327">
        <v>218</v>
      </c>
      <c r="O327" s="173">
        <f t="shared" si="62"/>
        <v>222.66666666666666</v>
      </c>
      <c r="P327" s="173">
        <f t="shared" ref="P327:P334" si="63">SUM(O327-O326)</f>
        <v>-50.916666666666657</v>
      </c>
      <c r="Q327" s="177">
        <f t="shared" ref="Q327:Q333" si="64">SUM(P327/O326)</f>
        <v>-0.18611026500152297</v>
      </c>
    </row>
    <row r="328" spans="1:17" x14ac:dyDescent="0.2">
      <c r="B328" t="s">
        <v>451</v>
      </c>
      <c r="C328">
        <v>231</v>
      </c>
      <c r="D328">
        <v>230</v>
      </c>
      <c r="E328">
        <v>234</v>
      </c>
      <c r="F328">
        <v>229</v>
      </c>
      <c r="G328">
        <v>230</v>
      </c>
      <c r="H328">
        <v>240</v>
      </c>
      <c r="I328">
        <v>245</v>
      </c>
      <c r="J328">
        <v>250</v>
      </c>
      <c r="K328">
        <v>255</v>
      </c>
      <c r="L328">
        <v>260</v>
      </c>
      <c r="M328">
        <v>265</v>
      </c>
      <c r="N328">
        <v>270</v>
      </c>
      <c r="O328" s="173">
        <f t="shared" si="62"/>
        <v>244.91666666666666</v>
      </c>
      <c r="P328" s="173">
        <f t="shared" si="63"/>
        <v>22.25</v>
      </c>
      <c r="Q328" s="177">
        <f t="shared" si="64"/>
        <v>9.9925149700598806E-2</v>
      </c>
    </row>
    <row r="329" spans="1:17" x14ac:dyDescent="0.2">
      <c r="B329" t="s">
        <v>267</v>
      </c>
      <c r="C329">
        <v>280</v>
      </c>
      <c r="D329">
        <v>237</v>
      </c>
      <c r="E329">
        <v>253</v>
      </c>
      <c r="F329">
        <v>253</v>
      </c>
      <c r="G329">
        <v>253</v>
      </c>
      <c r="H329">
        <v>253</v>
      </c>
      <c r="I329">
        <v>253</v>
      </c>
      <c r="J329">
        <v>253</v>
      </c>
      <c r="K329">
        <v>253</v>
      </c>
      <c r="L329">
        <v>260</v>
      </c>
      <c r="M329">
        <v>265</v>
      </c>
      <c r="N329">
        <v>270</v>
      </c>
      <c r="O329" s="173">
        <f t="shared" si="62"/>
        <v>256.91666666666669</v>
      </c>
      <c r="P329" s="173">
        <f t="shared" si="63"/>
        <v>12.000000000000028</v>
      </c>
      <c r="Q329" s="177">
        <f t="shared" si="64"/>
        <v>4.899625723035058E-2</v>
      </c>
    </row>
    <row r="330" spans="1:17" x14ac:dyDescent="0.2">
      <c r="B330" t="s">
        <v>266</v>
      </c>
      <c r="C330">
        <v>288</v>
      </c>
      <c r="D330">
        <v>261</v>
      </c>
      <c r="E330">
        <v>258</v>
      </c>
      <c r="F330">
        <v>267</v>
      </c>
      <c r="G330">
        <v>259</v>
      </c>
      <c r="H330">
        <v>267</v>
      </c>
      <c r="I330">
        <v>272</v>
      </c>
      <c r="J330">
        <v>273</v>
      </c>
      <c r="K330">
        <v>300</v>
      </c>
      <c r="L330">
        <v>296</v>
      </c>
      <c r="M330">
        <v>319</v>
      </c>
      <c r="N330">
        <v>317</v>
      </c>
      <c r="O330" s="173">
        <f t="shared" si="62"/>
        <v>281.41666666666669</v>
      </c>
      <c r="P330" s="173">
        <f t="shared" si="63"/>
        <v>24.5</v>
      </c>
      <c r="Q330" s="177">
        <f t="shared" si="64"/>
        <v>9.5361660720077845E-2</v>
      </c>
    </row>
    <row r="331" spans="1:17" x14ac:dyDescent="0.2">
      <c r="B331" t="s">
        <v>287</v>
      </c>
      <c r="C331">
        <v>297</v>
      </c>
      <c r="D331">
        <v>306</v>
      </c>
      <c r="E331">
        <v>312</v>
      </c>
      <c r="F331">
        <v>311</v>
      </c>
      <c r="G331">
        <v>312</v>
      </c>
      <c r="H331">
        <v>252</v>
      </c>
      <c r="I331">
        <v>312</v>
      </c>
      <c r="J331">
        <v>314</v>
      </c>
      <c r="K331">
        <v>316</v>
      </c>
      <c r="L331">
        <v>235</v>
      </c>
      <c r="M331">
        <v>248</v>
      </c>
      <c r="N331">
        <v>323</v>
      </c>
      <c r="O331" s="173">
        <f t="shared" si="62"/>
        <v>294.83333333333331</v>
      </c>
      <c r="P331" s="173">
        <f t="shared" si="63"/>
        <v>13.416666666666629</v>
      </c>
      <c r="Q331" s="177">
        <f t="shared" si="64"/>
        <v>4.7675451584246235E-2</v>
      </c>
    </row>
    <row r="332" spans="1:17" x14ac:dyDescent="0.2">
      <c r="B332" t="s">
        <v>297</v>
      </c>
      <c r="C332">
        <v>322</v>
      </c>
      <c r="D332">
        <v>318</v>
      </c>
      <c r="E332">
        <v>302</v>
      </c>
      <c r="F332">
        <v>299</v>
      </c>
      <c r="G332">
        <v>301</v>
      </c>
      <c r="H332">
        <v>296</v>
      </c>
      <c r="I332">
        <v>286</v>
      </c>
      <c r="J332">
        <v>290</v>
      </c>
      <c r="K332">
        <v>283</v>
      </c>
      <c r="L332">
        <v>284</v>
      </c>
      <c r="M332">
        <v>289</v>
      </c>
      <c r="N332">
        <v>279</v>
      </c>
      <c r="O332" s="173">
        <f t="shared" si="62"/>
        <v>295.75</v>
      </c>
      <c r="P332" s="173">
        <f t="shared" si="63"/>
        <v>0.91666666666668561</v>
      </c>
      <c r="Q332" s="177">
        <f t="shared" si="64"/>
        <v>3.109101187111427E-3</v>
      </c>
    </row>
    <row r="333" spans="1:17" x14ac:dyDescent="0.2">
      <c r="B333" t="s">
        <v>300</v>
      </c>
      <c r="C333">
        <v>278</v>
      </c>
      <c r="D333">
        <v>270</v>
      </c>
      <c r="E333">
        <v>262</v>
      </c>
      <c r="F333">
        <v>253</v>
      </c>
      <c r="G333">
        <v>261</v>
      </c>
      <c r="H333">
        <v>259</v>
      </c>
      <c r="I333">
        <v>254</v>
      </c>
      <c r="J333">
        <v>255</v>
      </c>
      <c r="K333">
        <v>249</v>
      </c>
      <c r="L333">
        <v>267</v>
      </c>
      <c r="M333">
        <v>263</v>
      </c>
      <c r="N333">
        <v>250</v>
      </c>
      <c r="O333" s="173">
        <f t="shared" si="62"/>
        <v>260.08333333333331</v>
      </c>
      <c r="P333" s="173">
        <f t="shared" si="63"/>
        <v>-35.666666666666686</v>
      </c>
      <c r="Q333" s="177">
        <f t="shared" si="64"/>
        <v>-0.1205973513665822</v>
      </c>
    </row>
    <row r="334" spans="1:17" x14ac:dyDescent="0.2">
      <c r="B334" t="s">
        <v>301</v>
      </c>
      <c r="C334">
        <v>247</v>
      </c>
      <c r="D334">
        <v>250</v>
      </c>
      <c r="E334">
        <v>240</v>
      </c>
      <c r="F334">
        <v>238</v>
      </c>
      <c r="G334">
        <v>230</v>
      </c>
      <c r="H334">
        <v>228</v>
      </c>
      <c r="I334">
        <v>230</v>
      </c>
      <c r="J334">
        <v>228</v>
      </c>
      <c r="K334">
        <v>226</v>
      </c>
      <c r="L334">
        <v>224</v>
      </c>
      <c r="M334">
        <v>228</v>
      </c>
      <c r="N334">
        <v>233</v>
      </c>
      <c r="O334" s="173">
        <f t="shared" si="62"/>
        <v>233.5</v>
      </c>
      <c r="P334" s="173">
        <f t="shared" si="63"/>
        <v>-26.583333333333314</v>
      </c>
      <c r="Q334" s="177">
        <f t="shared" ref="Q334:Q340" si="65">SUM(P334/O333)</f>
        <v>-0.10221082986222359</v>
      </c>
    </row>
    <row r="335" spans="1:17" x14ac:dyDescent="0.2">
      <c r="B335" t="s">
        <v>302</v>
      </c>
      <c r="C335">
        <v>212</v>
      </c>
      <c r="D335">
        <v>216</v>
      </c>
      <c r="E335">
        <v>221</v>
      </c>
      <c r="F335">
        <v>228</v>
      </c>
      <c r="G335">
        <v>226</v>
      </c>
      <c r="H335">
        <v>230</v>
      </c>
      <c r="I335">
        <v>222</v>
      </c>
      <c r="J335">
        <v>225</v>
      </c>
      <c r="K335">
        <v>236</v>
      </c>
      <c r="L335">
        <v>242</v>
      </c>
      <c r="M335">
        <v>246</v>
      </c>
      <c r="N335">
        <v>252</v>
      </c>
      <c r="O335" s="173">
        <f t="shared" si="62"/>
        <v>229.66666666666666</v>
      </c>
      <c r="P335" s="173">
        <f t="shared" ref="P335:P340" si="66">SUM(O335-O334)</f>
        <v>-3.8333333333333428</v>
      </c>
      <c r="Q335" s="177">
        <f t="shared" si="65"/>
        <v>-1.6416845110635302E-2</v>
      </c>
    </row>
    <row r="336" spans="1:17" x14ac:dyDescent="0.2">
      <c r="B336" t="s">
        <v>347</v>
      </c>
      <c r="C336">
        <v>247</v>
      </c>
      <c r="D336">
        <v>248</v>
      </c>
      <c r="E336">
        <v>247</v>
      </c>
      <c r="F336">
        <v>247</v>
      </c>
      <c r="G336">
        <v>254</v>
      </c>
      <c r="H336">
        <v>258</v>
      </c>
      <c r="I336">
        <v>257</v>
      </c>
      <c r="J336">
        <v>255</v>
      </c>
      <c r="K336">
        <v>252</v>
      </c>
      <c r="L336">
        <v>251</v>
      </c>
      <c r="M336">
        <v>249</v>
      </c>
      <c r="N336">
        <v>259</v>
      </c>
      <c r="O336" s="173">
        <f t="shared" si="62"/>
        <v>252</v>
      </c>
      <c r="P336" s="173">
        <f t="shared" si="66"/>
        <v>22.333333333333343</v>
      </c>
      <c r="Q336" s="177">
        <f t="shared" si="65"/>
        <v>9.7242380261248235E-2</v>
      </c>
    </row>
    <row r="337" spans="1:18" x14ac:dyDescent="0.2">
      <c r="B337" t="s">
        <v>370</v>
      </c>
      <c r="C337">
        <v>264</v>
      </c>
      <c r="D337">
        <v>260</v>
      </c>
      <c r="E337">
        <v>262</v>
      </c>
      <c r="F337">
        <v>259</v>
      </c>
      <c r="G337">
        <v>247</v>
      </c>
      <c r="H337">
        <v>238</v>
      </c>
      <c r="I337">
        <v>224</v>
      </c>
      <c r="J337">
        <v>232</v>
      </c>
      <c r="K337">
        <v>239</v>
      </c>
      <c r="L337">
        <v>243</v>
      </c>
      <c r="M337">
        <v>246</v>
      </c>
      <c r="N337">
        <v>247</v>
      </c>
      <c r="O337" s="173">
        <f t="shared" si="62"/>
        <v>246.75</v>
      </c>
      <c r="P337" s="173">
        <f t="shared" si="66"/>
        <v>-5.25</v>
      </c>
      <c r="Q337" s="177">
        <f t="shared" si="65"/>
        <v>-2.0833333333333332E-2</v>
      </c>
      <c r="R337" t="s">
        <v>455</v>
      </c>
    </row>
    <row r="338" spans="1:18" x14ac:dyDescent="0.2">
      <c r="B338" t="s">
        <v>452</v>
      </c>
      <c r="C338">
        <v>257</v>
      </c>
      <c r="D338">
        <v>248</v>
      </c>
      <c r="E338">
        <v>250</v>
      </c>
      <c r="F338">
        <v>264</v>
      </c>
      <c r="G338">
        <v>265</v>
      </c>
      <c r="H338">
        <v>270</v>
      </c>
      <c r="I338">
        <v>279</v>
      </c>
      <c r="J338">
        <v>279</v>
      </c>
      <c r="K338">
        <v>266</v>
      </c>
      <c r="L338">
        <v>260</v>
      </c>
      <c r="M338">
        <v>260</v>
      </c>
      <c r="N338">
        <v>272</v>
      </c>
      <c r="O338" s="173">
        <f t="shared" si="62"/>
        <v>264.16666666666669</v>
      </c>
      <c r="P338" s="173">
        <f t="shared" si="66"/>
        <v>17.416666666666686</v>
      </c>
      <c r="Q338" s="177">
        <f t="shared" si="65"/>
        <v>7.0584262073623852E-2</v>
      </c>
    </row>
    <row r="339" spans="1:18" x14ac:dyDescent="0.2">
      <c r="B339" t="s">
        <v>487</v>
      </c>
      <c r="C339">
        <v>276</v>
      </c>
      <c r="D339">
        <v>277</v>
      </c>
      <c r="E339">
        <v>283</v>
      </c>
      <c r="F339">
        <v>298</v>
      </c>
      <c r="G339">
        <v>294</v>
      </c>
      <c r="H339">
        <v>295</v>
      </c>
      <c r="I339">
        <v>289</v>
      </c>
      <c r="J339">
        <v>284</v>
      </c>
      <c r="K339">
        <v>288</v>
      </c>
      <c r="L339">
        <v>290</v>
      </c>
      <c r="M339">
        <v>303</v>
      </c>
      <c r="N339">
        <v>300</v>
      </c>
      <c r="O339" s="173">
        <f t="shared" si="62"/>
        <v>289.75</v>
      </c>
      <c r="P339" s="173">
        <f t="shared" si="66"/>
        <v>25.583333333333314</v>
      </c>
      <c r="Q339" s="177">
        <f t="shared" si="65"/>
        <v>9.6845425867507814E-2</v>
      </c>
    </row>
    <row r="340" spans="1:18" x14ac:dyDescent="0.2">
      <c r="B340" t="s">
        <v>561</v>
      </c>
      <c r="C340">
        <v>305</v>
      </c>
      <c r="D340">
        <v>296</v>
      </c>
      <c r="E340">
        <v>293</v>
      </c>
      <c r="F340">
        <v>294</v>
      </c>
      <c r="G340">
        <v>286</v>
      </c>
      <c r="H340">
        <v>283</v>
      </c>
      <c r="I340">
        <v>274</v>
      </c>
      <c r="J340">
        <v>260</v>
      </c>
      <c r="K340">
        <v>259</v>
      </c>
      <c r="L340">
        <v>266</v>
      </c>
      <c r="M340">
        <v>259</v>
      </c>
      <c r="N340">
        <v>266</v>
      </c>
      <c r="O340" s="173">
        <f t="shared" si="62"/>
        <v>278.41666666666669</v>
      </c>
      <c r="P340" s="173">
        <f t="shared" si="66"/>
        <v>-11.333333333333314</v>
      </c>
      <c r="Q340" s="177">
        <f t="shared" si="65"/>
        <v>-3.9114178889847508E-2</v>
      </c>
    </row>
    <row r="341" spans="1:18" x14ac:dyDescent="0.2">
      <c r="B341" t="s">
        <v>660</v>
      </c>
      <c r="C341">
        <v>256</v>
      </c>
      <c r="D341">
        <v>252</v>
      </c>
      <c r="E341">
        <v>248</v>
      </c>
      <c r="F341">
        <v>249</v>
      </c>
      <c r="G341">
        <v>253</v>
      </c>
      <c r="H341">
        <v>244</v>
      </c>
      <c r="I341">
        <v>234</v>
      </c>
      <c r="J341">
        <v>221</v>
      </c>
      <c r="K341">
        <v>233</v>
      </c>
      <c r="L341">
        <v>230</v>
      </c>
      <c r="M341">
        <v>238</v>
      </c>
      <c r="N341">
        <v>251</v>
      </c>
      <c r="O341" s="173">
        <f t="shared" si="62"/>
        <v>242.41666666666666</v>
      </c>
      <c r="P341" s="173">
        <f>SUM(O341-O340)</f>
        <v>-36.000000000000028</v>
      </c>
      <c r="Q341" s="177">
        <f>SUM(P341/O340)</f>
        <v>-0.12930260401077531</v>
      </c>
    </row>
    <row r="342" spans="1:18" x14ac:dyDescent="0.2">
      <c r="B342" t="s">
        <v>661</v>
      </c>
      <c r="C342">
        <v>254</v>
      </c>
      <c r="D342">
        <v>242</v>
      </c>
      <c r="E342">
        <v>239</v>
      </c>
      <c r="O342" s="173"/>
      <c r="P342" s="173"/>
      <c r="Q342" s="177"/>
    </row>
    <row r="343" spans="1:18" x14ac:dyDescent="0.2">
      <c r="O343" s="173"/>
      <c r="P343" s="173"/>
      <c r="Q343" s="177"/>
    </row>
    <row r="344" spans="1:18" x14ac:dyDescent="0.2">
      <c r="A344" s="178"/>
      <c r="B344" s="178"/>
      <c r="C344" s="178"/>
      <c r="D344" s="178"/>
      <c r="E344" s="178"/>
      <c r="F344" s="178"/>
      <c r="G344" s="178"/>
      <c r="H344" s="178"/>
      <c r="I344" s="178"/>
      <c r="J344" s="178"/>
      <c r="K344" s="178"/>
      <c r="L344" s="178"/>
      <c r="M344" s="178"/>
      <c r="N344" s="178"/>
      <c r="O344" s="178"/>
      <c r="P344" s="178"/>
      <c r="Q344" s="178"/>
    </row>
    <row r="345" spans="1:18" ht="25.5" x14ac:dyDescent="0.2">
      <c r="A345" s="175" t="s">
        <v>456</v>
      </c>
      <c r="B345" s="176" t="s">
        <v>433</v>
      </c>
      <c r="C345" s="179" t="s">
        <v>434</v>
      </c>
      <c r="D345" s="179" t="s">
        <v>435</v>
      </c>
      <c r="E345" s="179" t="s">
        <v>436</v>
      </c>
      <c r="F345" s="179" t="s">
        <v>437</v>
      </c>
      <c r="G345" s="179" t="s">
        <v>438</v>
      </c>
      <c r="H345" s="179" t="s">
        <v>439</v>
      </c>
      <c r="I345" s="179" t="s">
        <v>440</v>
      </c>
      <c r="J345" s="179" t="s">
        <v>441</v>
      </c>
      <c r="K345" s="179" t="s">
        <v>442</v>
      </c>
      <c r="L345" s="179" t="s">
        <v>443</v>
      </c>
      <c r="M345" s="179" t="s">
        <v>444</v>
      </c>
      <c r="N345" s="179" t="s">
        <v>445</v>
      </c>
    </row>
    <row r="346" spans="1:18" x14ac:dyDescent="0.2">
      <c r="B346" t="s">
        <v>449</v>
      </c>
      <c r="C346">
        <v>65</v>
      </c>
      <c r="D346">
        <v>62</v>
      </c>
      <c r="E346">
        <v>57</v>
      </c>
      <c r="F346">
        <v>56</v>
      </c>
      <c r="G346">
        <v>52</v>
      </c>
      <c r="H346">
        <v>51</v>
      </c>
      <c r="I346">
        <v>49</v>
      </c>
      <c r="J346">
        <v>55</v>
      </c>
      <c r="K346">
        <v>59</v>
      </c>
      <c r="L346">
        <v>55</v>
      </c>
      <c r="M346">
        <v>54</v>
      </c>
      <c r="N346">
        <v>66</v>
      </c>
      <c r="O346" s="173">
        <f t="shared" ref="O346:O361" si="67">SUM(C346:N346)/12</f>
        <v>56.75</v>
      </c>
      <c r="P346" s="173"/>
    </row>
    <row r="347" spans="1:18" x14ac:dyDescent="0.2">
      <c r="B347" t="s">
        <v>450</v>
      </c>
      <c r="C347">
        <v>67</v>
      </c>
      <c r="D347">
        <v>72</v>
      </c>
      <c r="E347">
        <v>72</v>
      </c>
      <c r="F347">
        <v>73</v>
      </c>
      <c r="G347">
        <v>71</v>
      </c>
      <c r="H347">
        <v>74</v>
      </c>
      <c r="I347">
        <v>74</v>
      </c>
      <c r="J347">
        <v>74</v>
      </c>
      <c r="K347">
        <v>70</v>
      </c>
      <c r="L347">
        <v>66</v>
      </c>
      <c r="M347">
        <v>62</v>
      </c>
      <c r="N347">
        <v>63</v>
      </c>
      <c r="O347" s="173">
        <f t="shared" si="67"/>
        <v>69.833333333333329</v>
      </c>
      <c r="P347" s="173">
        <f t="shared" ref="P347:P354" si="68">SUM(O347-O346)</f>
        <v>13.083333333333329</v>
      </c>
      <c r="Q347" s="177">
        <f t="shared" ref="Q347:Q353" si="69">SUM(P347/O346)</f>
        <v>0.23054331864904543</v>
      </c>
    </row>
    <row r="348" spans="1:18" x14ac:dyDescent="0.2">
      <c r="B348" t="s">
        <v>451</v>
      </c>
      <c r="C348">
        <v>68</v>
      </c>
      <c r="D348">
        <v>75</v>
      </c>
      <c r="E348">
        <v>74</v>
      </c>
      <c r="F348">
        <v>79</v>
      </c>
      <c r="G348">
        <v>75</v>
      </c>
      <c r="H348">
        <v>74</v>
      </c>
      <c r="I348">
        <v>64</v>
      </c>
      <c r="J348">
        <v>75</v>
      </c>
      <c r="K348">
        <v>76</v>
      </c>
      <c r="L348">
        <v>78</v>
      </c>
      <c r="M348">
        <v>79</v>
      </c>
      <c r="N348">
        <v>81</v>
      </c>
      <c r="O348" s="173">
        <f t="shared" si="67"/>
        <v>74.833333333333329</v>
      </c>
      <c r="P348" s="173">
        <f t="shared" si="68"/>
        <v>5</v>
      </c>
      <c r="Q348" s="177">
        <f t="shared" si="69"/>
        <v>7.1599045346062054E-2</v>
      </c>
    </row>
    <row r="349" spans="1:18" x14ac:dyDescent="0.2">
      <c r="B349" t="s">
        <v>267</v>
      </c>
      <c r="C349">
        <v>76</v>
      </c>
      <c r="D349">
        <v>79</v>
      </c>
      <c r="E349">
        <v>76</v>
      </c>
      <c r="F349">
        <v>74</v>
      </c>
      <c r="G349">
        <v>72</v>
      </c>
      <c r="H349">
        <v>70</v>
      </c>
      <c r="I349">
        <v>68</v>
      </c>
      <c r="J349">
        <v>59</v>
      </c>
      <c r="K349">
        <v>67</v>
      </c>
      <c r="L349">
        <v>66</v>
      </c>
      <c r="M349">
        <v>67</v>
      </c>
      <c r="N349">
        <v>64</v>
      </c>
      <c r="O349" s="173">
        <f t="shared" si="67"/>
        <v>69.833333333333329</v>
      </c>
      <c r="P349" s="173">
        <f t="shared" si="68"/>
        <v>-5</v>
      </c>
      <c r="Q349" s="177">
        <f t="shared" si="69"/>
        <v>-6.6815144766147E-2</v>
      </c>
    </row>
    <row r="350" spans="1:18" x14ac:dyDescent="0.2">
      <c r="B350" t="s">
        <v>266</v>
      </c>
      <c r="C350">
        <v>67</v>
      </c>
      <c r="D350">
        <v>57</v>
      </c>
      <c r="E350">
        <v>57</v>
      </c>
      <c r="F350">
        <v>58</v>
      </c>
      <c r="G350">
        <v>57</v>
      </c>
      <c r="H350">
        <v>60</v>
      </c>
      <c r="I350">
        <v>55</v>
      </c>
      <c r="J350">
        <v>55</v>
      </c>
      <c r="K350">
        <v>64</v>
      </c>
      <c r="L350">
        <v>61</v>
      </c>
      <c r="M350">
        <v>68</v>
      </c>
      <c r="N350">
        <v>67</v>
      </c>
      <c r="O350" s="173">
        <f t="shared" si="67"/>
        <v>60.5</v>
      </c>
      <c r="P350" s="173">
        <f t="shared" si="68"/>
        <v>-9.3333333333333286</v>
      </c>
      <c r="Q350" s="177">
        <f t="shared" si="69"/>
        <v>-0.13365155131264911</v>
      </c>
    </row>
    <row r="351" spans="1:18" x14ac:dyDescent="0.2">
      <c r="B351" t="s">
        <v>287</v>
      </c>
      <c r="C351">
        <v>71</v>
      </c>
      <c r="D351">
        <v>62</v>
      </c>
      <c r="E351">
        <v>61</v>
      </c>
      <c r="F351">
        <v>59</v>
      </c>
      <c r="G351">
        <v>54</v>
      </c>
      <c r="H351">
        <v>56</v>
      </c>
      <c r="I351">
        <v>56</v>
      </c>
      <c r="J351">
        <v>58</v>
      </c>
      <c r="K351">
        <v>60</v>
      </c>
      <c r="L351">
        <v>65</v>
      </c>
      <c r="M351">
        <v>72</v>
      </c>
      <c r="N351">
        <v>75</v>
      </c>
      <c r="O351" s="173">
        <f t="shared" si="67"/>
        <v>62.416666666666664</v>
      </c>
      <c r="P351" s="173">
        <f t="shared" si="68"/>
        <v>1.9166666666666643</v>
      </c>
      <c r="Q351" s="177">
        <f t="shared" si="69"/>
        <v>3.1680440771349822E-2</v>
      </c>
    </row>
    <row r="352" spans="1:18" x14ac:dyDescent="0.2">
      <c r="B352" t="s">
        <v>297</v>
      </c>
      <c r="C352">
        <v>76</v>
      </c>
      <c r="D352">
        <v>73</v>
      </c>
      <c r="E352">
        <v>67</v>
      </c>
      <c r="F352">
        <v>66</v>
      </c>
      <c r="G352">
        <v>66</v>
      </c>
      <c r="H352">
        <v>68</v>
      </c>
      <c r="I352">
        <v>69</v>
      </c>
      <c r="J352">
        <v>72</v>
      </c>
      <c r="K352">
        <v>69</v>
      </c>
      <c r="L352">
        <v>75</v>
      </c>
      <c r="M352">
        <v>73</v>
      </c>
      <c r="N352">
        <v>74</v>
      </c>
      <c r="O352" s="173">
        <f t="shared" si="67"/>
        <v>70.666666666666671</v>
      </c>
      <c r="P352" s="173">
        <f t="shared" si="68"/>
        <v>8.2500000000000071</v>
      </c>
      <c r="Q352" s="177">
        <f t="shared" si="69"/>
        <v>0.13217623497997341</v>
      </c>
    </row>
    <row r="353" spans="1:17" x14ac:dyDescent="0.2">
      <c r="B353" t="s">
        <v>300</v>
      </c>
      <c r="C353">
        <v>72</v>
      </c>
      <c r="D353">
        <v>72</v>
      </c>
      <c r="E353">
        <v>71</v>
      </c>
      <c r="F353">
        <v>73</v>
      </c>
      <c r="G353">
        <v>77</v>
      </c>
      <c r="H353">
        <v>76</v>
      </c>
      <c r="I353">
        <v>76</v>
      </c>
      <c r="J353">
        <v>78</v>
      </c>
      <c r="K353">
        <v>74</v>
      </c>
      <c r="L353">
        <v>88</v>
      </c>
      <c r="M353">
        <v>92</v>
      </c>
      <c r="N353">
        <v>76</v>
      </c>
      <c r="O353" s="173">
        <f t="shared" si="67"/>
        <v>77.083333333333329</v>
      </c>
      <c r="P353" s="173">
        <f t="shared" si="68"/>
        <v>6.4166666666666572</v>
      </c>
      <c r="Q353" s="177">
        <f t="shared" si="69"/>
        <v>9.0801886792452685E-2</v>
      </c>
    </row>
    <row r="354" spans="1:17" x14ac:dyDescent="0.2">
      <c r="B354" t="s">
        <v>301</v>
      </c>
      <c r="C354">
        <v>76</v>
      </c>
      <c r="D354">
        <v>79</v>
      </c>
      <c r="E354">
        <v>94</v>
      </c>
      <c r="F354">
        <v>75</v>
      </c>
      <c r="G354">
        <v>79</v>
      </c>
      <c r="H354">
        <v>77</v>
      </c>
      <c r="I354">
        <v>83</v>
      </c>
      <c r="J354">
        <v>83</v>
      </c>
      <c r="K354">
        <v>86</v>
      </c>
      <c r="L354">
        <v>85</v>
      </c>
      <c r="M354">
        <v>82</v>
      </c>
      <c r="N354">
        <v>89</v>
      </c>
      <c r="O354" s="173">
        <f t="shared" si="67"/>
        <v>82.333333333333329</v>
      </c>
      <c r="P354" s="173">
        <f t="shared" si="68"/>
        <v>5.25</v>
      </c>
      <c r="Q354" s="177">
        <f t="shared" ref="Q354:Q360" si="70">SUM(P354/O353)</f>
        <v>6.8108108108108106E-2</v>
      </c>
    </row>
    <row r="355" spans="1:17" x14ac:dyDescent="0.2">
      <c r="B355" t="s">
        <v>302</v>
      </c>
      <c r="C355">
        <v>92</v>
      </c>
      <c r="D355">
        <v>91</v>
      </c>
      <c r="E355">
        <v>95</v>
      </c>
      <c r="F355">
        <v>93</v>
      </c>
      <c r="G355">
        <v>96</v>
      </c>
      <c r="H355">
        <v>94</v>
      </c>
      <c r="I355">
        <v>91</v>
      </c>
      <c r="J355">
        <v>90</v>
      </c>
      <c r="K355">
        <v>91</v>
      </c>
      <c r="L355">
        <v>95</v>
      </c>
      <c r="M355">
        <v>96</v>
      </c>
      <c r="N355">
        <v>73</v>
      </c>
      <c r="O355" s="173">
        <f t="shared" si="67"/>
        <v>91.416666666666671</v>
      </c>
      <c r="P355" s="173">
        <f t="shared" ref="P355:P360" si="71">SUM(O355-O354)</f>
        <v>9.0833333333333428</v>
      </c>
      <c r="Q355" s="177">
        <f t="shared" si="70"/>
        <v>0.11032388663967624</v>
      </c>
    </row>
    <row r="356" spans="1:17" x14ac:dyDescent="0.2">
      <c r="B356" t="s">
        <v>347</v>
      </c>
      <c r="C356">
        <v>72</v>
      </c>
      <c r="D356">
        <v>72</v>
      </c>
      <c r="E356">
        <v>65</v>
      </c>
      <c r="F356">
        <v>62</v>
      </c>
      <c r="G356">
        <v>61</v>
      </c>
      <c r="H356">
        <v>65</v>
      </c>
      <c r="I356">
        <v>68</v>
      </c>
      <c r="J356">
        <v>70</v>
      </c>
      <c r="K356">
        <v>68</v>
      </c>
      <c r="L356">
        <v>70</v>
      </c>
      <c r="M356">
        <v>71</v>
      </c>
      <c r="N356">
        <v>73</v>
      </c>
      <c r="O356" s="173">
        <f t="shared" si="67"/>
        <v>68.083333333333329</v>
      </c>
      <c r="P356" s="173">
        <f t="shared" si="71"/>
        <v>-23.333333333333343</v>
      </c>
      <c r="Q356" s="177">
        <f t="shared" si="70"/>
        <v>-0.2552415679124887</v>
      </c>
    </row>
    <row r="357" spans="1:17" x14ac:dyDescent="0.2">
      <c r="B357" t="s">
        <v>370</v>
      </c>
      <c r="C357">
        <v>72</v>
      </c>
      <c r="D357">
        <v>70</v>
      </c>
      <c r="E357">
        <v>73</v>
      </c>
      <c r="F357">
        <v>77</v>
      </c>
      <c r="G357">
        <v>74</v>
      </c>
      <c r="H357">
        <v>74</v>
      </c>
      <c r="I357">
        <v>76</v>
      </c>
      <c r="J357">
        <v>75</v>
      </c>
      <c r="K357">
        <v>77</v>
      </c>
      <c r="L357">
        <v>82</v>
      </c>
      <c r="M357">
        <v>85</v>
      </c>
      <c r="N357">
        <v>88</v>
      </c>
      <c r="O357" s="173">
        <f t="shared" si="67"/>
        <v>76.916666666666671</v>
      </c>
      <c r="P357" s="173">
        <f t="shared" si="71"/>
        <v>8.8333333333333428</v>
      </c>
      <c r="Q357" s="177">
        <f t="shared" si="70"/>
        <v>0.1297429620563037</v>
      </c>
    </row>
    <row r="358" spans="1:17" x14ac:dyDescent="0.2">
      <c r="B358" t="s">
        <v>452</v>
      </c>
      <c r="C358">
        <v>88</v>
      </c>
      <c r="D358">
        <v>84</v>
      </c>
      <c r="E358">
        <v>81</v>
      </c>
      <c r="F358">
        <v>81</v>
      </c>
      <c r="G358">
        <v>79</v>
      </c>
      <c r="H358">
        <v>79</v>
      </c>
      <c r="I358">
        <v>77</v>
      </c>
      <c r="J358">
        <v>82</v>
      </c>
      <c r="K358">
        <v>80</v>
      </c>
      <c r="L358">
        <v>73</v>
      </c>
      <c r="M358">
        <v>76</v>
      </c>
      <c r="N358">
        <v>76</v>
      </c>
      <c r="O358" s="173">
        <f t="shared" si="67"/>
        <v>79.666666666666671</v>
      </c>
      <c r="P358" s="173">
        <f t="shared" si="71"/>
        <v>2.75</v>
      </c>
      <c r="Q358" s="177">
        <f t="shared" si="70"/>
        <v>3.5752979414951244E-2</v>
      </c>
    </row>
    <row r="359" spans="1:17" x14ac:dyDescent="0.2">
      <c r="B359" t="s">
        <v>487</v>
      </c>
      <c r="C359">
        <v>75</v>
      </c>
      <c r="D359">
        <v>77</v>
      </c>
      <c r="E359">
        <v>75</v>
      </c>
      <c r="F359">
        <v>75</v>
      </c>
      <c r="G359">
        <v>79</v>
      </c>
      <c r="H359">
        <v>74</v>
      </c>
      <c r="I359">
        <v>75</v>
      </c>
      <c r="J359">
        <v>77</v>
      </c>
      <c r="K359">
        <v>74</v>
      </c>
      <c r="L359">
        <v>70</v>
      </c>
      <c r="M359">
        <v>70</v>
      </c>
      <c r="N359">
        <v>72</v>
      </c>
      <c r="O359" s="173">
        <f t="shared" si="67"/>
        <v>74.416666666666671</v>
      </c>
      <c r="P359" s="173">
        <f t="shared" si="71"/>
        <v>-5.25</v>
      </c>
      <c r="Q359" s="177">
        <f t="shared" si="70"/>
        <v>-6.5899581589958151E-2</v>
      </c>
    </row>
    <row r="360" spans="1:17" x14ac:dyDescent="0.2">
      <c r="B360" t="s">
        <v>561</v>
      </c>
      <c r="C360">
        <v>74</v>
      </c>
      <c r="D360">
        <v>71</v>
      </c>
      <c r="E360">
        <v>73</v>
      </c>
      <c r="F360">
        <v>76</v>
      </c>
      <c r="G360">
        <v>72</v>
      </c>
      <c r="H360">
        <v>70</v>
      </c>
      <c r="I360">
        <v>73</v>
      </c>
      <c r="J360">
        <v>73</v>
      </c>
      <c r="K360">
        <v>72</v>
      </c>
      <c r="L360">
        <v>73</v>
      </c>
      <c r="M360">
        <v>76</v>
      </c>
      <c r="N360">
        <v>77</v>
      </c>
      <c r="O360" s="173">
        <f t="shared" si="67"/>
        <v>73.333333333333329</v>
      </c>
      <c r="P360" s="173">
        <f t="shared" si="71"/>
        <v>-1.0833333333333428</v>
      </c>
      <c r="Q360" s="177">
        <f t="shared" si="70"/>
        <v>-1.4557670772676497E-2</v>
      </c>
    </row>
    <row r="361" spans="1:17" x14ac:dyDescent="0.2">
      <c r="B361" t="s">
        <v>660</v>
      </c>
      <c r="C361">
        <v>71</v>
      </c>
      <c r="D361">
        <v>70</v>
      </c>
      <c r="E361">
        <v>68</v>
      </c>
      <c r="F361">
        <v>71</v>
      </c>
      <c r="G361">
        <v>69</v>
      </c>
      <c r="H361">
        <v>69</v>
      </c>
      <c r="I361">
        <v>67</v>
      </c>
      <c r="J361">
        <v>70</v>
      </c>
      <c r="K361">
        <v>69</v>
      </c>
      <c r="L361">
        <v>69</v>
      </c>
      <c r="M361">
        <v>69</v>
      </c>
      <c r="N361">
        <v>65</v>
      </c>
      <c r="O361" s="173">
        <f t="shared" si="67"/>
        <v>68.916666666666671</v>
      </c>
      <c r="P361" s="173">
        <f>SUM(O361-O360)</f>
        <v>-4.4166666666666572</v>
      </c>
      <c r="Q361" s="177">
        <f>SUM(P361/O360)</f>
        <v>-6.0227272727272602E-2</v>
      </c>
    </row>
    <row r="362" spans="1:17" x14ac:dyDescent="0.2">
      <c r="B362" t="s">
        <v>661</v>
      </c>
      <c r="C362">
        <v>69</v>
      </c>
      <c r="D362">
        <v>66</v>
      </c>
      <c r="E362">
        <v>63</v>
      </c>
      <c r="O362" s="173"/>
      <c r="P362" s="173"/>
      <c r="Q362" s="177"/>
    </row>
    <row r="363" spans="1:17" x14ac:dyDescent="0.2">
      <c r="O363" s="173"/>
      <c r="P363" s="173"/>
      <c r="Q363" s="177"/>
    </row>
    <row r="364" spans="1:17" ht="25.5" x14ac:dyDescent="0.2">
      <c r="A364" s="175" t="s">
        <v>457</v>
      </c>
      <c r="B364" s="176" t="s">
        <v>433</v>
      </c>
      <c r="C364" s="179" t="s">
        <v>434</v>
      </c>
      <c r="D364" s="179" t="s">
        <v>435</v>
      </c>
      <c r="E364" s="179" t="s">
        <v>436</v>
      </c>
      <c r="F364" s="179" t="s">
        <v>437</v>
      </c>
      <c r="G364" s="179" t="s">
        <v>438</v>
      </c>
      <c r="H364" s="179" t="s">
        <v>439</v>
      </c>
      <c r="I364" s="179" t="s">
        <v>440</v>
      </c>
      <c r="J364" s="179" t="s">
        <v>441</v>
      </c>
      <c r="K364" s="179" t="s">
        <v>442</v>
      </c>
      <c r="L364" s="179" t="s">
        <v>443</v>
      </c>
      <c r="M364" s="179" t="s">
        <v>444</v>
      </c>
      <c r="N364" s="179" t="s">
        <v>445</v>
      </c>
    </row>
    <row r="365" spans="1:17" x14ac:dyDescent="0.2">
      <c r="B365" t="s">
        <v>449</v>
      </c>
      <c r="C365">
        <v>683</v>
      </c>
      <c r="D365">
        <v>675</v>
      </c>
      <c r="E365">
        <v>696</v>
      </c>
      <c r="F365">
        <v>659</v>
      </c>
      <c r="G365">
        <v>661</v>
      </c>
      <c r="H365">
        <v>650</v>
      </c>
      <c r="I365">
        <v>666</v>
      </c>
      <c r="J365">
        <v>688</v>
      </c>
      <c r="K365">
        <v>667</v>
      </c>
      <c r="L365">
        <v>670</v>
      </c>
      <c r="M365">
        <v>639</v>
      </c>
      <c r="N365">
        <v>653</v>
      </c>
      <c r="O365" s="173">
        <f t="shared" ref="O365:O380" si="72">SUM(C365:N365)/12</f>
        <v>667.25</v>
      </c>
      <c r="P365" s="173"/>
    </row>
    <row r="366" spans="1:17" x14ac:dyDescent="0.2">
      <c r="B366" t="s">
        <v>450</v>
      </c>
      <c r="C366">
        <v>624</v>
      </c>
      <c r="D366">
        <v>643</v>
      </c>
      <c r="E366">
        <v>636</v>
      </c>
      <c r="F366">
        <v>670</v>
      </c>
      <c r="G366">
        <v>642</v>
      </c>
      <c r="H366">
        <v>655</v>
      </c>
      <c r="I366">
        <v>650</v>
      </c>
      <c r="J366">
        <v>660</v>
      </c>
      <c r="K366">
        <v>644</v>
      </c>
      <c r="L366">
        <v>672</v>
      </c>
      <c r="M366">
        <v>658</v>
      </c>
      <c r="N366">
        <v>659</v>
      </c>
      <c r="O366" s="173">
        <f t="shared" si="72"/>
        <v>651.08333333333337</v>
      </c>
      <c r="P366" s="173">
        <f t="shared" ref="P366:P373" si="73">SUM(O366-O365)</f>
        <v>-16.166666666666629</v>
      </c>
      <c r="Q366" s="177">
        <f t="shared" ref="Q366:Q372" si="74">SUM(P366/O365)</f>
        <v>-2.422879980017479E-2</v>
      </c>
    </row>
    <row r="367" spans="1:17" x14ac:dyDescent="0.2">
      <c r="B367" t="s">
        <v>451</v>
      </c>
      <c r="C367">
        <v>661</v>
      </c>
      <c r="D367">
        <v>673</v>
      </c>
      <c r="E367">
        <v>672</v>
      </c>
      <c r="F367">
        <v>632</v>
      </c>
      <c r="G367">
        <v>611</v>
      </c>
      <c r="H367">
        <v>620</v>
      </c>
      <c r="I367">
        <v>633</v>
      </c>
      <c r="J367">
        <v>653</v>
      </c>
      <c r="K367">
        <v>659</v>
      </c>
      <c r="L367">
        <v>665</v>
      </c>
      <c r="M367">
        <v>671</v>
      </c>
      <c r="N367">
        <v>677</v>
      </c>
      <c r="O367" s="173">
        <f t="shared" si="72"/>
        <v>652.25</v>
      </c>
      <c r="P367" s="173">
        <f t="shared" si="73"/>
        <v>1.1666666666666288</v>
      </c>
      <c r="Q367" s="177">
        <f t="shared" si="74"/>
        <v>1.7918853193395041E-3</v>
      </c>
    </row>
    <row r="368" spans="1:17" x14ac:dyDescent="0.2">
      <c r="B368" t="s">
        <v>267</v>
      </c>
      <c r="C368">
        <v>561</v>
      </c>
      <c r="D368">
        <v>574</v>
      </c>
      <c r="E368">
        <v>593</v>
      </c>
      <c r="F368">
        <v>589</v>
      </c>
      <c r="G368">
        <v>589</v>
      </c>
      <c r="H368">
        <v>589</v>
      </c>
      <c r="I368">
        <v>589</v>
      </c>
      <c r="J368">
        <v>589</v>
      </c>
      <c r="K368">
        <v>589</v>
      </c>
      <c r="L368">
        <v>589</v>
      </c>
      <c r="M368">
        <v>589</v>
      </c>
      <c r="N368">
        <v>623</v>
      </c>
      <c r="O368" s="173">
        <f t="shared" si="72"/>
        <v>588.58333333333337</v>
      </c>
      <c r="P368" s="173">
        <f t="shared" si="73"/>
        <v>-63.666666666666629</v>
      </c>
      <c r="Q368" s="177">
        <f t="shared" si="74"/>
        <v>-9.7610834291554816E-2</v>
      </c>
    </row>
    <row r="369" spans="1:17" x14ac:dyDescent="0.2">
      <c r="B369" t="s">
        <v>266</v>
      </c>
      <c r="C369">
        <v>585</v>
      </c>
      <c r="D369">
        <v>542</v>
      </c>
      <c r="E369">
        <v>535</v>
      </c>
      <c r="F369">
        <v>545</v>
      </c>
      <c r="G369">
        <v>547</v>
      </c>
      <c r="H369">
        <v>584</v>
      </c>
      <c r="I369">
        <v>608</v>
      </c>
      <c r="J369">
        <v>604</v>
      </c>
      <c r="K369">
        <v>592</v>
      </c>
      <c r="L369">
        <v>599</v>
      </c>
      <c r="M369">
        <v>628</v>
      </c>
      <c r="N369">
        <v>595</v>
      </c>
      <c r="O369" s="173">
        <f t="shared" si="72"/>
        <v>580.33333333333337</v>
      </c>
      <c r="P369" s="173">
        <f t="shared" si="73"/>
        <v>-8.25</v>
      </c>
      <c r="Q369" s="177">
        <f t="shared" si="74"/>
        <v>-1.4016706781820756E-2</v>
      </c>
    </row>
    <row r="370" spans="1:17" x14ac:dyDescent="0.2">
      <c r="B370" t="s">
        <v>287</v>
      </c>
      <c r="C370">
        <v>601</v>
      </c>
      <c r="D370">
        <v>626</v>
      </c>
      <c r="E370">
        <v>662</v>
      </c>
      <c r="F370">
        <v>646</v>
      </c>
      <c r="G370">
        <v>635</v>
      </c>
      <c r="H370">
        <v>634</v>
      </c>
      <c r="I370">
        <v>628</v>
      </c>
      <c r="J370">
        <v>656</v>
      </c>
      <c r="K370">
        <v>666</v>
      </c>
      <c r="L370">
        <v>657</v>
      </c>
      <c r="M370">
        <v>576</v>
      </c>
      <c r="N370">
        <v>650</v>
      </c>
      <c r="O370" s="173">
        <f t="shared" si="72"/>
        <v>636.41666666666663</v>
      </c>
      <c r="P370" s="173">
        <f t="shared" si="73"/>
        <v>56.083333333333258</v>
      </c>
      <c r="Q370" s="177">
        <f t="shared" si="74"/>
        <v>9.6639862148190564E-2</v>
      </c>
    </row>
    <row r="371" spans="1:17" x14ac:dyDescent="0.2">
      <c r="B371" t="s">
        <v>297</v>
      </c>
      <c r="C371">
        <v>648</v>
      </c>
      <c r="D371">
        <v>660</v>
      </c>
      <c r="E371">
        <v>652</v>
      </c>
      <c r="F371">
        <v>651</v>
      </c>
      <c r="G371">
        <v>646</v>
      </c>
      <c r="H371">
        <v>659</v>
      </c>
      <c r="I371">
        <v>646</v>
      </c>
      <c r="J371">
        <v>702</v>
      </c>
      <c r="K371">
        <v>699</v>
      </c>
      <c r="L371">
        <v>703</v>
      </c>
      <c r="M371">
        <v>711</v>
      </c>
      <c r="N371">
        <v>718</v>
      </c>
      <c r="O371" s="173">
        <f t="shared" si="72"/>
        <v>674.58333333333337</v>
      </c>
      <c r="P371" s="173">
        <f t="shared" si="73"/>
        <v>38.166666666666742</v>
      </c>
      <c r="Q371" s="177">
        <f t="shared" si="74"/>
        <v>5.99711928767842E-2</v>
      </c>
    </row>
    <row r="372" spans="1:17" x14ac:dyDescent="0.2">
      <c r="B372" t="s">
        <v>300</v>
      </c>
      <c r="C372">
        <v>731</v>
      </c>
      <c r="D372">
        <v>726</v>
      </c>
      <c r="E372">
        <v>720</v>
      </c>
      <c r="F372">
        <v>696</v>
      </c>
      <c r="G372">
        <v>731</v>
      </c>
      <c r="H372">
        <v>721</v>
      </c>
      <c r="I372">
        <v>713</v>
      </c>
      <c r="J372">
        <v>701</v>
      </c>
      <c r="K372">
        <v>691</v>
      </c>
      <c r="L372">
        <v>789</v>
      </c>
      <c r="M372">
        <v>764</v>
      </c>
      <c r="N372">
        <v>691</v>
      </c>
      <c r="O372" s="173">
        <f t="shared" si="72"/>
        <v>722.83333333333337</v>
      </c>
      <c r="P372" s="173">
        <f t="shared" si="73"/>
        <v>48.25</v>
      </c>
      <c r="Q372" s="177">
        <f t="shared" si="74"/>
        <v>7.1525633106856085E-2</v>
      </c>
    </row>
    <row r="373" spans="1:17" x14ac:dyDescent="0.2">
      <c r="B373" t="s">
        <v>301</v>
      </c>
      <c r="C373">
        <v>684</v>
      </c>
      <c r="D373">
        <v>691</v>
      </c>
      <c r="E373">
        <v>716</v>
      </c>
      <c r="F373">
        <v>676</v>
      </c>
      <c r="G373">
        <v>671</v>
      </c>
      <c r="H373">
        <v>676</v>
      </c>
      <c r="I373">
        <v>674</v>
      </c>
      <c r="J373">
        <v>667</v>
      </c>
      <c r="K373">
        <v>669</v>
      </c>
      <c r="L373">
        <v>676</v>
      </c>
      <c r="M373">
        <v>714</v>
      </c>
      <c r="N373">
        <v>718</v>
      </c>
      <c r="O373" s="173">
        <f t="shared" si="72"/>
        <v>686</v>
      </c>
      <c r="P373" s="173">
        <f t="shared" si="73"/>
        <v>-36.833333333333371</v>
      </c>
      <c r="Q373" s="177">
        <f t="shared" ref="Q373:Q379" si="75">SUM(P373/O372)</f>
        <v>-5.095688263776809E-2</v>
      </c>
    </row>
    <row r="374" spans="1:17" x14ac:dyDescent="0.2">
      <c r="B374" t="s">
        <v>302</v>
      </c>
      <c r="C374">
        <v>681</v>
      </c>
      <c r="D374">
        <v>689</v>
      </c>
      <c r="E374">
        <v>680</v>
      </c>
      <c r="F374">
        <v>661</v>
      </c>
      <c r="G374">
        <v>661</v>
      </c>
      <c r="H374">
        <v>678</v>
      </c>
      <c r="I374">
        <v>672</v>
      </c>
      <c r="J374">
        <v>687</v>
      </c>
      <c r="K374">
        <v>677</v>
      </c>
      <c r="L374">
        <v>674</v>
      </c>
      <c r="M374">
        <v>674</v>
      </c>
      <c r="N374">
        <v>691</v>
      </c>
      <c r="O374" s="173">
        <f t="shared" si="72"/>
        <v>677.08333333333337</v>
      </c>
      <c r="P374" s="173">
        <f t="shared" ref="P374:P379" si="76">SUM(O374-O373)</f>
        <v>-8.9166666666666288</v>
      </c>
      <c r="Q374" s="177">
        <f t="shared" si="75"/>
        <v>-1.2998056365403248E-2</v>
      </c>
    </row>
    <row r="375" spans="1:17" x14ac:dyDescent="0.2">
      <c r="B375" t="s">
        <v>347</v>
      </c>
      <c r="C375">
        <v>685</v>
      </c>
      <c r="D375">
        <v>703</v>
      </c>
      <c r="E375">
        <v>697</v>
      </c>
      <c r="F375">
        <v>714</v>
      </c>
      <c r="G375">
        <v>713</v>
      </c>
      <c r="H375">
        <v>746</v>
      </c>
      <c r="I375">
        <v>722</v>
      </c>
      <c r="J375">
        <v>724</v>
      </c>
      <c r="K375">
        <v>728</v>
      </c>
      <c r="L375">
        <v>696</v>
      </c>
      <c r="M375">
        <v>695</v>
      </c>
      <c r="N375">
        <v>676</v>
      </c>
      <c r="O375" s="173">
        <f t="shared" si="72"/>
        <v>708.25</v>
      </c>
      <c r="P375" s="173">
        <f t="shared" si="76"/>
        <v>31.166666666666629</v>
      </c>
      <c r="Q375" s="177">
        <f t="shared" si="75"/>
        <v>4.6030769230769174E-2</v>
      </c>
    </row>
    <row r="376" spans="1:17" x14ac:dyDescent="0.2">
      <c r="B376" t="s">
        <v>370</v>
      </c>
      <c r="C376">
        <v>691</v>
      </c>
      <c r="D376">
        <v>666</v>
      </c>
      <c r="E376">
        <v>624</v>
      </c>
      <c r="F376">
        <v>670</v>
      </c>
      <c r="G376">
        <v>672</v>
      </c>
      <c r="H376">
        <v>675</v>
      </c>
      <c r="I376">
        <v>651</v>
      </c>
      <c r="J376">
        <v>642</v>
      </c>
      <c r="K376">
        <v>588</v>
      </c>
      <c r="L376">
        <v>663</v>
      </c>
      <c r="M376">
        <v>660</v>
      </c>
      <c r="N376">
        <v>646</v>
      </c>
      <c r="O376" s="173">
        <f t="shared" si="72"/>
        <v>654</v>
      </c>
      <c r="P376" s="173">
        <f t="shared" si="76"/>
        <v>-54.25</v>
      </c>
      <c r="Q376" s="177">
        <f t="shared" si="75"/>
        <v>-7.6597246734909988E-2</v>
      </c>
    </row>
    <row r="377" spans="1:17" x14ac:dyDescent="0.2">
      <c r="B377" t="s">
        <v>452</v>
      </c>
      <c r="C377">
        <v>652</v>
      </c>
      <c r="D377">
        <v>655</v>
      </c>
      <c r="E377">
        <v>667</v>
      </c>
      <c r="F377">
        <v>658</v>
      </c>
      <c r="G377">
        <v>671</v>
      </c>
      <c r="H377">
        <v>681</v>
      </c>
      <c r="I377">
        <v>677</v>
      </c>
      <c r="J377">
        <v>673</v>
      </c>
      <c r="K377">
        <v>663</v>
      </c>
      <c r="L377">
        <v>656</v>
      </c>
      <c r="M377">
        <v>662</v>
      </c>
      <c r="N377">
        <v>679</v>
      </c>
      <c r="O377" s="173">
        <f t="shared" si="72"/>
        <v>666.16666666666663</v>
      </c>
      <c r="P377" s="173">
        <f t="shared" si="76"/>
        <v>12.166666666666629</v>
      </c>
      <c r="Q377" s="177">
        <f t="shared" si="75"/>
        <v>1.8603465851172216E-2</v>
      </c>
    </row>
    <row r="378" spans="1:17" x14ac:dyDescent="0.2">
      <c r="B378" t="s">
        <v>487</v>
      </c>
      <c r="C378">
        <v>674</v>
      </c>
      <c r="D378">
        <v>675</v>
      </c>
      <c r="E378">
        <v>693</v>
      </c>
      <c r="F378">
        <v>708</v>
      </c>
      <c r="G378">
        <v>741</v>
      </c>
      <c r="H378">
        <v>687</v>
      </c>
      <c r="I378">
        <v>729</v>
      </c>
      <c r="J378">
        <v>690</v>
      </c>
      <c r="K378">
        <v>701</v>
      </c>
      <c r="L378">
        <v>693</v>
      </c>
      <c r="M378">
        <v>738</v>
      </c>
      <c r="N378">
        <v>729</v>
      </c>
      <c r="O378" s="173">
        <f t="shared" si="72"/>
        <v>704.83333333333337</v>
      </c>
      <c r="P378" s="173">
        <f t="shared" si="76"/>
        <v>38.666666666666742</v>
      </c>
      <c r="Q378" s="177">
        <f t="shared" si="75"/>
        <v>5.804353264948723E-2</v>
      </c>
    </row>
    <row r="379" spans="1:17" x14ac:dyDescent="0.2">
      <c r="B379" t="s">
        <v>561</v>
      </c>
      <c r="C379">
        <v>722</v>
      </c>
      <c r="D379">
        <v>713</v>
      </c>
      <c r="E379">
        <v>717</v>
      </c>
      <c r="F379">
        <v>696</v>
      </c>
      <c r="G379">
        <v>673</v>
      </c>
      <c r="H379">
        <v>688</v>
      </c>
      <c r="I379">
        <v>676</v>
      </c>
      <c r="J379">
        <v>681</v>
      </c>
      <c r="K379">
        <v>670</v>
      </c>
      <c r="L379">
        <v>672</v>
      </c>
      <c r="M379">
        <v>697</v>
      </c>
      <c r="N379">
        <v>744</v>
      </c>
      <c r="O379" s="173">
        <f t="shared" si="72"/>
        <v>695.75</v>
      </c>
      <c r="P379" s="173">
        <f t="shared" si="76"/>
        <v>-9.0833333333333712</v>
      </c>
      <c r="Q379" s="177">
        <f t="shared" si="75"/>
        <v>-1.2887207377630699E-2</v>
      </c>
    </row>
    <row r="380" spans="1:17" x14ac:dyDescent="0.2">
      <c r="B380" t="s">
        <v>660</v>
      </c>
      <c r="C380">
        <v>681</v>
      </c>
      <c r="D380">
        <v>668</v>
      </c>
      <c r="E380">
        <v>662</v>
      </c>
      <c r="F380">
        <v>638</v>
      </c>
      <c r="G380">
        <v>665</v>
      </c>
      <c r="H380">
        <v>654</v>
      </c>
      <c r="I380">
        <v>640</v>
      </c>
      <c r="J380">
        <v>628</v>
      </c>
      <c r="K380">
        <v>699</v>
      </c>
      <c r="L380">
        <v>611</v>
      </c>
      <c r="M380">
        <v>605</v>
      </c>
      <c r="N380">
        <v>589</v>
      </c>
      <c r="O380" s="173">
        <f t="shared" si="72"/>
        <v>645</v>
      </c>
      <c r="P380" s="173">
        <f>SUM(O380-O379)</f>
        <v>-50.75</v>
      </c>
      <c r="Q380" s="177">
        <f>SUM(P380/O379)</f>
        <v>-7.294286740927057E-2</v>
      </c>
    </row>
    <row r="381" spans="1:17" x14ac:dyDescent="0.2">
      <c r="B381" t="s">
        <v>661</v>
      </c>
      <c r="C381">
        <v>578</v>
      </c>
      <c r="D381">
        <v>579</v>
      </c>
      <c r="E381">
        <v>577</v>
      </c>
      <c r="O381" s="173"/>
      <c r="P381" s="173"/>
      <c r="Q381" s="177"/>
    </row>
    <row r="382" spans="1:17" x14ac:dyDescent="0.2">
      <c r="O382" s="173"/>
      <c r="P382" s="173"/>
      <c r="Q382" s="177"/>
    </row>
    <row r="383" spans="1:17" ht="25.5" x14ac:dyDescent="0.2">
      <c r="A383" s="175" t="s">
        <v>458</v>
      </c>
      <c r="B383" s="176" t="s">
        <v>433</v>
      </c>
      <c r="C383" s="179" t="s">
        <v>434</v>
      </c>
      <c r="D383" s="179" t="s">
        <v>435</v>
      </c>
      <c r="E383" s="179" t="s">
        <v>436</v>
      </c>
      <c r="F383" s="179" t="s">
        <v>437</v>
      </c>
      <c r="G383" s="179" t="s">
        <v>438</v>
      </c>
      <c r="H383" s="179" t="s">
        <v>439</v>
      </c>
      <c r="I383" s="179" t="s">
        <v>440</v>
      </c>
      <c r="J383" s="179" t="s">
        <v>441</v>
      </c>
      <c r="K383" s="179" t="s">
        <v>442</v>
      </c>
      <c r="L383" s="179" t="s">
        <v>443</v>
      </c>
      <c r="M383" s="179" t="s">
        <v>444</v>
      </c>
      <c r="N383" s="179" t="s">
        <v>445</v>
      </c>
    </row>
    <row r="384" spans="1:17" x14ac:dyDescent="0.2">
      <c r="B384" t="s">
        <v>449</v>
      </c>
      <c r="C384">
        <v>227</v>
      </c>
      <c r="D384">
        <v>238</v>
      </c>
      <c r="E384">
        <v>241</v>
      </c>
      <c r="F384">
        <v>237</v>
      </c>
      <c r="G384">
        <v>237</v>
      </c>
      <c r="H384">
        <v>245</v>
      </c>
      <c r="I384">
        <v>239</v>
      </c>
      <c r="J384">
        <v>232</v>
      </c>
      <c r="K384">
        <v>228</v>
      </c>
      <c r="L384">
        <v>226</v>
      </c>
      <c r="M384">
        <v>226</v>
      </c>
      <c r="N384">
        <v>238</v>
      </c>
      <c r="O384" s="173">
        <f t="shared" ref="O384:O399" si="77">SUM(C384:N384)/12</f>
        <v>234.5</v>
      </c>
      <c r="P384" s="173"/>
    </row>
    <row r="385" spans="2:17" x14ac:dyDescent="0.2">
      <c r="B385" t="s">
        <v>450</v>
      </c>
      <c r="C385">
        <v>227</v>
      </c>
      <c r="D385">
        <v>234</v>
      </c>
      <c r="E385">
        <v>235</v>
      </c>
      <c r="F385">
        <v>220</v>
      </c>
      <c r="G385">
        <v>231</v>
      </c>
      <c r="H385">
        <v>222</v>
      </c>
      <c r="I385">
        <v>209</v>
      </c>
      <c r="J385">
        <v>216</v>
      </c>
      <c r="K385">
        <v>219</v>
      </c>
      <c r="L385">
        <v>212</v>
      </c>
      <c r="M385">
        <v>211</v>
      </c>
      <c r="N385">
        <v>211</v>
      </c>
      <c r="O385" s="173">
        <f t="shared" si="77"/>
        <v>220.58333333333334</v>
      </c>
      <c r="P385" s="173">
        <f t="shared" ref="P385:P392" si="78">SUM(O385-O384)</f>
        <v>-13.916666666666657</v>
      </c>
      <c r="Q385" s="177">
        <f t="shared" ref="Q385:Q391" si="79">SUM(P385/O384)</f>
        <v>-5.9346126510305575E-2</v>
      </c>
    </row>
    <row r="386" spans="2:17" x14ac:dyDescent="0.2">
      <c r="B386" t="s">
        <v>451</v>
      </c>
      <c r="C386">
        <v>210</v>
      </c>
      <c r="D386">
        <v>212</v>
      </c>
      <c r="E386">
        <v>205</v>
      </c>
      <c r="F386">
        <v>205</v>
      </c>
      <c r="G386">
        <v>220</v>
      </c>
      <c r="H386">
        <v>221</v>
      </c>
      <c r="I386">
        <v>223</v>
      </c>
      <c r="J386">
        <v>227</v>
      </c>
      <c r="K386">
        <v>230</v>
      </c>
      <c r="L386">
        <v>204</v>
      </c>
      <c r="M386">
        <v>178</v>
      </c>
      <c r="N386">
        <v>152</v>
      </c>
      <c r="O386" s="173">
        <f t="shared" si="77"/>
        <v>207.25</v>
      </c>
      <c r="P386" s="173">
        <f t="shared" si="78"/>
        <v>-13.333333333333343</v>
      </c>
      <c r="Q386" s="177">
        <f t="shared" si="79"/>
        <v>-6.0445787684170797E-2</v>
      </c>
    </row>
    <row r="387" spans="2:17" x14ac:dyDescent="0.2">
      <c r="B387" t="s">
        <v>267</v>
      </c>
      <c r="C387">
        <v>257</v>
      </c>
      <c r="D387">
        <v>269</v>
      </c>
      <c r="E387">
        <v>265</v>
      </c>
      <c r="F387">
        <v>244</v>
      </c>
      <c r="G387">
        <v>244</v>
      </c>
      <c r="H387">
        <v>244</v>
      </c>
      <c r="I387">
        <v>244</v>
      </c>
      <c r="J387">
        <v>244</v>
      </c>
      <c r="K387">
        <v>244</v>
      </c>
      <c r="L387">
        <v>244</v>
      </c>
      <c r="M387">
        <v>244</v>
      </c>
      <c r="N387">
        <v>244</v>
      </c>
      <c r="O387" s="173">
        <f t="shared" si="77"/>
        <v>248.91666666666666</v>
      </c>
      <c r="P387" s="173">
        <f t="shared" si="78"/>
        <v>41.666666666666657</v>
      </c>
      <c r="Q387" s="177">
        <f t="shared" si="79"/>
        <v>0.20104543626859667</v>
      </c>
    </row>
    <row r="388" spans="2:17" x14ac:dyDescent="0.2">
      <c r="B388" t="s">
        <v>266</v>
      </c>
      <c r="C388">
        <v>239</v>
      </c>
      <c r="D388">
        <v>224</v>
      </c>
      <c r="E388">
        <v>226</v>
      </c>
      <c r="F388">
        <v>219</v>
      </c>
      <c r="G388">
        <v>227</v>
      </c>
      <c r="H388">
        <v>220</v>
      </c>
      <c r="I388">
        <v>214</v>
      </c>
      <c r="J388">
        <v>214</v>
      </c>
      <c r="K388">
        <v>205</v>
      </c>
      <c r="L388">
        <v>216</v>
      </c>
      <c r="M388">
        <v>210</v>
      </c>
      <c r="N388">
        <v>213</v>
      </c>
      <c r="O388" s="173">
        <f t="shared" si="77"/>
        <v>218.91666666666666</v>
      </c>
      <c r="P388" s="173">
        <f t="shared" si="78"/>
        <v>-30</v>
      </c>
      <c r="Q388" s="177">
        <f t="shared" si="79"/>
        <v>-0.12052226314027453</v>
      </c>
    </row>
    <row r="389" spans="2:17" x14ac:dyDescent="0.2">
      <c r="B389" t="s">
        <v>287</v>
      </c>
      <c r="C389">
        <v>214</v>
      </c>
      <c r="D389">
        <v>211</v>
      </c>
      <c r="E389">
        <v>207</v>
      </c>
      <c r="F389">
        <v>229</v>
      </c>
      <c r="G389">
        <v>243</v>
      </c>
      <c r="H389">
        <v>240</v>
      </c>
      <c r="I389">
        <v>243</v>
      </c>
      <c r="J389">
        <v>245</v>
      </c>
      <c r="K389">
        <v>245</v>
      </c>
      <c r="L389">
        <v>259</v>
      </c>
      <c r="M389">
        <v>261</v>
      </c>
      <c r="N389">
        <v>263</v>
      </c>
      <c r="O389" s="173">
        <f t="shared" si="77"/>
        <v>238.33333333333334</v>
      </c>
      <c r="P389" s="173">
        <f t="shared" si="78"/>
        <v>19.416666666666686</v>
      </c>
      <c r="Q389" s="177">
        <f t="shared" si="79"/>
        <v>8.8694328130947936E-2</v>
      </c>
    </row>
    <row r="390" spans="2:17" x14ac:dyDescent="0.2">
      <c r="B390" t="s">
        <v>297</v>
      </c>
      <c r="C390">
        <v>264</v>
      </c>
      <c r="D390">
        <v>263</v>
      </c>
      <c r="E390">
        <v>264</v>
      </c>
      <c r="F390">
        <v>259</v>
      </c>
      <c r="G390">
        <v>262</v>
      </c>
      <c r="H390">
        <v>259</v>
      </c>
      <c r="I390">
        <v>244</v>
      </c>
      <c r="J390">
        <v>246</v>
      </c>
      <c r="K390">
        <v>253</v>
      </c>
      <c r="L390">
        <v>249</v>
      </c>
      <c r="M390">
        <v>248</v>
      </c>
      <c r="N390">
        <v>256</v>
      </c>
      <c r="O390" s="173">
        <f t="shared" si="77"/>
        <v>255.58333333333334</v>
      </c>
      <c r="P390" s="173">
        <f t="shared" si="78"/>
        <v>17.25</v>
      </c>
      <c r="Q390" s="177">
        <f t="shared" si="79"/>
        <v>7.237762237762238E-2</v>
      </c>
    </row>
    <row r="391" spans="2:17" x14ac:dyDescent="0.2">
      <c r="B391" t="s">
        <v>300</v>
      </c>
      <c r="C391">
        <v>259</v>
      </c>
      <c r="D391">
        <v>269</v>
      </c>
      <c r="E391">
        <v>262</v>
      </c>
      <c r="F391">
        <v>281</v>
      </c>
      <c r="G391">
        <v>292</v>
      </c>
      <c r="H391">
        <v>287</v>
      </c>
      <c r="I391">
        <v>285</v>
      </c>
      <c r="J391">
        <v>271</v>
      </c>
      <c r="K391">
        <v>263</v>
      </c>
      <c r="L391">
        <v>304</v>
      </c>
      <c r="M391">
        <v>301</v>
      </c>
      <c r="N391">
        <v>256</v>
      </c>
      <c r="O391" s="173">
        <f t="shared" si="77"/>
        <v>277.5</v>
      </c>
      <c r="P391" s="173">
        <f t="shared" si="78"/>
        <v>21.916666666666657</v>
      </c>
      <c r="Q391" s="177">
        <f t="shared" si="79"/>
        <v>8.5751548744701617E-2</v>
      </c>
    </row>
    <row r="392" spans="2:17" x14ac:dyDescent="0.2">
      <c r="B392" t="s">
        <v>301</v>
      </c>
      <c r="C392">
        <v>263</v>
      </c>
      <c r="D392">
        <v>269</v>
      </c>
      <c r="E392">
        <v>260</v>
      </c>
      <c r="F392">
        <v>254</v>
      </c>
      <c r="G392">
        <v>247</v>
      </c>
      <c r="H392">
        <v>251</v>
      </c>
      <c r="I392">
        <v>244</v>
      </c>
      <c r="J392">
        <v>235</v>
      </c>
      <c r="K392">
        <v>233</v>
      </c>
      <c r="L392">
        <v>251</v>
      </c>
      <c r="M392">
        <v>278</v>
      </c>
      <c r="N392">
        <v>279</v>
      </c>
      <c r="O392" s="173">
        <f t="shared" si="77"/>
        <v>255.33333333333334</v>
      </c>
      <c r="P392" s="173">
        <f t="shared" si="78"/>
        <v>-22.166666666666657</v>
      </c>
      <c r="Q392" s="177">
        <f t="shared" ref="Q392:Q398" si="80">SUM(P392/O391)</f>
        <v>-7.987987987987985E-2</v>
      </c>
    </row>
    <row r="393" spans="2:17" x14ac:dyDescent="0.2">
      <c r="B393" t="s">
        <v>302</v>
      </c>
      <c r="C393">
        <v>271</v>
      </c>
      <c r="D393">
        <v>264</v>
      </c>
      <c r="E393">
        <v>264</v>
      </c>
      <c r="F393">
        <v>265</v>
      </c>
      <c r="G393">
        <v>260</v>
      </c>
      <c r="H393">
        <v>261</v>
      </c>
      <c r="I393">
        <v>266</v>
      </c>
      <c r="J393">
        <v>257</v>
      </c>
      <c r="K393">
        <v>261</v>
      </c>
      <c r="L393">
        <v>270</v>
      </c>
      <c r="M393">
        <v>273</v>
      </c>
      <c r="N393">
        <v>267</v>
      </c>
      <c r="O393" s="173">
        <f t="shared" si="77"/>
        <v>264.91666666666669</v>
      </c>
      <c r="P393" s="173">
        <f t="shared" ref="P393:P398" si="81">SUM(O393-O392)</f>
        <v>9.5833333333333428</v>
      </c>
      <c r="Q393" s="177">
        <f t="shared" si="80"/>
        <v>3.7532637075718051E-2</v>
      </c>
    </row>
    <row r="394" spans="2:17" x14ac:dyDescent="0.2">
      <c r="B394" t="s">
        <v>347</v>
      </c>
      <c r="C394">
        <v>267</v>
      </c>
      <c r="D394">
        <v>266</v>
      </c>
      <c r="E394">
        <v>268</v>
      </c>
      <c r="F394">
        <v>273</v>
      </c>
      <c r="G394">
        <v>266</v>
      </c>
      <c r="H394">
        <v>255</v>
      </c>
      <c r="I394">
        <v>256</v>
      </c>
      <c r="J394">
        <v>248</v>
      </c>
      <c r="K394">
        <v>253</v>
      </c>
      <c r="L394">
        <v>255</v>
      </c>
      <c r="M394">
        <v>251</v>
      </c>
      <c r="N394">
        <v>255</v>
      </c>
      <c r="O394" s="173">
        <f t="shared" si="77"/>
        <v>259.41666666666669</v>
      </c>
      <c r="P394" s="173">
        <f t="shared" si="81"/>
        <v>-5.5</v>
      </c>
      <c r="Q394" s="177">
        <f t="shared" si="80"/>
        <v>-2.0761245674740483E-2</v>
      </c>
    </row>
    <row r="395" spans="2:17" x14ac:dyDescent="0.2">
      <c r="B395" t="s">
        <v>370</v>
      </c>
      <c r="C395">
        <v>260</v>
      </c>
      <c r="D395">
        <v>250</v>
      </c>
      <c r="E395">
        <v>251</v>
      </c>
      <c r="F395">
        <v>257</v>
      </c>
      <c r="G395">
        <v>258</v>
      </c>
      <c r="H395">
        <v>252</v>
      </c>
      <c r="I395">
        <v>247</v>
      </c>
      <c r="J395">
        <v>244</v>
      </c>
      <c r="K395">
        <v>299</v>
      </c>
      <c r="L395">
        <v>242</v>
      </c>
      <c r="M395">
        <v>246</v>
      </c>
      <c r="N395">
        <v>247</v>
      </c>
      <c r="O395" s="173">
        <f t="shared" si="77"/>
        <v>254.41666666666666</v>
      </c>
      <c r="P395" s="173">
        <f t="shared" si="81"/>
        <v>-5.0000000000000284</v>
      </c>
      <c r="Q395" s="177">
        <f t="shared" si="80"/>
        <v>-1.9274012206874507E-2</v>
      </c>
    </row>
    <row r="396" spans="2:17" x14ac:dyDescent="0.2">
      <c r="B396" t="s">
        <v>452</v>
      </c>
      <c r="C396">
        <v>247</v>
      </c>
      <c r="D396">
        <v>250</v>
      </c>
      <c r="E396">
        <v>259</v>
      </c>
      <c r="F396">
        <v>259</v>
      </c>
      <c r="G396">
        <v>260</v>
      </c>
      <c r="H396">
        <v>269</v>
      </c>
      <c r="I396">
        <v>253</v>
      </c>
      <c r="J396">
        <v>246</v>
      </c>
      <c r="K396">
        <v>259</v>
      </c>
      <c r="L396">
        <v>253</v>
      </c>
      <c r="M396">
        <v>236</v>
      </c>
      <c r="N396">
        <v>227</v>
      </c>
      <c r="O396" s="173">
        <f t="shared" si="77"/>
        <v>251.5</v>
      </c>
      <c r="P396" s="173">
        <f t="shared" si="81"/>
        <v>-2.9166666666666572</v>
      </c>
      <c r="Q396" s="177">
        <f t="shared" si="80"/>
        <v>-1.1464133639043526E-2</v>
      </c>
    </row>
    <row r="397" spans="2:17" x14ac:dyDescent="0.2">
      <c r="B397" t="s">
        <v>487</v>
      </c>
      <c r="C397">
        <v>230</v>
      </c>
      <c r="D397">
        <v>228</v>
      </c>
      <c r="E397">
        <v>245</v>
      </c>
      <c r="F397">
        <v>241</v>
      </c>
      <c r="G397">
        <v>241</v>
      </c>
      <c r="H397">
        <v>233</v>
      </c>
      <c r="I397">
        <v>245</v>
      </c>
      <c r="J397">
        <v>265</v>
      </c>
      <c r="K397">
        <v>258</v>
      </c>
      <c r="L397">
        <v>261</v>
      </c>
      <c r="M397">
        <v>241</v>
      </c>
      <c r="N397">
        <v>231</v>
      </c>
      <c r="O397" s="173">
        <f t="shared" si="77"/>
        <v>243.25</v>
      </c>
      <c r="P397" s="173">
        <f t="shared" si="81"/>
        <v>-8.25</v>
      </c>
      <c r="Q397" s="177">
        <f t="shared" si="80"/>
        <v>-3.2803180914512925E-2</v>
      </c>
    </row>
    <row r="398" spans="2:17" x14ac:dyDescent="0.2">
      <c r="B398" t="s">
        <v>561</v>
      </c>
      <c r="C398">
        <v>265</v>
      </c>
      <c r="D398">
        <v>253</v>
      </c>
      <c r="E398">
        <v>234</v>
      </c>
      <c r="F398">
        <v>254</v>
      </c>
      <c r="G398">
        <v>242</v>
      </c>
      <c r="H398">
        <v>256</v>
      </c>
      <c r="I398">
        <v>262</v>
      </c>
      <c r="J398">
        <v>264</v>
      </c>
      <c r="K398">
        <v>253</v>
      </c>
      <c r="L398">
        <v>262</v>
      </c>
      <c r="M398">
        <v>274</v>
      </c>
      <c r="N398">
        <v>288</v>
      </c>
      <c r="O398" s="173">
        <f t="shared" si="77"/>
        <v>258.91666666666669</v>
      </c>
      <c r="P398" s="173">
        <f t="shared" si="81"/>
        <v>15.666666666666686</v>
      </c>
      <c r="Q398" s="177">
        <f t="shared" si="80"/>
        <v>6.4405618362452968E-2</v>
      </c>
    </row>
    <row r="399" spans="2:17" x14ac:dyDescent="0.2">
      <c r="B399" t="s">
        <v>660</v>
      </c>
      <c r="C399">
        <v>270</v>
      </c>
      <c r="D399">
        <v>256</v>
      </c>
      <c r="E399">
        <v>264</v>
      </c>
      <c r="F399">
        <v>262</v>
      </c>
      <c r="G399">
        <v>273</v>
      </c>
      <c r="H399">
        <v>282</v>
      </c>
      <c r="I399">
        <v>278</v>
      </c>
      <c r="J399">
        <v>289</v>
      </c>
      <c r="K399">
        <v>303</v>
      </c>
      <c r="L399">
        <v>332</v>
      </c>
      <c r="M399">
        <v>335</v>
      </c>
      <c r="N399">
        <v>367</v>
      </c>
      <c r="O399" s="173">
        <f t="shared" si="77"/>
        <v>292.58333333333331</v>
      </c>
      <c r="P399" s="173">
        <f>SUM(O399-O398)</f>
        <v>33.666666666666629</v>
      </c>
      <c r="Q399" s="177">
        <f>SUM(P399/O398)</f>
        <v>0.13002896684905038</v>
      </c>
    </row>
    <row r="400" spans="2:17" x14ac:dyDescent="0.2">
      <c r="B400" t="s">
        <v>661</v>
      </c>
      <c r="C400">
        <v>331</v>
      </c>
      <c r="D400">
        <v>343</v>
      </c>
      <c r="E400">
        <v>340</v>
      </c>
      <c r="O400" s="173"/>
      <c r="P400" s="173"/>
      <c r="Q400" s="177"/>
    </row>
    <row r="401" spans="1:17" x14ac:dyDescent="0.2">
      <c r="O401" s="173"/>
      <c r="P401" s="173"/>
      <c r="Q401" s="177"/>
    </row>
    <row r="402" spans="1:17" x14ac:dyDescent="0.2">
      <c r="A402" s="178"/>
      <c r="B402" s="178"/>
      <c r="C402" s="178"/>
      <c r="D402" s="178"/>
      <c r="E402" s="178"/>
      <c r="F402" s="178"/>
      <c r="G402" s="178"/>
      <c r="H402" s="178"/>
      <c r="I402" s="178"/>
      <c r="J402" s="178"/>
      <c r="K402" s="178"/>
      <c r="L402" s="178"/>
      <c r="M402" s="178"/>
      <c r="N402" s="178"/>
      <c r="O402" s="178"/>
      <c r="P402" s="178"/>
      <c r="Q402" s="178"/>
    </row>
    <row r="403" spans="1:17" ht="25.5" x14ac:dyDescent="0.2">
      <c r="A403" s="175" t="s">
        <v>459</v>
      </c>
      <c r="B403" s="176" t="s">
        <v>433</v>
      </c>
      <c r="C403" s="179" t="s">
        <v>434</v>
      </c>
      <c r="D403" s="179" t="s">
        <v>435</v>
      </c>
      <c r="E403" s="179" t="s">
        <v>436</v>
      </c>
      <c r="F403" s="179" t="s">
        <v>437</v>
      </c>
      <c r="G403" s="179" t="s">
        <v>438</v>
      </c>
      <c r="H403" s="179" t="s">
        <v>439</v>
      </c>
      <c r="I403" s="179" t="s">
        <v>440</v>
      </c>
      <c r="J403" s="179" t="s">
        <v>441</v>
      </c>
      <c r="K403" s="179" t="s">
        <v>442</v>
      </c>
      <c r="L403" s="179" t="s">
        <v>443</v>
      </c>
      <c r="M403" s="179" t="s">
        <v>444</v>
      </c>
      <c r="N403" s="179" t="s">
        <v>445</v>
      </c>
    </row>
    <row r="404" spans="1:17" x14ac:dyDescent="0.2">
      <c r="B404" t="s">
        <v>449</v>
      </c>
      <c r="C404">
        <v>204</v>
      </c>
      <c r="D404">
        <v>210</v>
      </c>
      <c r="E404">
        <v>215</v>
      </c>
      <c r="F404">
        <v>213</v>
      </c>
      <c r="G404">
        <v>212</v>
      </c>
      <c r="H404">
        <v>207</v>
      </c>
      <c r="I404">
        <v>200</v>
      </c>
      <c r="J404">
        <v>199</v>
      </c>
      <c r="K404">
        <v>192</v>
      </c>
      <c r="L404">
        <v>192</v>
      </c>
      <c r="M404">
        <v>181</v>
      </c>
      <c r="N404">
        <v>189</v>
      </c>
      <c r="O404" s="173">
        <f t="shared" ref="O404:O419" si="82">SUM(C404:N404)/12</f>
        <v>201.16666666666666</v>
      </c>
      <c r="P404" s="173"/>
    </row>
    <row r="405" spans="1:17" x14ac:dyDescent="0.2">
      <c r="B405" t="s">
        <v>450</v>
      </c>
      <c r="C405">
        <v>191</v>
      </c>
      <c r="D405">
        <v>194</v>
      </c>
      <c r="E405">
        <v>194</v>
      </c>
      <c r="F405">
        <v>191</v>
      </c>
      <c r="G405">
        <v>191</v>
      </c>
      <c r="H405">
        <v>198</v>
      </c>
      <c r="I405">
        <v>185</v>
      </c>
      <c r="J405">
        <v>192</v>
      </c>
      <c r="K405">
        <v>188</v>
      </c>
      <c r="L405">
        <v>198</v>
      </c>
      <c r="M405">
        <v>203</v>
      </c>
      <c r="N405">
        <v>203</v>
      </c>
      <c r="O405" s="173">
        <f t="shared" si="82"/>
        <v>194</v>
      </c>
      <c r="P405" s="173">
        <f t="shared" ref="P405:P412" si="83">SUM(O405-O404)</f>
        <v>-7.1666666666666572</v>
      </c>
      <c r="Q405" s="177">
        <f t="shared" ref="Q405:Q411" si="84">SUM(P405/O404)</f>
        <v>-3.5625517812758863E-2</v>
      </c>
    </row>
    <row r="406" spans="1:17" x14ac:dyDescent="0.2">
      <c r="B406" t="s">
        <v>451</v>
      </c>
      <c r="C406">
        <v>201</v>
      </c>
      <c r="D406">
        <v>196</v>
      </c>
      <c r="E406">
        <v>198</v>
      </c>
      <c r="F406">
        <v>188</v>
      </c>
      <c r="G406">
        <v>188</v>
      </c>
      <c r="H406">
        <v>192</v>
      </c>
      <c r="I406">
        <v>189</v>
      </c>
      <c r="J406">
        <v>200</v>
      </c>
      <c r="K406">
        <v>219</v>
      </c>
      <c r="L406">
        <v>228</v>
      </c>
      <c r="M406">
        <v>234</v>
      </c>
      <c r="N406">
        <v>237</v>
      </c>
      <c r="O406" s="173">
        <f t="shared" si="82"/>
        <v>205.83333333333334</v>
      </c>
      <c r="P406" s="173">
        <f t="shared" si="83"/>
        <v>11.833333333333343</v>
      </c>
      <c r="Q406" s="177">
        <f t="shared" si="84"/>
        <v>6.0996563573883208E-2</v>
      </c>
    </row>
    <row r="407" spans="1:17" x14ac:dyDescent="0.2">
      <c r="B407" t="s">
        <v>267</v>
      </c>
      <c r="C407">
        <v>246</v>
      </c>
      <c r="D407">
        <v>242</v>
      </c>
      <c r="E407">
        <v>245</v>
      </c>
      <c r="F407">
        <v>245</v>
      </c>
      <c r="G407">
        <v>245</v>
      </c>
      <c r="H407">
        <v>245</v>
      </c>
      <c r="I407">
        <v>245</v>
      </c>
      <c r="J407">
        <v>245</v>
      </c>
      <c r="K407">
        <v>245</v>
      </c>
      <c r="L407">
        <v>245</v>
      </c>
      <c r="M407">
        <v>245</v>
      </c>
      <c r="N407">
        <v>245</v>
      </c>
      <c r="O407" s="173">
        <f t="shared" si="82"/>
        <v>244.83333333333334</v>
      </c>
      <c r="P407" s="173">
        <f t="shared" si="83"/>
        <v>39</v>
      </c>
      <c r="Q407" s="177">
        <f t="shared" si="84"/>
        <v>0.18947368421052629</v>
      </c>
    </row>
    <row r="408" spans="1:17" x14ac:dyDescent="0.2">
      <c r="B408" t="s">
        <v>266</v>
      </c>
      <c r="C408">
        <v>219</v>
      </c>
      <c r="D408">
        <v>239</v>
      </c>
      <c r="E408">
        <v>239</v>
      </c>
      <c r="F408">
        <v>242</v>
      </c>
      <c r="G408">
        <v>237</v>
      </c>
      <c r="H408">
        <v>248</v>
      </c>
      <c r="I408">
        <v>255</v>
      </c>
      <c r="J408">
        <v>262</v>
      </c>
      <c r="K408">
        <v>263</v>
      </c>
      <c r="L408">
        <v>274</v>
      </c>
      <c r="M408">
        <v>266</v>
      </c>
      <c r="N408">
        <v>278</v>
      </c>
      <c r="O408" s="173">
        <f t="shared" si="82"/>
        <v>251.83333333333334</v>
      </c>
      <c r="P408" s="173">
        <f t="shared" si="83"/>
        <v>7</v>
      </c>
      <c r="Q408" s="177">
        <f t="shared" si="84"/>
        <v>2.8590878148400271E-2</v>
      </c>
    </row>
    <row r="409" spans="1:17" x14ac:dyDescent="0.2">
      <c r="B409" t="s">
        <v>287</v>
      </c>
      <c r="C409">
        <v>278</v>
      </c>
      <c r="D409">
        <v>279</v>
      </c>
      <c r="E409">
        <v>277</v>
      </c>
      <c r="F409">
        <v>279</v>
      </c>
      <c r="G409">
        <v>282</v>
      </c>
      <c r="H409">
        <v>282</v>
      </c>
      <c r="I409">
        <v>287</v>
      </c>
      <c r="J409">
        <v>293</v>
      </c>
      <c r="K409">
        <v>299</v>
      </c>
      <c r="L409">
        <v>299</v>
      </c>
      <c r="M409">
        <v>316</v>
      </c>
      <c r="N409">
        <v>325</v>
      </c>
      <c r="O409" s="173">
        <f t="shared" si="82"/>
        <v>291.33333333333331</v>
      </c>
      <c r="P409" s="173">
        <f t="shared" si="83"/>
        <v>39.499999999999972</v>
      </c>
      <c r="Q409" s="177">
        <f t="shared" si="84"/>
        <v>0.15684976836532086</v>
      </c>
    </row>
    <row r="410" spans="1:17" x14ac:dyDescent="0.2">
      <c r="B410" t="s">
        <v>297</v>
      </c>
      <c r="C410">
        <v>335</v>
      </c>
      <c r="D410">
        <v>349</v>
      </c>
      <c r="E410">
        <v>352</v>
      </c>
      <c r="F410">
        <v>352</v>
      </c>
      <c r="G410">
        <v>348</v>
      </c>
      <c r="H410">
        <v>363</v>
      </c>
      <c r="I410">
        <v>362</v>
      </c>
      <c r="J410">
        <v>370</v>
      </c>
      <c r="K410">
        <v>376</v>
      </c>
      <c r="L410">
        <v>393</v>
      </c>
      <c r="M410">
        <v>401</v>
      </c>
      <c r="N410">
        <v>400</v>
      </c>
      <c r="O410" s="173">
        <f t="shared" si="82"/>
        <v>366.75</v>
      </c>
      <c r="P410" s="173">
        <f t="shared" si="83"/>
        <v>75.416666666666686</v>
      </c>
      <c r="Q410" s="177">
        <f t="shared" si="84"/>
        <v>0.25886727688787192</v>
      </c>
    </row>
    <row r="411" spans="1:17" x14ac:dyDescent="0.2">
      <c r="B411" t="s">
        <v>300</v>
      </c>
      <c r="C411">
        <v>397</v>
      </c>
      <c r="D411">
        <v>402</v>
      </c>
      <c r="E411">
        <v>398</v>
      </c>
      <c r="F411">
        <v>408</v>
      </c>
      <c r="G411">
        <v>409</v>
      </c>
      <c r="H411">
        <v>416</v>
      </c>
      <c r="I411">
        <v>415</v>
      </c>
      <c r="J411">
        <v>414</v>
      </c>
      <c r="K411">
        <v>405</v>
      </c>
      <c r="L411">
        <v>486</v>
      </c>
      <c r="M411">
        <v>472</v>
      </c>
      <c r="N411">
        <v>409</v>
      </c>
      <c r="O411" s="173">
        <f t="shared" si="82"/>
        <v>419.25</v>
      </c>
      <c r="P411" s="173">
        <f t="shared" si="83"/>
        <v>52.5</v>
      </c>
      <c r="Q411" s="177">
        <f t="shared" si="84"/>
        <v>0.14314928425357873</v>
      </c>
    </row>
    <row r="412" spans="1:17" x14ac:dyDescent="0.2">
      <c r="B412" t="s">
        <v>301</v>
      </c>
      <c r="C412">
        <v>426</v>
      </c>
      <c r="D412">
        <v>431</v>
      </c>
      <c r="E412">
        <v>506</v>
      </c>
      <c r="F412">
        <v>455</v>
      </c>
      <c r="G412">
        <v>489</v>
      </c>
      <c r="H412">
        <v>513</v>
      </c>
      <c r="I412">
        <v>514</v>
      </c>
      <c r="J412">
        <v>518</v>
      </c>
      <c r="K412">
        <v>505</v>
      </c>
      <c r="L412">
        <v>502</v>
      </c>
      <c r="M412">
        <v>516</v>
      </c>
      <c r="N412">
        <v>530</v>
      </c>
      <c r="O412" s="173">
        <f t="shared" si="82"/>
        <v>492.08333333333331</v>
      </c>
      <c r="P412" s="173">
        <f t="shared" si="83"/>
        <v>72.833333333333314</v>
      </c>
      <c r="Q412" s="177">
        <f t="shared" ref="Q412:Q418" si="85">SUM(P412/O411)</f>
        <v>0.17372291790896438</v>
      </c>
    </row>
    <row r="413" spans="1:17" x14ac:dyDescent="0.2">
      <c r="B413" t="s">
        <v>302</v>
      </c>
      <c r="C413">
        <v>482</v>
      </c>
      <c r="D413">
        <v>466</v>
      </c>
      <c r="E413">
        <v>463</v>
      </c>
      <c r="F413">
        <v>466</v>
      </c>
      <c r="G413">
        <v>455</v>
      </c>
      <c r="H413">
        <v>458</v>
      </c>
      <c r="I413">
        <v>448</v>
      </c>
      <c r="J413">
        <v>451</v>
      </c>
      <c r="K413">
        <v>454</v>
      </c>
      <c r="L413">
        <v>449</v>
      </c>
      <c r="M413">
        <v>443</v>
      </c>
      <c r="N413">
        <v>447</v>
      </c>
      <c r="O413" s="173">
        <f t="shared" si="82"/>
        <v>456.83333333333331</v>
      </c>
      <c r="P413" s="173">
        <f t="shared" ref="P413:P418" si="86">SUM(O413-O412)</f>
        <v>-35.25</v>
      </c>
      <c r="Q413" s="177">
        <f t="shared" si="85"/>
        <v>-7.1634208298052504E-2</v>
      </c>
    </row>
    <row r="414" spans="1:17" x14ac:dyDescent="0.2">
      <c r="B414" t="s">
        <v>347</v>
      </c>
      <c r="C414">
        <v>441</v>
      </c>
      <c r="D414">
        <v>439</v>
      </c>
      <c r="E414">
        <v>439</v>
      </c>
      <c r="F414">
        <v>426</v>
      </c>
      <c r="G414">
        <v>432</v>
      </c>
      <c r="H414">
        <v>465</v>
      </c>
      <c r="I414">
        <v>452</v>
      </c>
      <c r="J414">
        <v>441</v>
      </c>
      <c r="K414">
        <v>443</v>
      </c>
      <c r="L414">
        <v>462</v>
      </c>
      <c r="M414">
        <v>480</v>
      </c>
      <c r="N414">
        <v>467</v>
      </c>
      <c r="O414" s="173">
        <f t="shared" si="82"/>
        <v>448.91666666666669</v>
      </c>
      <c r="P414" s="173">
        <f t="shared" si="86"/>
        <v>-7.9166666666666288</v>
      </c>
      <c r="Q414" s="177">
        <f t="shared" si="85"/>
        <v>-1.7329441809558473E-2</v>
      </c>
    </row>
    <row r="415" spans="1:17" x14ac:dyDescent="0.2">
      <c r="B415" t="s">
        <v>370</v>
      </c>
      <c r="C415">
        <v>465</v>
      </c>
      <c r="D415">
        <v>456</v>
      </c>
      <c r="E415">
        <v>455</v>
      </c>
      <c r="F415">
        <v>464</v>
      </c>
      <c r="G415">
        <v>461</v>
      </c>
      <c r="H415">
        <v>470</v>
      </c>
      <c r="I415">
        <v>443</v>
      </c>
      <c r="J415">
        <v>469</v>
      </c>
      <c r="K415">
        <v>478</v>
      </c>
      <c r="L415">
        <v>471</v>
      </c>
      <c r="M415">
        <v>457</v>
      </c>
      <c r="N415">
        <v>468</v>
      </c>
      <c r="O415" s="173">
        <f t="shared" si="82"/>
        <v>463.08333333333331</v>
      </c>
      <c r="P415" s="173">
        <f t="shared" si="86"/>
        <v>14.166666666666629</v>
      </c>
      <c r="Q415" s="177">
        <f t="shared" si="85"/>
        <v>3.1557453127900419E-2</v>
      </c>
    </row>
    <row r="416" spans="1:17" x14ac:dyDescent="0.2">
      <c r="B416" t="s">
        <v>452</v>
      </c>
      <c r="C416">
        <v>486</v>
      </c>
      <c r="D416">
        <v>496</v>
      </c>
      <c r="E416">
        <v>489</v>
      </c>
      <c r="F416">
        <v>495</v>
      </c>
      <c r="G416">
        <v>495</v>
      </c>
      <c r="H416">
        <v>495</v>
      </c>
      <c r="I416">
        <v>495</v>
      </c>
      <c r="J416">
        <v>500</v>
      </c>
      <c r="K416">
        <v>502</v>
      </c>
      <c r="L416">
        <v>508</v>
      </c>
      <c r="M416">
        <v>497</v>
      </c>
      <c r="N416">
        <v>504</v>
      </c>
      <c r="O416" s="173">
        <f t="shared" si="82"/>
        <v>496.83333333333331</v>
      </c>
      <c r="P416" s="173">
        <f t="shared" si="86"/>
        <v>33.75</v>
      </c>
      <c r="Q416" s="177">
        <f t="shared" si="85"/>
        <v>7.2881050926759047E-2</v>
      </c>
    </row>
    <row r="417" spans="1:17" x14ac:dyDescent="0.2">
      <c r="B417" t="s">
        <v>487</v>
      </c>
      <c r="C417">
        <v>496</v>
      </c>
      <c r="D417">
        <v>494</v>
      </c>
      <c r="E417">
        <v>478</v>
      </c>
      <c r="F417">
        <v>497</v>
      </c>
      <c r="G417">
        <v>499</v>
      </c>
      <c r="H417">
        <v>494</v>
      </c>
      <c r="I417">
        <v>489</v>
      </c>
      <c r="J417">
        <v>495</v>
      </c>
      <c r="K417">
        <v>490</v>
      </c>
      <c r="L417">
        <v>488</v>
      </c>
      <c r="M417">
        <v>497</v>
      </c>
      <c r="N417">
        <v>488</v>
      </c>
      <c r="O417" s="173">
        <f t="shared" si="82"/>
        <v>492.08333333333331</v>
      </c>
      <c r="P417" s="173">
        <f t="shared" si="86"/>
        <v>-4.75</v>
      </c>
      <c r="Q417" s="177">
        <f t="shared" si="85"/>
        <v>-9.5605501509560559E-3</v>
      </c>
    </row>
    <row r="418" spans="1:17" x14ac:dyDescent="0.2">
      <c r="B418" t="s">
        <v>561</v>
      </c>
      <c r="C418">
        <v>487</v>
      </c>
      <c r="D418">
        <v>474</v>
      </c>
      <c r="E418">
        <v>466</v>
      </c>
      <c r="F418">
        <v>470</v>
      </c>
      <c r="G418">
        <v>464</v>
      </c>
      <c r="H418">
        <v>474</v>
      </c>
      <c r="I418">
        <v>469</v>
      </c>
      <c r="J418">
        <v>478</v>
      </c>
      <c r="K418">
        <v>472</v>
      </c>
      <c r="L418">
        <v>468</v>
      </c>
      <c r="M418">
        <v>474</v>
      </c>
      <c r="N418">
        <v>471</v>
      </c>
      <c r="O418" s="173">
        <f t="shared" si="82"/>
        <v>472.25</v>
      </c>
      <c r="P418" s="173">
        <f t="shared" si="86"/>
        <v>-19.833333333333314</v>
      </c>
      <c r="Q418" s="177">
        <f t="shared" si="85"/>
        <v>-4.0304826418289551E-2</v>
      </c>
    </row>
    <row r="419" spans="1:17" x14ac:dyDescent="0.2">
      <c r="B419" t="s">
        <v>660</v>
      </c>
      <c r="C419">
        <v>468</v>
      </c>
      <c r="D419">
        <v>469</v>
      </c>
      <c r="E419">
        <v>451</v>
      </c>
      <c r="F419">
        <v>438</v>
      </c>
      <c r="G419">
        <v>433</v>
      </c>
      <c r="H419">
        <v>425</v>
      </c>
      <c r="I419">
        <v>420</v>
      </c>
      <c r="J419">
        <v>419</v>
      </c>
      <c r="K419">
        <v>418</v>
      </c>
      <c r="L419">
        <v>421</v>
      </c>
      <c r="M419">
        <v>413</v>
      </c>
      <c r="N419">
        <v>411</v>
      </c>
      <c r="O419" s="173">
        <f t="shared" si="82"/>
        <v>432.16666666666669</v>
      </c>
      <c r="P419" s="173">
        <f>SUM(O419-O418)</f>
        <v>-40.083333333333314</v>
      </c>
      <c r="Q419" s="177">
        <f>SUM(P419/O418)</f>
        <v>-8.4877360155284937E-2</v>
      </c>
    </row>
    <row r="420" spans="1:17" x14ac:dyDescent="0.2">
      <c r="B420" t="s">
        <v>661</v>
      </c>
      <c r="C420">
        <v>402</v>
      </c>
      <c r="D420">
        <v>427</v>
      </c>
      <c r="E420">
        <v>427</v>
      </c>
      <c r="O420" s="173"/>
      <c r="P420" s="173"/>
      <c r="Q420" s="177"/>
    </row>
    <row r="421" spans="1:17" x14ac:dyDescent="0.2">
      <c r="O421" s="173"/>
      <c r="P421" s="173"/>
      <c r="Q421" s="177"/>
    </row>
    <row r="422" spans="1:17" ht="25.5" x14ac:dyDescent="0.2">
      <c r="A422" s="175" t="s">
        <v>460</v>
      </c>
      <c r="B422" s="176" t="s">
        <v>433</v>
      </c>
      <c r="C422" s="179" t="s">
        <v>434</v>
      </c>
      <c r="D422" s="179" t="s">
        <v>435</v>
      </c>
      <c r="E422" s="179" t="s">
        <v>436</v>
      </c>
      <c r="F422" s="179" t="s">
        <v>437</v>
      </c>
      <c r="G422" s="179" t="s">
        <v>438</v>
      </c>
      <c r="H422" s="179" t="s">
        <v>439</v>
      </c>
      <c r="I422" s="179" t="s">
        <v>440</v>
      </c>
      <c r="J422" s="179" t="s">
        <v>441</v>
      </c>
      <c r="K422" s="179" t="s">
        <v>442</v>
      </c>
      <c r="L422" s="179" t="s">
        <v>443</v>
      </c>
      <c r="M422" s="179" t="s">
        <v>444</v>
      </c>
      <c r="N422" s="179" t="s">
        <v>445</v>
      </c>
    </row>
    <row r="423" spans="1:17" x14ac:dyDescent="0.2">
      <c r="B423" t="s">
        <v>449</v>
      </c>
      <c r="C423">
        <v>173</v>
      </c>
      <c r="D423">
        <v>167</v>
      </c>
      <c r="E423">
        <v>163</v>
      </c>
      <c r="F423">
        <v>169</v>
      </c>
      <c r="G423">
        <v>161</v>
      </c>
      <c r="H423">
        <v>164</v>
      </c>
      <c r="I423">
        <v>156</v>
      </c>
      <c r="J423">
        <v>157</v>
      </c>
      <c r="K423">
        <v>148</v>
      </c>
      <c r="L423">
        <v>156</v>
      </c>
      <c r="M423">
        <v>171</v>
      </c>
      <c r="N423">
        <v>177</v>
      </c>
      <c r="O423" s="173">
        <f t="shared" ref="O423:O438" si="87">SUM(C423:N423)/12</f>
        <v>163.5</v>
      </c>
      <c r="P423" s="173"/>
    </row>
    <row r="424" spans="1:17" x14ac:dyDescent="0.2">
      <c r="B424" t="s">
        <v>450</v>
      </c>
      <c r="C424">
        <v>169</v>
      </c>
      <c r="D424">
        <v>160</v>
      </c>
      <c r="E424">
        <v>150</v>
      </c>
      <c r="F424">
        <v>143</v>
      </c>
      <c r="G424">
        <v>143</v>
      </c>
      <c r="H424">
        <v>140</v>
      </c>
      <c r="I424">
        <v>144</v>
      </c>
      <c r="J424">
        <v>152</v>
      </c>
      <c r="K424">
        <v>152</v>
      </c>
      <c r="L424">
        <v>143</v>
      </c>
      <c r="M424">
        <v>151</v>
      </c>
      <c r="N424">
        <v>152</v>
      </c>
      <c r="O424" s="173">
        <f t="shared" si="87"/>
        <v>149.91666666666666</v>
      </c>
      <c r="P424" s="173">
        <f t="shared" ref="P424:P431" si="88">SUM(O424-O423)</f>
        <v>-13.583333333333343</v>
      </c>
      <c r="Q424" s="177">
        <f t="shared" ref="Q424:Q430" si="89">SUM(P424/O423)</f>
        <v>-8.3078491335372123E-2</v>
      </c>
    </row>
    <row r="425" spans="1:17" x14ac:dyDescent="0.2">
      <c r="B425" t="s">
        <v>451</v>
      </c>
      <c r="C425">
        <v>144</v>
      </c>
      <c r="D425">
        <v>141</v>
      </c>
      <c r="E425">
        <v>140</v>
      </c>
      <c r="F425">
        <v>142</v>
      </c>
      <c r="G425">
        <v>138</v>
      </c>
      <c r="H425">
        <v>143</v>
      </c>
      <c r="I425">
        <v>143</v>
      </c>
      <c r="J425">
        <v>152</v>
      </c>
      <c r="K425">
        <v>157</v>
      </c>
      <c r="L425">
        <v>162</v>
      </c>
      <c r="M425">
        <v>167</v>
      </c>
      <c r="N425">
        <v>172</v>
      </c>
      <c r="O425" s="173">
        <f t="shared" si="87"/>
        <v>150.08333333333334</v>
      </c>
      <c r="P425" s="173">
        <f t="shared" si="88"/>
        <v>0.16666666666668561</v>
      </c>
      <c r="Q425" s="177">
        <f t="shared" si="89"/>
        <v>1.1117287381880085E-3</v>
      </c>
    </row>
    <row r="426" spans="1:17" x14ac:dyDescent="0.2">
      <c r="B426" t="s">
        <v>267</v>
      </c>
      <c r="C426">
        <v>175</v>
      </c>
      <c r="D426">
        <v>144</v>
      </c>
      <c r="E426">
        <v>144</v>
      </c>
      <c r="F426">
        <v>144</v>
      </c>
      <c r="G426">
        <v>153</v>
      </c>
      <c r="H426">
        <v>153</v>
      </c>
      <c r="I426">
        <v>153</v>
      </c>
      <c r="J426">
        <v>153</v>
      </c>
      <c r="K426">
        <v>153</v>
      </c>
      <c r="L426">
        <v>162</v>
      </c>
      <c r="M426">
        <v>167</v>
      </c>
      <c r="N426">
        <v>172</v>
      </c>
      <c r="O426" s="173">
        <f t="shared" si="87"/>
        <v>156.08333333333334</v>
      </c>
      <c r="P426" s="173">
        <f t="shared" si="88"/>
        <v>6</v>
      </c>
      <c r="Q426" s="177">
        <f t="shared" si="89"/>
        <v>3.9977790116601887E-2</v>
      </c>
    </row>
    <row r="427" spans="1:17" x14ac:dyDescent="0.2">
      <c r="B427" t="s">
        <v>266</v>
      </c>
      <c r="C427">
        <v>189</v>
      </c>
      <c r="D427">
        <v>147</v>
      </c>
      <c r="E427">
        <v>150</v>
      </c>
      <c r="F427">
        <v>149</v>
      </c>
      <c r="G427">
        <v>143</v>
      </c>
      <c r="H427">
        <v>144</v>
      </c>
      <c r="I427">
        <v>145</v>
      </c>
      <c r="J427">
        <v>150</v>
      </c>
      <c r="K427">
        <v>156</v>
      </c>
      <c r="L427">
        <v>156</v>
      </c>
      <c r="M427">
        <v>137</v>
      </c>
      <c r="N427">
        <v>137</v>
      </c>
      <c r="O427" s="173">
        <f t="shared" si="87"/>
        <v>150.25</v>
      </c>
      <c r="P427" s="173">
        <f t="shared" si="88"/>
        <v>-5.8333333333333428</v>
      </c>
      <c r="Q427" s="177">
        <f t="shared" si="89"/>
        <v>-3.7373198077949872E-2</v>
      </c>
    </row>
    <row r="428" spans="1:17" x14ac:dyDescent="0.2">
      <c r="B428" t="s">
        <v>287</v>
      </c>
      <c r="C428">
        <v>121</v>
      </c>
      <c r="D428">
        <v>120</v>
      </c>
      <c r="E428">
        <v>127</v>
      </c>
      <c r="F428">
        <v>130</v>
      </c>
      <c r="G428">
        <v>134</v>
      </c>
      <c r="H428">
        <v>143</v>
      </c>
      <c r="I428">
        <v>142</v>
      </c>
      <c r="J428">
        <v>138</v>
      </c>
      <c r="K428">
        <v>139</v>
      </c>
      <c r="L428">
        <v>146</v>
      </c>
      <c r="M428">
        <v>148</v>
      </c>
      <c r="N428">
        <v>147</v>
      </c>
      <c r="O428" s="173">
        <f t="shared" si="87"/>
        <v>136.25</v>
      </c>
      <c r="P428" s="173">
        <f t="shared" si="88"/>
        <v>-14</v>
      </c>
      <c r="Q428" s="177">
        <f t="shared" si="89"/>
        <v>-9.3178036605657238E-2</v>
      </c>
    </row>
    <row r="429" spans="1:17" x14ac:dyDescent="0.2">
      <c r="B429" t="s">
        <v>297</v>
      </c>
      <c r="C429">
        <v>146</v>
      </c>
      <c r="D429">
        <v>146</v>
      </c>
      <c r="E429">
        <v>146</v>
      </c>
      <c r="F429">
        <v>152</v>
      </c>
      <c r="G429">
        <v>150</v>
      </c>
      <c r="H429">
        <v>141</v>
      </c>
      <c r="I429">
        <v>136</v>
      </c>
      <c r="J429">
        <v>139</v>
      </c>
      <c r="K429">
        <v>141</v>
      </c>
      <c r="L429">
        <v>149</v>
      </c>
      <c r="M429">
        <v>155</v>
      </c>
      <c r="N429">
        <v>142</v>
      </c>
      <c r="O429" s="173">
        <f t="shared" si="87"/>
        <v>145.25</v>
      </c>
      <c r="P429" s="173">
        <f t="shared" si="88"/>
        <v>9</v>
      </c>
      <c r="Q429" s="177">
        <f t="shared" si="89"/>
        <v>6.6055045871559637E-2</v>
      </c>
    </row>
    <row r="430" spans="1:17" x14ac:dyDescent="0.2">
      <c r="B430" t="s">
        <v>300</v>
      </c>
      <c r="C430">
        <v>148</v>
      </c>
      <c r="D430">
        <v>149</v>
      </c>
      <c r="E430">
        <v>149</v>
      </c>
      <c r="F430">
        <v>151</v>
      </c>
      <c r="G430">
        <v>139</v>
      </c>
      <c r="H430">
        <v>141</v>
      </c>
      <c r="I430">
        <v>136</v>
      </c>
      <c r="J430">
        <v>148</v>
      </c>
      <c r="K430">
        <v>146</v>
      </c>
      <c r="L430">
        <v>210</v>
      </c>
      <c r="M430">
        <v>211</v>
      </c>
      <c r="N430">
        <v>152</v>
      </c>
      <c r="O430" s="173">
        <f t="shared" si="87"/>
        <v>156.66666666666666</v>
      </c>
      <c r="P430" s="173">
        <f t="shared" si="88"/>
        <v>11.416666666666657</v>
      </c>
      <c r="Q430" s="177">
        <f t="shared" si="89"/>
        <v>7.8600114744692987E-2</v>
      </c>
    </row>
    <row r="431" spans="1:17" x14ac:dyDescent="0.2">
      <c r="B431" t="s">
        <v>301</v>
      </c>
      <c r="C431">
        <v>146</v>
      </c>
      <c r="D431">
        <v>150</v>
      </c>
      <c r="E431">
        <v>146</v>
      </c>
      <c r="F431">
        <v>146</v>
      </c>
      <c r="G431">
        <v>114</v>
      </c>
      <c r="H431">
        <v>99</v>
      </c>
      <c r="I431">
        <v>169</v>
      </c>
      <c r="J431">
        <v>145</v>
      </c>
      <c r="K431">
        <v>145</v>
      </c>
      <c r="L431">
        <v>145</v>
      </c>
      <c r="M431">
        <v>139</v>
      </c>
      <c r="N431">
        <v>138</v>
      </c>
      <c r="O431" s="173">
        <f t="shared" si="87"/>
        <v>140.16666666666666</v>
      </c>
      <c r="P431" s="173">
        <f t="shared" si="88"/>
        <v>-16.5</v>
      </c>
      <c r="Q431" s="177">
        <f t="shared" ref="Q431:Q437" si="90">SUM(P431/O430)</f>
        <v>-0.10531914893617023</v>
      </c>
    </row>
    <row r="432" spans="1:17" x14ac:dyDescent="0.2">
      <c r="B432" t="s">
        <v>302</v>
      </c>
      <c r="C432">
        <v>133</v>
      </c>
      <c r="D432">
        <v>135</v>
      </c>
      <c r="E432">
        <v>136</v>
      </c>
      <c r="F432">
        <v>143</v>
      </c>
      <c r="G432">
        <v>140</v>
      </c>
      <c r="H432">
        <v>144</v>
      </c>
      <c r="I432">
        <v>145</v>
      </c>
      <c r="J432">
        <v>144</v>
      </c>
      <c r="K432">
        <v>166</v>
      </c>
      <c r="L432">
        <v>162</v>
      </c>
      <c r="M432">
        <v>166</v>
      </c>
      <c r="N432">
        <v>161</v>
      </c>
      <c r="O432" s="173">
        <f t="shared" si="87"/>
        <v>147.91666666666666</v>
      </c>
      <c r="P432" s="173">
        <f t="shared" ref="P432:P437" si="91">SUM(O432-O431)</f>
        <v>7.75</v>
      </c>
      <c r="Q432" s="177">
        <f t="shared" si="90"/>
        <v>5.5291319857312726E-2</v>
      </c>
    </row>
    <row r="433" spans="1:17" x14ac:dyDescent="0.2">
      <c r="B433" t="s">
        <v>347</v>
      </c>
      <c r="C433">
        <v>159</v>
      </c>
      <c r="D433">
        <v>157</v>
      </c>
      <c r="E433">
        <v>154</v>
      </c>
      <c r="F433">
        <v>156</v>
      </c>
      <c r="G433">
        <v>155</v>
      </c>
      <c r="H433">
        <v>151</v>
      </c>
      <c r="I433">
        <v>152</v>
      </c>
      <c r="J433">
        <v>148</v>
      </c>
      <c r="K433">
        <v>152</v>
      </c>
      <c r="L433">
        <v>155</v>
      </c>
      <c r="M433">
        <v>161</v>
      </c>
      <c r="N433">
        <v>156</v>
      </c>
      <c r="O433" s="173">
        <f t="shared" si="87"/>
        <v>154.66666666666666</v>
      </c>
      <c r="P433" s="173">
        <f t="shared" si="91"/>
        <v>6.75</v>
      </c>
      <c r="Q433" s="177">
        <f t="shared" si="90"/>
        <v>4.5633802816901409E-2</v>
      </c>
    </row>
    <row r="434" spans="1:17" x14ac:dyDescent="0.2">
      <c r="B434" t="s">
        <v>370</v>
      </c>
      <c r="C434">
        <v>150</v>
      </c>
      <c r="D434">
        <v>158</v>
      </c>
      <c r="E434">
        <v>160</v>
      </c>
      <c r="F434">
        <v>142</v>
      </c>
      <c r="G434">
        <v>141</v>
      </c>
      <c r="H434">
        <v>138</v>
      </c>
      <c r="I434">
        <v>139</v>
      </c>
      <c r="J434">
        <v>136</v>
      </c>
      <c r="K434">
        <v>134</v>
      </c>
      <c r="L434">
        <v>142</v>
      </c>
      <c r="M434">
        <v>143</v>
      </c>
      <c r="N434">
        <v>135</v>
      </c>
      <c r="O434" s="173">
        <f t="shared" si="87"/>
        <v>143.16666666666666</v>
      </c>
      <c r="P434" s="173">
        <f t="shared" si="91"/>
        <v>-11.5</v>
      </c>
      <c r="Q434" s="177">
        <f t="shared" si="90"/>
        <v>-7.4353448275862072E-2</v>
      </c>
    </row>
    <row r="435" spans="1:17" x14ac:dyDescent="0.2">
      <c r="B435" t="s">
        <v>452</v>
      </c>
      <c r="C435">
        <v>137</v>
      </c>
      <c r="D435">
        <v>145</v>
      </c>
      <c r="E435">
        <v>146</v>
      </c>
      <c r="F435">
        <v>150</v>
      </c>
      <c r="G435">
        <v>146</v>
      </c>
      <c r="H435">
        <v>138</v>
      </c>
      <c r="I435">
        <v>137</v>
      </c>
      <c r="J435">
        <v>135</v>
      </c>
      <c r="K435">
        <v>138</v>
      </c>
      <c r="L435">
        <v>141</v>
      </c>
      <c r="M435">
        <v>147</v>
      </c>
      <c r="N435">
        <v>140</v>
      </c>
      <c r="O435" s="173">
        <f t="shared" si="87"/>
        <v>141.66666666666666</v>
      </c>
      <c r="P435" s="173">
        <f t="shared" si="91"/>
        <v>-1.5</v>
      </c>
      <c r="Q435" s="177">
        <f t="shared" si="90"/>
        <v>-1.0477299185098952E-2</v>
      </c>
    </row>
    <row r="436" spans="1:17" x14ac:dyDescent="0.2">
      <c r="B436" t="s">
        <v>487</v>
      </c>
      <c r="C436">
        <v>140</v>
      </c>
      <c r="D436">
        <v>137</v>
      </c>
      <c r="E436">
        <v>119</v>
      </c>
      <c r="F436">
        <v>113</v>
      </c>
      <c r="G436">
        <v>111</v>
      </c>
      <c r="H436">
        <v>112</v>
      </c>
      <c r="I436">
        <v>117</v>
      </c>
      <c r="J436">
        <v>109</v>
      </c>
      <c r="K436">
        <v>106</v>
      </c>
      <c r="L436">
        <v>117</v>
      </c>
      <c r="M436">
        <v>122</v>
      </c>
      <c r="N436">
        <v>124</v>
      </c>
      <c r="O436" s="173">
        <f t="shared" si="87"/>
        <v>118.91666666666667</v>
      </c>
      <c r="P436" s="173">
        <f t="shared" si="91"/>
        <v>-22.749999999999986</v>
      </c>
      <c r="Q436" s="177">
        <f t="shared" si="90"/>
        <v>-0.16058823529411756</v>
      </c>
    </row>
    <row r="437" spans="1:17" x14ac:dyDescent="0.2">
      <c r="B437" t="s">
        <v>561</v>
      </c>
      <c r="C437">
        <v>138</v>
      </c>
      <c r="D437">
        <v>145</v>
      </c>
      <c r="E437">
        <v>142</v>
      </c>
      <c r="F437">
        <v>146</v>
      </c>
      <c r="G437">
        <v>148</v>
      </c>
      <c r="H437">
        <v>149</v>
      </c>
      <c r="I437">
        <v>150</v>
      </c>
      <c r="J437">
        <v>147</v>
      </c>
      <c r="K437">
        <v>152</v>
      </c>
      <c r="L437">
        <v>159</v>
      </c>
      <c r="M437">
        <v>160</v>
      </c>
      <c r="N437">
        <v>157</v>
      </c>
      <c r="O437" s="173">
        <f t="shared" si="87"/>
        <v>149.41666666666666</v>
      </c>
      <c r="P437" s="173">
        <f t="shared" si="91"/>
        <v>30.499999999999986</v>
      </c>
      <c r="Q437" s="177">
        <f t="shared" si="90"/>
        <v>0.25648213034337758</v>
      </c>
    </row>
    <row r="438" spans="1:17" x14ac:dyDescent="0.2">
      <c r="B438" t="s">
        <v>660</v>
      </c>
      <c r="C438">
        <v>156</v>
      </c>
      <c r="D438">
        <v>161</v>
      </c>
      <c r="E438">
        <v>163</v>
      </c>
      <c r="F438">
        <v>164</v>
      </c>
      <c r="G438">
        <v>162</v>
      </c>
      <c r="H438">
        <v>158</v>
      </c>
      <c r="I438">
        <v>166</v>
      </c>
      <c r="J438">
        <v>166</v>
      </c>
      <c r="K438">
        <v>170</v>
      </c>
      <c r="L438">
        <v>164</v>
      </c>
      <c r="M438">
        <v>162</v>
      </c>
      <c r="N438">
        <v>160</v>
      </c>
      <c r="O438" s="173">
        <f t="shared" si="87"/>
        <v>162.66666666666666</v>
      </c>
      <c r="P438" s="173">
        <f>SUM(O438-O437)</f>
        <v>13.25</v>
      </c>
      <c r="Q438" s="177">
        <f>SUM(P438/O437)</f>
        <v>8.8678192972671502E-2</v>
      </c>
    </row>
    <row r="439" spans="1:17" x14ac:dyDescent="0.2">
      <c r="B439" t="s">
        <v>661</v>
      </c>
      <c r="C439">
        <v>156</v>
      </c>
      <c r="D439">
        <v>155</v>
      </c>
      <c r="E439">
        <v>149</v>
      </c>
      <c r="O439" s="173"/>
      <c r="P439" s="173"/>
      <c r="Q439" s="177"/>
    </row>
    <row r="440" spans="1:17" x14ac:dyDescent="0.2">
      <c r="O440" s="173"/>
      <c r="P440" s="173"/>
      <c r="Q440" s="177"/>
    </row>
    <row r="441" spans="1:17" ht="25.5" x14ac:dyDescent="0.2">
      <c r="A441" s="175" t="s">
        <v>461</v>
      </c>
      <c r="B441" s="176" t="s">
        <v>433</v>
      </c>
      <c r="C441" s="179" t="s">
        <v>434</v>
      </c>
      <c r="D441" s="179" t="s">
        <v>435</v>
      </c>
      <c r="E441" s="179" t="s">
        <v>436</v>
      </c>
      <c r="F441" s="179" t="s">
        <v>437</v>
      </c>
      <c r="G441" s="179" t="s">
        <v>438</v>
      </c>
      <c r="H441" s="179" t="s">
        <v>439</v>
      </c>
      <c r="I441" s="179" t="s">
        <v>440</v>
      </c>
      <c r="J441" s="179" t="s">
        <v>441</v>
      </c>
      <c r="K441" s="179" t="s">
        <v>442</v>
      </c>
      <c r="L441" s="179" t="s">
        <v>443</v>
      </c>
      <c r="M441" s="179" t="s">
        <v>444</v>
      </c>
      <c r="N441" s="179" t="s">
        <v>445</v>
      </c>
    </row>
    <row r="442" spans="1:17" x14ac:dyDescent="0.2">
      <c r="B442" t="s">
        <v>449</v>
      </c>
      <c r="C442">
        <v>88</v>
      </c>
      <c r="D442">
        <v>88</v>
      </c>
      <c r="E442">
        <v>91</v>
      </c>
      <c r="F442">
        <v>89</v>
      </c>
      <c r="G442">
        <v>92</v>
      </c>
      <c r="H442">
        <v>87</v>
      </c>
      <c r="I442">
        <v>92</v>
      </c>
      <c r="J442">
        <v>98</v>
      </c>
      <c r="K442">
        <v>100</v>
      </c>
      <c r="L442">
        <v>101</v>
      </c>
      <c r="M442">
        <v>101</v>
      </c>
      <c r="N442">
        <v>103</v>
      </c>
      <c r="O442" s="173">
        <f t="shared" ref="O442:O450" si="92">SUM(C442:N442)/12</f>
        <v>94.166666666666671</v>
      </c>
      <c r="P442" s="173"/>
    </row>
    <row r="443" spans="1:17" x14ac:dyDescent="0.2">
      <c r="B443" t="s">
        <v>450</v>
      </c>
      <c r="C443">
        <v>99</v>
      </c>
      <c r="D443">
        <v>99</v>
      </c>
      <c r="E443">
        <v>93</v>
      </c>
      <c r="F443">
        <v>96</v>
      </c>
      <c r="G443">
        <v>87</v>
      </c>
      <c r="H443">
        <v>98</v>
      </c>
      <c r="I443">
        <v>92</v>
      </c>
      <c r="J443">
        <v>97</v>
      </c>
      <c r="K443">
        <v>96</v>
      </c>
      <c r="L443">
        <v>96</v>
      </c>
      <c r="M443">
        <v>99</v>
      </c>
      <c r="N443">
        <v>104</v>
      </c>
      <c r="O443" s="173">
        <f t="shared" si="92"/>
        <v>96.333333333333329</v>
      </c>
      <c r="P443" s="173">
        <f t="shared" ref="P443:P450" si="93">SUM(O443-O442)</f>
        <v>2.1666666666666572</v>
      </c>
      <c r="Q443" s="177">
        <f t="shared" ref="Q443:Q449" si="94">SUM(P443/O442)</f>
        <v>2.3008849557522023E-2</v>
      </c>
    </row>
    <row r="444" spans="1:17" x14ac:dyDescent="0.2">
      <c r="B444" t="s">
        <v>451</v>
      </c>
      <c r="C444">
        <v>103</v>
      </c>
      <c r="D444">
        <v>108</v>
      </c>
      <c r="E444">
        <v>99</v>
      </c>
      <c r="F444">
        <v>108</v>
      </c>
      <c r="G444">
        <v>104</v>
      </c>
      <c r="H444">
        <v>89</v>
      </c>
      <c r="I444">
        <v>81</v>
      </c>
      <c r="J444">
        <v>73</v>
      </c>
      <c r="K444">
        <v>71</v>
      </c>
      <c r="L444">
        <v>75</v>
      </c>
      <c r="M444">
        <v>110</v>
      </c>
      <c r="N444">
        <v>120</v>
      </c>
      <c r="O444" s="173">
        <f t="shared" si="92"/>
        <v>95.083333333333329</v>
      </c>
      <c r="P444" s="173">
        <f t="shared" si="93"/>
        <v>-1.25</v>
      </c>
      <c r="Q444" s="177">
        <f t="shared" si="94"/>
        <v>-1.2975778546712804E-2</v>
      </c>
    </row>
    <row r="445" spans="1:17" x14ac:dyDescent="0.2">
      <c r="B445" t="s">
        <v>267</v>
      </c>
      <c r="C445">
        <v>75</v>
      </c>
      <c r="D445">
        <v>134</v>
      </c>
      <c r="E445">
        <v>85</v>
      </c>
      <c r="F445">
        <v>85</v>
      </c>
      <c r="G445">
        <v>86</v>
      </c>
      <c r="H445">
        <v>89</v>
      </c>
      <c r="I445">
        <v>85</v>
      </c>
      <c r="J445">
        <v>85</v>
      </c>
      <c r="K445">
        <v>85</v>
      </c>
      <c r="L445">
        <v>85</v>
      </c>
      <c r="M445">
        <v>85</v>
      </c>
      <c r="N445">
        <v>85</v>
      </c>
      <c r="O445" s="173">
        <f t="shared" si="92"/>
        <v>88.666666666666671</v>
      </c>
      <c r="P445" s="173">
        <f t="shared" si="93"/>
        <v>-6.4166666666666572</v>
      </c>
      <c r="Q445" s="177">
        <f t="shared" si="94"/>
        <v>-6.7484662576687018E-2</v>
      </c>
    </row>
    <row r="446" spans="1:17" x14ac:dyDescent="0.2">
      <c r="B446" t="s">
        <v>266</v>
      </c>
      <c r="C446">
        <v>107</v>
      </c>
      <c r="D446">
        <v>90</v>
      </c>
      <c r="E446">
        <v>90</v>
      </c>
      <c r="F446">
        <v>91</v>
      </c>
      <c r="G446">
        <v>89</v>
      </c>
      <c r="H446">
        <v>89</v>
      </c>
      <c r="I446">
        <v>87</v>
      </c>
      <c r="J446">
        <v>83</v>
      </c>
      <c r="K446">
        <v>79</v>
      </c>
      <c r="L446">
        <v>83</v>
      </c>
      <c r="M446">
        <v>84</v>
      </c>
      <c r="N446">
        <v>86</v>
      </c>
      <c r="O446" s="173">
        <f t="shared" si="92"/>
        <v>88.166666666666671</v>
      </c>
      <c r="P446" s="173">
        <f t="shared" si="93"/>
        <v>-0.5</v>
      </c>
      <c r="Q446" s="177">
        <f t="shared" si="94"/>
        <v>-5.6390977443609019E-3</v>
      </c>
    </row>
    <row r="447" spans="1:17" x14ac:dyDescent="0.2">
      <c r="B447" t="s">
        <v>287</v>
      </c>
      <c r="C447">
        <v>94</v>
      </c>
      <c r="D447">
        <v>94</v>
      </c>
      <c r="E447">
        <v>95</v>
      </c>
      <c r="F447">
        <v>92</v>
      </c>
      <c r="G447">
        <v>92</v>
      </c>
      <c r="H447">
        <v>91</v>
      </c>
      <c r="I447">
        <v>93</v>
      </c>
      <c r="J447">
        <v>90</v>
      </c>
      <c r="K447">
        <v>87</v>
      </c>
      <c r="L447">
        <v>86</v>
      </c>
      <c r="M447">
        <v>86</v>
      </c>
      <c r="N447">
        <v>85</v>
      </c>
      <c r="O447" s="173">
        <f t="shared" si="92"/>
        <v>90.416666666666671</v>
      </c>
      <c r="P447" s="173">
        <f t="shared" si="93"/>
        <v>2.25</v>
      </c>
      <c r="Q447" s="177">
        <f t="shared" si="94"/>
        <v>2.5519848771266538E-2</v>
      </c>
    </row>
    <row r="448" spans="1:17" x14ac:dyDescent="0.2">
      <c r="B448" t="s">
        <v>297</v>
      </c>
      <c r="C448">
        <v>88</v>
      </c>
      <c r="D448">
        <v>90</v>
      </c>
      <c r="E448">
        <v>90</v>
      </c>
      <c r="F448">
        <v>93</v>
      </c>
      <c r="G448">
        <v>90</v>
      </c>
      <c r="H448">
        <v>89</v>
      </c>
      <c r="I448">
        <v>112</v>
      </c>
      <c r="J448">
        <v>108</v>
      </c>
      <c r="K448">
        <v>112</v>
      </c>
      <c r="L448">
        <v>113</v>
      </c>
      <c r="M448">
        <v>109</v>
      </c>
      <c r="N448">
        <v>108</v>
      </c>
      <c r="O448" s="173">
        <f t="shared" si="92"/>
        <v>100.16666666666667</v>
      </c>
      <c r="P448" s="173">
        <f t="shared" si="93"/>
        <v>9.75</v>
      </c>
      <c r="Q448" s="177">
        <f t="shared" si="94"/>
        <v>0.10783410138248847</v>
      </c>
    </row>
    <row r="449" spans="1:17" x14ac:dyDescent="0.2">
      <c r="B449" t="s">
        <v>300</v>
      </c>
      <c r="C449">
        <v>107</v>
      </c>
      <c r="D449">
        <v>106</v>
      </c>
      <c r="E449">
        <v>105</v>
      </c>
      <c r="F449">
        <v>96</v>
      </c>
      <c r="G449">
        <v>99</v>
      </c>
      <c r="H449">
        <v>101</v>
      </c>
      <c r="I449">
        <v>103</v>
      </c>
      <c r="J449">
        <v>103</v>
      </c>
      <c r="K449">
        <v>100</v>
      </c>
      <c r="L449">
        <v>113</v>
      </c>
      <c r="M449">
        <v>118</v>
      </c>
      <c r="N449">
        <v>104</v>
      </c>
      <c r="O449" s="173">
        <f t="shared" si="92"/>
        <v>104.58333333333333</v>
      </c>
      <c r="P449" s="173">
        <f t="shared" si="93"/>
        <v>4.4166666666666572</v>
      </c>
      <c r="Q449" s="177">
        <f t="shared" si="94"/>
        <v>4.4093178036605563E-2</v>
      </c>
    </row>
    <row r="450" spans="1:17" x14ac:dyDescent="0.2">
      <c r="B450" t="s">
        <v>301</v>
      </c>
      <c r="C450">
        <v>106</v>
      </c>
      <c r="D450">
        <v>102</v>
      </c>
      <c r="E450">
        <v>105</v>
      </c>
      <c r="F450">
        <v>103</v>
      </c>
      <c r="G450">
        <v>103</v>
      </c>
      <c r="H450">
        <v>103</v>
      </c>
      <c r="I450">
        <v>99</v>
      </c>
      <c r="J450">
        <v>98</v>
      </c>
      <c r="K450">
        <v>100</v>
      </c>
      <c r="L450">
        <v>101</v>
      </c>
      <c r="M450">
        <v>100</v>
      </c>
      <c r="N450">
        <v>103</v>
      </c>
      <c r="O450" s="173">
        <f t="shared" si="92"/>
        <v>101.91666666666667</v>
      </c>
      <c r="P450" s="173">
        <f t="shared" si="93"/>
        <v>-2.6666666666666572</v>
      </c>
      <c r="Q450" s="177">
        <f t="shared" ref="Q450:Q456" si="95">SUM(P450/O449)</f>
        <v>-2.5498007968127401E-2</v>
      </c>
    </row>
    <row r="451" spans="1:17" x14ac:dyDescent="0.2">
      <c r="B451" t="s">
        <v>302</v>
      </c>
      <c r="C451">
        <v>96</v>
      </c>
      <c r="D451">
        <v>95</v>
      </c>
      <c r="E451">
        <v>92</v>
      </c>
      <c r="F451">
        <v>93</v>
      </c>
      <c r="G451">
        <v>90</v>
      </c>
      <c r="H451">
        <v>90</v>
      </c>
      <c r="I451">
        <v>90</v>
      </c>
      <c r="J451">
        <v>90</v>
      </c>
      <c r="K451">
        <v>91</v>
      </c>
      <c r="L451">
        <v>90</v>
      </c>
      <c r="M451">
        <v>75</v>
      </c>
      <c r="N451">
        <v>74</v>
      </c>
      <c r="O451" s="173">
        <f>SUM(C451:N451)/12</f>
        <v>88.833333333333329</v>
      </c>
      <c r="P451" s="173">
        <f t="shared" ref="P451:P456" si="96">SUM(O451-O450)</f>
        <v>-13.083333333333343</v>
      </c>
      <c r="Q451" s="177">
        <f t="shared" si="95"/>
        <v>-0.12837285363859371</v>
      </c>
    </row>
    <row r="452" spans="1:17" x14ac:dyDescent="0.2">
      <c r="B452" t="s">
        <v>347</v>
      </c>
      <c r="C452">
        <v>73</v>
      </c>
      <c r="D452">
        <v>73</v>
      </c>
      <c r="E452">
        <v>68</v>
      </c>
      <c r="F452">
        <v>69</v>
      </c>
      <c r="G452">
        <v>70</v>
      </c>
      <c r="H452">
        <v>77</v>
      </c>
      <c r="I452">
        <v>71</v>
      </c>
      <c r="J452">
        <v>74</v>
      </c>
      <c r="K452">
        <v>74</v>
      </c>
      <c r="L452">
        <v>72</v>
      </c>
      <c r="N452">
        <v>93</v>
      </c>
      <c r="O452" s="173">
        <f>SUM(C452:N452)/11</f>
        <v>74</v>
      </c>
      <c r="P452" s="173">
        <f t="shared" si="96"/>
        <v>-14.833333333333329</v>
      </c>
      <c r="Q452" s="177">
        <f t="shared" si="95"/>
        <v>-0.16697936210131328</v>
      </c>
    </row>
    <row r="453" spans="1:17" x14ac:dyDescent="0.2">
      <c r="B453" t="s">
        <v>370</v>
      </c>
      <c r="C453">
        <v>95</v>
      </c>
      <c r="D453">
        <v>93</v>
      </c>
      <c r="E453">
        <v>89</v>
      </c>
      <c r="F453">
        <v>84</v>
      </c>
      <c r="G453">
        <v>84</v>
      </c>
      <c r="H453">
        <v>86</v>
      </c>
      <c r="I453">
        <v>87</v>
      </c>
      <c r="J453">
        <v>84</v>
      </c>
      <c r="K453">
        <v>86</v>
      </c>
      <c r="L453">
        <v>89</v>
      </c>
      <c r="M453">
        <v>91</v>
      </c>
      <c r="N453">
        <v>96</v>
      </c>
      <c r="O453" s="173">
        <f>SUM(C453:N453)/12</f>
        <v>88.666666666666671</v>
      </c>
      <c r="P453" s="173">
        <f t="shared" si="96"/>
        <v>14.666666666666671</v>
      </c>
      <c r="Q453" s="177">
        <f t="shared" si="95"/>
        <v>0.19819819819819826</v>
      </c>
    </row>
    <row r="454" spans="1:17" x14ac:dyDescent="0.2">
      <c r="B454" t="s">
        <v>452</v>
      </c>
      <c r="C454">
        <v>100</v>
      </c>
      <c r="D454">
        <v>99</v>
      </c>
      <c r="E454">
        <v>98</v>
      </c>
      <c r="F454">
        <v>99</v>
      </c>
      <c r="G454">
        <v>98</v>
      </c>
      <c r="H454">
        <v>99</v>
      </c>
      <c r="I454">
        <v>101</v>
      </c>
      <c r="J454">
        <v>102</v>
      </c>
      <c r="K454">
        <v>101</v>
      </c>
      <c r="L454">
        <v>102</v>
      </c>
      <c r="M454">
        <v>103</v>
      </c>
      <c r="N454">
        <v>107</v>
      </c>
      <c r="O454" s="173">
        <f>SUM(C454:N454)/12</f>
        <v>100.75</v>
      </c>
      <c r="P454" s="173">
        <f t="shared" si="96"/>
        <v>12.083333333333329</v>
      </c>
      <c r="Q454" s="177">
        <f t="shared" si="95"/>
        <v>0.13627819548872175</v>
      </c>
    </row>
    <row r="455" spans="1:17" x14ac:dyDescent="0.2">
      <c r="B455" t="s">
        <v>487</v>
      </c>
      <c r="C455">
        <v>108</v>
      </c>
      <c r="D455">
        <v>108</v>
      </c>
      <c r="E455">
        <v>109</v>
      </c>
      <c r="F455">
        <v>106</v>
      </c>
      <c r="G455">
        <v>102</v>
      </c>
      <c r="H455">
        <v>100</v>
      </c>
      <c r="I455">
        <v>97</v>
      </c>
      <c r="J455">
        <v>94</v>
      </c>
      <c r="K455">
        <v>98</v>
      </c>
      <c r="L455">
        <v>100</v>
      </c>
      <c r="M455">
        <v>105</v>
      </c>
      <c r="N455">
        <v>101</v>
      </c>
      <c r="O455" s="173">
        <f>SUM(C455:N455)/12</f>
        <v>102.33333333333333</v>
      </c>
      <c r="P455" s="173">
        <f t="shared" si="96"/>
        <v>1.5833333333333286</v>
      </c>
      <c r="Q455" s="177">
        <f t="shared" si="95"/>
        <v>1.5715467328370508E-2</v>
      </c>
    </row>
    <row r="456" spans="1:17" x14ac:dyDescent="0.2">
      <c r="B456" t="s">
        <v>561</v>
      </c>
      <c r="C456">
        <v>100</v>
      </c>
      <c r="D456">
        <v>100</v>
      </c>
      <c r="E456">
        <v>101</v>
      </c>
      <c r="F456">
        <v>94</v>
      </c>
      <c r="G456">
        <v>95</v>
      </c>
      <c r="H456">
        <v>102</v>
      </c>
      <c r="I456">
        <v>97</v>
      </c>
      <c r="J456">
        <v>96</v>
      </c>
      <c r="K456">
        <v>95</v>
      </c>
      <c r="L456">
        <v>97</v>
      </c>
      <c r="M456">
        <v>98</v>
      </c>
      <c r="N456">
        <v>97</v>
      </c>
      <c r="O456" s="173">
        <f>SUM(C456:N456)/12</f>
        <v>97.666666666666671</v>
      </c>
      <c r="P456" s="173">
        <f t="shared" si="96"/>
        <v>-4.6666666666666572</v>
      </c>
      <c r="Q456" s="177">
        <f t="shared" si="95"/>
        <v>-4.5602605863192092E-2</v>
      </c>
    </row>
    <row r="457" spans="1:17" x14ac:dyDescent="0.2">
      <c r="B457" t="s">
        <v>660</v>
      </c>
      <c r="C457">
        <v>92</v>
      </c>
      <c r="D457">
        <v>97</v>
      </c>
      <c r="E457">
        <v>96</v>
      </c>
      <c r="F457">
        <v>95</v>
      </c>
      <c r="G457">
        <v>94</v>
      </c>
      <c r="H457">
        <v>93</v>
      </c>
      <c r="I457">
        <v>92</v>
      </c>
      <c r="J457">
        <v>94</v>
      </c>
      <c r="K457">
        <v>96</v>
      </c>
      <c r="L457">
        <v>90</v>
      </c>
      <c r="M457">
        <v>89</v>
      </c>
      <c r="N457">
        <v>85</v>
      </c>
      <c r="O457" s="173">
        <f>SUM(C457:N457)/12</f>
        <v>92.75</v>
      </c>
      <c r="P457" s="173">
        <f>SUM(O457-O456)</f>
        <v>-4.9166666666666714</v>
      </c>
      <c r="Q457" s="177">
        <f>SUM(P457/O456)</f>
        <v>-5.0341296928327693E-2</v>
      </c>
    </row>
    <row r="458" spans="1:17" x14ac:dyDescent="0.2">
      <c r="B458" t="s">
        <v>661</v>
      </c>
      <c r="C458">
        <v>84</v>
      </c>
      <c r="D458">
        <v>85</v>
      </c>
      <c r="E458">
        <v>82</v>
      </c>
      <c r="O458" s="173"/>
      <c r="P458" s="173"/>
      <c r="Q458" s="177"/>
    </row>
    <row r="459" spans="1:17" x14ac:dyDescent="0.2">
      <c r="O459" s="173"/>
      <c r="P459" s="173"/>
      <c r="Q459" s="177"/>
    </row>
    <row r="460" spans="1:17" x14ac:dyDescent="0.2">
      <c r="A460" s="178"/>
      <c r="B460" s="178"/>
      <c r="C460" s="178"/>
      <c r="D460" s="178"/>
      <c r="E460" s="178"/>
      <c r="F460" s="178"/>
      <c r="G460" s="178"/>
      <c r="H460" s="178"/>
      <c r="I460" s="178"/>
      <c r="J460" s="178"/>
      <c r="K460" s="178"/>
      <c r="L460" s="178"/>
      <c r="M460" s="178"/>
      <c r="N460" s="178"/>
      <c r="O460" s="178"/>
      <c r="P460" s="178"/>
      <c r="Q460" s="178"/>
    </row>
    <row r="461" spans="1:17" ht="25.5" x14ac:dyDescent="0.2">
      <c r="A461" s="175" t="s">
        <v>462</v>
      </c>
      <c r="B461" s="176" t="s">
        <v>433</v>
      </c>
      <c r="C461" s="179" t="s">
        <v>434</v>
      </c>
      <c r="D461" s="179" t="s">
        <v>435</v>
      </c>
      <c r="E461" s="179" t="s">
        <v>436</v>
      </c>
      <c r="F461" s="179" t="s">
        <v>437</v>
      </c>
      <c r="G461" s="179" t="s">
        <v>438</v>
      </c>
      <c r="H461" s="179" t="s">
        <v>439</v>
      </c>
      <c r="I461" s="179" t="s">
        <v>440</v>
      </c>
      <c r="J461" s="179" t="s">
        <v>441</v>
      </c>
      <c r="K461" s="179" t="s">
        <v>442</v>
      </c>
      <c r="L461" s="179" t="s">
        <v>443</v>
      </c>
      <c r="M461" s="179" t="s">
        <v>444</v>
      </c>
      <c r="N461" s="179" t="s">
        <v>445</v>
      </c>
    </row>
    <row r="462" spans="1:17" x14ac:dyDescent="0.2">
      <c r="B462" t="s">
        <v>449</v>
      </c>
      <c r="C462">
        <v>69</v>
      </c>
      <c r="D462">
        <v>69</v>
      </c>
      <c r="E462">
        <v>69</v>
      </c>
      <c r="F462">
        <v>69</v>
      </c>
      <c r="G462">
        <v>56</v>
      </c>
      <c r="H462">
        <v>58</v>
      </c>
      <c r="I462">
        <v>57</v>
      </c>
      <c r="J462">
        <v>58</v>
      </c>
      <c r="K462">
        <v>56</v>
      </c>
      <c r="L462">
        <v>62</v>
      </c>
      <c r="M462">
        <v>57</v>
      </c>
      <c r="N462">
        <v>58</v>
      </c>
      <c r="O462" s="173">
        <f t="shared" ref="O462:O477" si="97">SUM(C462:N462)/12</f>
        <v>61.5</v>
      </c>
      <c r="P462" s="173"/>
    </row>
    <row r="463" spans="1:17" x14ac:dyDescent="0.2">
      <c r="B463" t="s">
        <v>450</v>
      </c>
      <c r="C463">
        <v>52</v>
      </c>
      <c r="D463">
        <v>56</v>
      </c>
      <c r="E463">
        <v>51</v>
      </c>
      <c r="F463">
        <v>57</v>
      </c>
      <c r="G463">
        <v>60</v>
      </c>
      <c r="H463">
        <v>58</v>
      </c>
      <c r="I463">
        <v>62</v>
      </c>
      <c r="J463">
        <v>63</v>
      </c>
      <c r="K463">
        <v>59</v>
      </c>
      <c r="L463">
        <v>59</v>
      </c>
      <c r="M463">
        <v>62</v>
      </c>
      <c r="N463">
        <v>60</v>
      </c>
      <c r="O463" s="173">
        <f t="shared" si="97"/>
        <v>58.25</v>
      </c>
      <c r="P463" s="173">
        <f t="shared" ref="P463:P470" si="98">SUM(O463-O462)</f>
        <v>-3.25</v>
      </c>
      <c r="Q463" s="177">
        <f t="shared" ref="Q463:Q469" si="99">SUM(P463/O462)</f>
        <v>-5.2845528455284556E-2</v>
      </c>
    </row>
    <row r="464" spans="1:17" x14ac:dyDescent="0.2">
      <c r="B464" t="s">
        <v>451</v>
      </c>
      <c r="C464">
        <v>60</v>
      </c>
      <c r="D464">
        <v>55</v>
      </c>
      <c r="E464">
        <v>57</v>
      </c>
      <c r="F464">
        <v>55</v>
      </c>
      <c r="G464">
        <v>55</v>
      </c>
      <c r="H464">
        <v>52</v>
      </c>
      <c r="I464">
        <v>60</v>
      </c>
      <c r="J464">
        <v>72</v>
      </c>
      <c r="K464">
        <v>77</v>
      </c>
      <c r="L464">
        <v>82</v>
      </c>
      <c r="M464">
        <v>87</v>
      </c>
      <c r="N464">
        <v>92</v>
      </c>
      <c r="O464" s="173">
        <f t="shared" si="97"/>
        <v>67</v>
      </c>
      <c r="P464" s="173">
        <f t="shared" si="98"/>
        <v>8.75</v>
      </c>
      <c r="Q464" s="177">
        <f t="shared" si="99"/>
        <v>0.15021459227467812</v>
      </c>
    </row>
    <row r="465" spans="1:17" x14ac:dyDescent="0.2">
      <c r="B465" t="s">
        <v>267</v>
      </c>
      <c r="C465">
        <v>87</v>
      </c>
      <c r="D465">
        <v>86</v>
      </c>
      <c r="E465">
        <v>88</v>
      </c>
      <c r="F465">
        <v>86</v>
      </c>
      <c r="G465">
        <v>86</v>
      </c>
      <c r="H465">
        <v>86</v>
      </c>
      <c r="I465">
        <v>86</v>
      </c>
      <c r="J465">
        <v>86</v>
      </c>
      <c r="K465">
        <v>86</v>
      </c>
      <c r="L465">
        <v>86</v>
      </c>
      <c r="M465">
        <v>86</v>
      </c>
      <c r="N465">
        <v>86</v>
      </c>
      <c r="O465" s="173">
        <f t="shared" si="97"/>
        <v>86.25</v>
      </c>
      <c r="P465" s="173">
        <f t="shared" si="98"/>
        <v>19.25</v>
      </c>
      <c r="Q465" s="177">
        <f t="shared" si="99"/>
        <v>0.28731343283582089</v>
      </c>
    </row>
    <row r="466" spans="1:17" x14ac:dyDescent="0.2">
      <c r="B466" t="s">
        <v>266</v>
      </c>
      <c r="C466">
        <v>93</v>
      </c>
      <c r="D466">
        <v>80</v>
      </c>
      <c r="E466">
        <v>78</v>
      </c>
      <c r="F466">
        <v>78</v>
      </c>
      <c r="G466">
        <v>84</v>
      </c>
      <c r="H466">
        <v>90</v>
      </c>
      <c r="I466">
        <v>88</v>
      </c>
      <c r="J466">
        <v>92</v>
      </c>
      <c r="K466">
        <v>94</v>
      </c>
      <c r="L466">
        <v>84</v>
      </c>
      <c r="M466">
        <v>84</v>
      </c>
      <c r="N466">
        <v>85</v>
      </c>
      <c r="O466" s="173">
        <f t="shared" si="97"/>
        <v>85.833333333333329</v>
      </c>
      <c r="P466" s="173">
        <f t="shared" si="98"/>
        <v>-0.4166666666666714</v>
      </c>
      <c r="Q466" s="177">
        <f t="shared" si="99"/>
        <v>-4.8309178743961905E-3</v>
      </c>
    </row>
    <row r="467" spans="1:17" x14ac:dyDescent="0.2">
      <c r="B467" t="s">
        <v>287</v>
      </c>
      <c r="C467">
        <v>80</v>
      </c>
      <c r="D467">
        <v>84</v>
      </c>
      <c r="E467">
        <v>85</v>
      </c>
      <c r="F467">
        <v>88</v>
      </c>
      <c r="G467">
        <v>90</v>
      </c>
      <c r="H467">
        <v>95</v>
      </c>
      <c r="I467">
        <v>101</v>
      </c>
      <c r="J467">
        <v>94</v>
      </c>
      <c r="K467">
        <v>90</v>
      </c>
      <c r="L467">
        <v>93</v>
      </c>
      <c r="M467">
        <v>101</v>
      </c>
      <c r="N467">
        <v>107</v>
      </c>
      <c r="O467" s="173">
        <f t="shared" si="97"/>
        <v>92.333333333333329</v>
      </c>
      <c r="P467" s="173">
        <f t="shared" si="98"/>
        <v>6.5</v>
      </c>
      <c r="Q467" s="177">
        <f t="shared" si="99"/>
        <v>7.5728155339805828E-2</v>
      </c>
    </row>
    <row r="468" spans="1:17" x14ac:dyDescent="0.2">
      <c r="B468" t="s">
        <v>297</v>
      </c>
      <c r="C468">
        <v>112</v>
      </c>
      <c r="D468">
        <v>110</v>
      </c>
      <c r="E468">
        <v>108</v>
      </c>
      <c r="F468">
        <v>113</v>
      </c>
      <c r="G468">
        <v>112</v>
      </c>
      <c r="H468">
        <v>108</v>
      </c>
      <c r="I468">
        <v>107</v>
      </c>
      <c r="J468">
        <v>123</v>
      </c>
      <c r="K468">
        <v>114</v>
      </c>
      <c r="L468">
        <v>116</v>
      </c>
      <c r="M468">
        <v>117</v>
      </c>
      <c r="N468">
        <v>121</v>
      </c>
      <c r="O468" s="173">
        <f t="shared" si="97"/>
        <v>113.41666666666667</v>
      </c>
      <c r="P468" s="173">
        <f t="shared" si="98"/>
        <v>21.083333333333343</v>
      </c>
      <c r="Q468" s="177">
        <f t="shared" si="99"/>
        <v>0.22833935018050552</v>
      </c>
    </row>
    <row r="469" spans="1:17" x14ac:dyDescent="0.2">
      <c r="B469" t="s">
        <v>300</v>
      </c>
      <c r="C469">
        <v>121</v>
      </c>
      <c r="D469">
        <v>122</v>
      </c>
      <c r="E469">
        <v>122</v>
      </c>
      <c r="F469">
        <v>126</v>
      </c>
      <c r="G469">
        <v>124</v>
      </c>
      <c r="H469">
        <v>122</v>
      </c>
      <c r="I469">
        <v>124</v>
      </c>
      <c r="J469">
        <v>122</v>
      </c>
      <c r="K469">
        <v>121</v>
      </c>
      <c r="L469">
        <v>115</v>
      </c>
      <c r="M469">
        <v>114</v>
      </c>
      <c r="N469">
        <v>121</v>
      </c>
      <c r="O469" s="173">
        <f t="shared" si="97"/>
        <v>121.16666666666667</v>
      </c>
      <c r="P469" s="173">
        <f t="shared" si="98"/>
        <v>7.75</v>
      </c>
      <c r="Q469" s="177">
        <f t="shared" si="99"/>
        <v>6.8332108743570902E-2</v>
      </c>
    </row>
    <row r="470" spans="1:17" x14ac:dyDescent="0.2">
      <c r="B470" t="s">
        <v>301</v>
      </c>
      <c r="C470">
        <v>99</v>
      </c>
      <c r="D470">
        <v>100</v>
      </c>
      <c r="E470">
        <v>107</v>
      </c>
      <c r="F470">
        <v>104</v>
      </c>
      <c r="G470">
        <v>103</v>
      </c>
      <c r="H470">
        <v>100</v>
      </c>
      <c r="I470">
        <v>101</v>
      </c>
      <c r="J470">
        <v>98</v>
      </c>
      <c r="K470">
        <v>92</v>
      </c>
      <c r="L470">
        <v>85</v>
      </c>
      <c r="M470">
        <v>92</v>
      </c>
      <c r="N470">
        <v>88</v>
      </c>
      <c r="O470" s="173">
        <f t="shared" si="97"/>
        <v>97.416666666666671</v>
      </c>
      <c r="P470" s="173">
        <f t="shared" si="98"/>
        <v>-23.75</v>
      </c>
      <c r="Q470" s="177">
        <f t="shared" ref="Q470:Q476" si="100">SUM(P470/O469)</f>
        <v>-0.19601100412654746</v>
      </c>
    </row>
    <row r="471" spans="1:17" x14ac:dyDescent="0.2">
      <c r="B471" t="s">
        <v>302</v>
      </c>
      <c r="C471">
        <v>79</v>
      </c>
      <c r="D471">
        <v>82</v>
      </c>
      <c r="E471">
        <v>82</v>
      </c>
      <c r="F471">
        <v>78</v>
      </c>
      <c r="G471">
        <v>79</v>
      </c>
      <c r="H471">
        <v>83</v>
      </c>
      <c r="I471">
        <v>84</v>
      </c>
      <c r="J471">
        <v>90</v>
      </c>
      <c r="K471">
        <v>95</v>
      </c>
      <c r="L471">
        <v>94</v>
      </c>
      <c r="M471">
        <v>94</v>
      </c>
      <c r="N471">
        <v>72</v>
      </c>
      <c r="O471" s="173">
        <f t="shared" si="97"/>
        <v>84.333333333333329</v>
      </c>
      <c r="P471" s="173">
        <f t="shared" ref="P471:P476" si="101">SUM(O471-O470)</f>
        <v>-13.083333333333343</v>
      </c>
      <c r="Q471" s="177">
        <f t="shared" si="100"/>
        <v>-0.13430282292557752</v>
      </c>
    </row>
    <row r="472" spans="1:17" x14ac:dyDescent="0.2">
      <c r="B472" t="s">
        <v>347</v>
      </c>
      <c r="C472">
        <v>84</v>
      </c>
      <c r="D472">
        <v>87</v>
      </c>
      <c r="E472">
        <v>92</v>
      </c>
      <c r="F472">
        <v>97</v>
      </c>
      <c r="G472">
        <v>101</v>
      </c>
      <c r="H472">
        <v>100</v>
      </c>
      <c r="I472">
        <v>85</v>
      </c>
      <c r="J472">
        <v>86</v>
      </c>
      <c r="K472">
        <v>90</v>
      </c>
      <c r="L472">
        <v>89</v>
      </c>
      <c r="M472">
        <v>83</v>
      </c>
      <c r="N472">
        <v>82</v>
      </c>
      <c r="O472" s="173">
        <f t="shared" si="97"/>
        <v>89.666666666666671</v>
      </c>
      <c r="P472" s="173">
        <f t="shared" si="101"/>
        <v>5.3333333333333428</v>
      </c>
      <c r="Q472" s="177">
        <f t="shared" si="100"/>
        <v>6.324110671936771E-2</v>
      </c>
    </row>
    <row r="473" spans="1:17" x14ac:dyDescent="0.2">
      <c r="B473" t="s">
        <v>370</v>
      </c>
      <c r="C473">
        <v>87</v>
      </c>
      <c r="D473">
        <v>86</v>
      </c>
      <c r="E473">
        <v>87</v>
      </c>
      <c r="F473">
        <v>77</v>
      </c>
      <c r="G473">
        <v>76</v>
      </c>
      <c r="H473">
        <v>73</v>
      </c>
      <c r="I473">
        <v>69</v>
      </c>
      <c r="J473">
        <v>75</v>
      </c>
      <c r="K473">
        <v>74</v>
      </c>
      <c r="L473">
        <v>74</v>
      </c>
      <c r="M473">
        <v>72</v>
      </c>
      <c r="N473">
        <v>73</v>
      </c>
      <c r="O473" s="173">
        <f t="shared" si="97"/>
        <v>76.916666666666671</v>
      </c>
      <c r="P473" s="173">
        <f t="shared" si="101"/>
        <v>-12.75</v>
      </c>
      <c r="Q473" s="177">
        <f t="shared" si="100"/>
        <v>-0.14219330855018586</v>
      </c>
    </row>
    <row r="474" spans="1:17" x14ac:dyDescent="0.2">
      <c r="B474" t="s">
        <v>452</v>
      </c>
      <c r="C474">
        <v>74</v>
      </c>
      <c r="D474">
        <v>71</v>
      </c>
      <c r="E474">
        <v>77</v>
      </c>
      <c r="F474">
        <v>76</v>
      </c>
      <c r="G474">
        <v>78</v>
      </c>
      <c r="H474">
        <v>71</v>
      </c>
      <c r="I474">
        <v>69</v>
      </c>
      <c r="J474">
        <v>64</v>
      </c>
      <c r="K474">
        <v>62</v>
      </c>
      <c r="L474">
        <v>55</v>
      </c>
      <c r="M474">
        <v>55</v>
      </c>
      <c r="N474">
        <v>54</v>
      </c>
      <c r="O474" s="173">
        <f t="shared" si="97"/>
        <v>67.166666666666671</v>
      </c>
      <c r="P474" s="173">
        <f t="shared" si="101"/>
        <v>-9.75</v>
      </c>
      <c r="Q474" s="177">
        <f t="shared" si="100"/>
        <v>-0.12676056338028169</v>
      </c>
    </row>
    <row r="475" spans="1:17" x14ac:dyDescent="0.2">
      <c r="B475" t="s">
        <v>487</v>
      </c>
      <c r="C475">
        <v>59</v>
      </c>
      <c r="D475">
        <v>57</v>
      </c>
      <c r="E475">
        <v>54</v>
      </c>
      <c r="F475">
        <v>53</v>
      </c>
      <c r="G475">
        <v>56</v>
      </c>
      <c r="H475">
        <v>62</v>
      </c>
      <c r="I475">
        <v>55</v>
      </c>
      <c r="J475">
        <v>50</v>
      </c>
      <c r="K475">
        <v>49</v>
      </c>
      <c r="L475">
        <v>51</v>
      </c>
      <c r="M475">
        <v>52</v>
      </c>
      <c r="N475">
        <v>50</v>
      </c>
      <c r="O475" s="173">
        <f t="shared" si="97"/>
        <v>54</v>
      </c>
      <c r="P475" s="173">
        <f t="shared" si="101"/>
        <v>-13.166666666666671</v>
      </c>
      <c r="Q475" s="177">
        <f t="shared" si="100"/>
        <v>-0.19602977667493801</v>
      </c>
    </row>
    <row r="476" spans="1:17" x14ac:dyDescent="0.2">
      <c r="B476" t="s">
        <v>561</v>
      </c>
      <c r="C476">
        <v>54</v>
      </c>
      <c r="D476">
        <v>57</v>
      </c>
      <c r="E476">
        <v>63</v>
      </c>
      <c r="F476">
        <v>64</v>
      </c>
      <c r="G476">
        <v>67</v>
      </c>
      <c r="H476">
        <v>65</v>
      </c>
      <c r="I476">
        <v>65</v>
      </c>
      <c r="J476">
        <v>65</v>
      </c>
      <c r="K476">
        <v>67</v>
      </c>
      <c r="L476">
        <v>66</v>
      </c>
      <c r="M476">
        <v>66</v>
      </c>
      <c r="N476">
        <v>69</v>
      </c>
      <c r="O476" s="173">
        <f t="shared" si="97"/>
        <v>64</v>
      </c>
      <c r="P476" s="173">
        <f t="shared" si="101"/>
        <v>10</v>
      </c>
      <c r="Q476" s="177">
        <f t="shared" si="100"/>
        <v>0.18518518518518517</v>
      </c>
    </row>
    <row r="477" spans="1:17" x14ac:dyDescent="0.2">
      <c r="B477" t="s">
        <v>660</v>
      </c>
      <c r="C477">
        <v>65</v>
      </c>
      <c r="D477">
        <v>59</v>
      </c>
      <c r="E477">
        <v>54</v>
      </c>
      <c r="F477">
        <v>55</v>
      </c>
      <c r="G477">
        <v>55</v>
      </c>
      <c r="H477">
        <v>58</v>
      </c>
      <c r="I477">
        <v>57</v>
      </c>
      <c r="J477">
        <v>57</v>
      </c>
      <c r="K477">
        <v>58</v>
      </c>
      <c r="L477">
        <v>58</v>
      </c>
      <c r="M477">
        <v>67</v>
      </c>
      <c r="N477">
        <v>66</v>
      </c>
      <c r="O477" s="173">
        <f t="shared" si="97"/>
        <v>59.083333333333336</v>
      </c>
      <c r="P477" s="173">
        <f>SUM(O477-O476)</f>
        <v>-4.9166666666666643</v>
      </c>
      <c r="Q477" s="177">
        <f>SUM(P477/O476)</f>
        <v>-7.682291666666663E-2</v>
      </c>
    </row>
    <row r="478" spans="1:17" x14ac:dyDescent="0.2">
      <c r="B478" t="s">
        <v>661</v>
      </c>
      <c r="C478">
        <v>66</v>
      </c>
      <c r="D478">
        <v>61</v>
      </c>
      <c r="E478">
        <v>46</v>
      </c>
      <c r="O478" s="173"/>
      <c r="P478" s="173"/>
      <c r="Q478" s="177"/>
    </row>
    <row r="479" spans="1:17" x14ac:dyDescent="0.2">
      <c r="O479" s="173"/>
      <c r="P479" s="173"/>
      <c r="Q479" s="177"/>
    </row>
    <row r="480" spans="1:17" ht="25.5" x14ac:dyDescent="0.2">
      <c r="A480" s="175" t="s">
        <v>463</v>
      </c>
      <c r="B480" s="176" t="s">
        <v>433</v>
      </c>
      <c r="C480" s="179" t="s">
        <v>434</v>
      </c>
      <c r="D480" s="179" t="s">
        <v>435</v>
      </c>
      <c r="E480" s="179" t="s">
        <v>436</v>
      </c>
      <c r="F480" s="179" t="s">
        <v>437</v>
      </c>
      <c r="G480" s="179" t="s">
        <v>438</v>
      </c>
      <c r="H480" s="179" t="s">
        <v>439</v>
      </c>
      <c r="I480" s="179" t="s">
        <v>440</v>
      </c>
      <c r="J480" s="179" t="s">
        <v>441</v>
      </c>
      <c r="K480" s="179" t="s">
        <v>442</v>
      </c>
      <c r="L480" s="179" t="s">
        <v>443</v>
      </c>
      <c r="M480" s="179" t="s">
        <v>444</v>
      </c>
      <c r="N480" s="179" t="s">
        <v>445</v>
      </c>
    </row>
    <row r="481" spans="2:17" x14ac:dyDescent="0.2">
      <c r="B481" t="s">
        <v>449</v>
      </c>
      <c r="C481">
        <v>92</v>
      </c>
      <c r="D481">
        <v>91</v>
      </c>
      <c r="E481">
        <v>97</v>
      </c>
      <c r="F481">
        <v>94</v>
      </c>
      <c r="G481">
        <v>87</v>
      </c>
      <c r="H481">
        <v>85</v>
      </c>
      <c r="I481">
        <v>91</v>
      </c>
      <c r="J481">
        <v>89</v>
      </c>
      <c r="K481">
        <v>92</v>
      </c>
      <c r="L481">
        <v>92</v>
      </c>
      <c r="M481">
        <v>94</v>
      </c>
      <c r="N481">
        <v>92</v>
      </c>
      <c r="O481" s="173">
        <f t="shared" ref="O481:O496" si="102">SUM(C481:N481)/12</f>
        <v>91.333333333333329</v>
      </c>
      <c r="P481" s="173"/>
    </row>
    <row r="482" spans="2:17" x14ac:dyDescent="0.2">
      <c r="B482" t="s">
        <v>450</v>
      </c>
      <c r="C482">
        <v>90</v>
      </c>
      <c r="D482">
        <v>98</v>
      </c>
      <c r="E482">
        <v>89</v>
      </c>
      <c r="F482">
        <v>84</v>
      </c>
      <c r="G482">
        <v>84</v>
      </c>
      <c r="H482">
        <v>78</v>
      </c>
      <c r="I482">
        <v>83</v>
      </c>
      <c r="J482">
        <v>87</v>
      </c>
      <c r="K482">
        <v>81</v>
      </c>
      <c r="L482">
        <v>81</v>
      </c>
      <c r="M482">
        <v>77</v>
      </c>
      <c r="N482">
        <v>79</v>
      </c>
      <c r="O482" s="173">
        <f t="shared" si="102"/>
        <v>84.25</v>
      </c>
      <c r="P482" s="173">
        <f t="shared" ref="P482:P489" si="103">SUM(O482-O481)</f>
        <v>-7.0833333333333286</v>
      </c>
      <c r="Q482" s="177">
        <f t="shared" ref="Q482:Q488" si="104">SUM(P482/O481)</f>
        <v>-7.7554744525547392E-2</v>
      </c>
    </row>
    <row r="483" spans="2:17" x14ac:dyDescent="0.2">
      <c r="B483" t="s">
        <v>451</v>
      </c>
      <c r="C483">
        <v>81</v>
      </c>
      <c r="D483">
        <v>78</v>
      </c>
      <c r="E483">
        <v>73</v>
      </c>
      <c r="F483">
        <v>77</v>
      </c>
      <c r="G483">
        <v>86</v>
      </c>
      <c r="H483">
        <v>96</v>
      </c>
      <c r="I483">
        <v>84</v>
      </c>
      <c r="J483">
        <v>72</v>
      </c>
      <c r="K483">
        <v>74</v>
      </c>
      <c r="L483">
        <v>76</v>
      </c>
      <c r="M483">
        <v>78</v>
      </c>
      <c r="N483">
        <v>88</v>
      </c>
      <c r="O483" s="173">
        <f t="shared" si="102"/>
        <v>80.25</v>
      </c>
      <c r="P483" s="173">
        <f t="shared" si="103"/>
        <v>-4</v>
      </c>
      <c r="Q483" s="177">
        <f t="shared" si="104"/>
        <v>-4.7477744807121663E-2</v>
      </c>
    </row>
    <row r="484" spans="2:17" x14ac:dyDescent="0.2">
      <c r="B484" t="s">
        <v>267</v>
      </c>
      <c r="C484">
        <v>98</v>
      </c>
      <c r="D484">
        <v>98</v>
      </c>
      <c r="E484">
        <v>100</v>
      </c>
      <c r="F484">
        <v>93</v>
      </c>
      <c r="G484">
        <v>93</v>
      </c>
      <c r="H484">
        <v>93</v>
      </c>
      <c r="I484">
        <v>93</v>
      </c>
      <c r="J484">
        <v>93</v>
      </c>
      <c r="K484">
        <v>93</v>
      </c>
      <c r="L484">
        <v>93</v>
      </c>
      <c r="M484">
        <v>93</v>
      </c>
      <c r="N484">
        <v>93</v>
      </c>
      <c r="O484" s="173">
        <f t="shared" si="102"/>
        <v>94.416666666666671</v>
      </c>
      <c r="P484" s="173">
        <f t="shared" si="103"/>
        <v>14.166666666666671</v>
      </c>
      <c r="Q484" s="177">
        <f t="shared" si="104"/>
        <v>0.17653167185877472</v>
      </c>
    </row>
    <row r="485" spans="2:17" x14ac:dyDescent="0.2">
      <c r="B485" t="s">
        <v>266</v>
      </c>
      <c r="C485">
        <v>106</v>
      </c>
      <c r="D485">
        <v>90</v>
      </c>
      <c r="E485">
        <v>91</v>
      </c>
      <c r="F485">
        <v>91</v>
      </c>
      <c r="G485">
        <v>87</v>
      </c>
      <c r="H485">
        <v>80</v>
      </c>
      <c r="I485">
        <v>76</v>
      </c>
      <c r="J485">
        <v>78</v>
      </c>
      <c r="K485">
        <v>83</v>
      </c>
      <c r="L485">
        <v>92</v>
      </c>
      <c r="M485">
        <v>99</v>
      </c>
      <c r="N485">
        <v>101</v>
      </c>
      <c r="O485" s="173">
        <f t="shared" si="102"/>
        <v>89.5</v>
      </c>
      <c r="P485" s="173">
        <f t="shared" si="103"/>
        <v>-4.9166666666666714</v>
      </c>
      <c r="Q485" s="177">
        <f t="shared" si="104"/>
        <v>-5.2074139452780277E-2</v>
      </c>
    </row>
    <row r="486" spans="2:17" x14ac:dyDescent="0.2">
      <c r="B486" t="s">
        <v>287</v>
      </c>
      <c r="C486">
        <v>93</v>
      </c>
      <c r="D486">
        <v>90</v>
      </c>
      <c r="E486">
        <v>91</v>
      </c>
      <c r="F486">
        <v>94</v>
      </c>
      <c r="G486">
        <v>91</v>
      </c>
      <c r="H486">
        <v>91</v>
      </c>
      <c r="I486">
        <v>93</v>
      </c>
      <c r="J486">
        <v>90</v>
      </c>
      <c r="K486">
        <v>83</v>
      </c>
      <c r="L486">
        <v>84</v>
      </c>
      <c r="M486">
        <v>79</v>
      </c>
      <c r="N486">
        <v>77</v>
      </c>
      <c r="O486" s="173">
        <f t="shared" si="102"/>
        <v>88</v>
      </c>
      <c r="P486" s="173">
        <f t="shared" si="103"/>
        <v>-1.5</v>
      </c>
      <c r="Q486" s="177">
        <f t="shared" si="104"/>
        <v>-1.6759776536312849E-2</v>
      </c>
    </row>
    <row r="487" spans="2:17" x14ac:dyDescent="0.2">
      <c r="B487" t="s">
        <v>297</v>
      </c>
      <c r="C487">
        <v>79</v>
      </c>
      <c r="D487">
        <v>78</v>
      </c>
      <c r="E487">
        <v>74</v>
      </c>
      <c r="F487">
        <v>69</v>
      </c>
      <c r="G487">
        <v>66</v>
      </c>
      <c r="H487">
        <v>62</v>
      </c>
      <c r="I487">
        <v>59</v>
      </c>
      <c r="J487">
        <v>64</v>
      </c>
      <c r="K487">
        <v>59</v>
      </c>
      <c r="L487">
        <v>55</v>
      </c>
      <c r="M487">
        <v>61</v>
      </c>
      <c r="N487">
        <v>64</v>
      </c>
      <c r="O487" s="173">
        <f t="shared" si="102"/>
        <v>65.833333333333329</v>
      </c>
      <c r="P487" s="173">
        <f t="shared" si="103"/>
        <v>-22.166666666666671</v>
      </c>
      <c r="Q487" s="177">
        <f t="shared" si="104"/>
        <v>-0.25189393939393945</v>
      </c>
    </row>
    <row r="488" spans="2:17" x14ac:dyDescent="0.2">
      <c r="B488" t="s">
        <v>300</v>
      </c>
      <c r="C488">
        <v>68</v>
      </c>
      <c r="D488">
        <v>67</v>
      </c>
      <c r="E488">
        <v>71</v>
      </c>
      <c r="F488">
        <v>72</v>
      </c>
      <c r="G488">
        <v>81</v>
      </c>
      <c r="H488">
        <v>85</v>
      </c>
      <c r="I488">
        <v>85</v>
      </c>
      <c r="J488">
        <v>85</v>
      </c>
      <c r="K488">
        <v>73</v>
      </c>
      <c r="L488">
        <v>82</v>
      </c>
      <c r="M488">
        <v>78</v>
      </c>
      <c r="N488">
        <v>80</v>
      </c>
      <c r="O488" s="173">
        <f t="shared" si="102"/>
        <v>77.25</v>
      </c>
      <c r="P488" s="173">
        <f t="shared" si="103"/>
        <v>11.416666666666671</v>
      </c>
      <c r="Q488" s="177">
        <f t="shared" si="104"/>
        <v>0.17341772151898743</v>
      </c>
    </row>
    <row r="489" spans="2:17" x14ac:dyDescent="0.2">
      <c r="B489" t="s">
        <v>301</v>
      </c>
      <c r="C489">
        <v>77</v>
      </c>
      <c r="D489">
        <v>75</v>
      </c>
      <c r="E489">
        <v>74</v>
      </c>
      <c r="F489">
        <v>75</v>
      </c>
      <c r="G489">
        <v>75</v>
      </c>
      <c r="H489">
        <v>77</v>
      </c>
      <c r="I489">
        <v>81</v>
      </c>
      <c r="J489">
        <v>79</v>
      </c>
      <c r="K489">
        <v>79</v>
      </c>
      <c r="L489">
        <v>79</v>
      </c>
      <c r="M489">
        <v>80</v>
      </c>
      <c r="N489">
        <v>76</v>
      </c>
      <c r="O489" s="173">
        <f t="shared" si="102"/>
        <v>77.25</v>
      </c>
      <c r="P489" s="173">
        <f t="shared" si="103"/>
        <v>0</v>
      </c>
      <c r="Q489" s="177">
        <f t="shared" ref="Q489:Q495" si="105">SUM(P489/O488)</f>
        <v>0</v>
      </c>
    </row>
    <row r="490" spans="2:17" x14ac:dyDescent="0.2">
      <c r="B490" t="s">
        <v>302</v>
      </c>
      <c r="C490">
        <v>68</v>
      </c>
      <c r="D490">
        <v>66</v>
      </c>
      <c r="E490">
        <v>65</v>
      </c>
      <c r="F490">
        <v>61</v>
      </c>
      <c r="G490">
        <v>59</v>
      </c>
      <c r="H490">
        <v>57</v>
      </c>
      <c r="I490">
        <v>55</v>
      </c>
      <c r="J490">
        <v>56</v>
      </c>
      <c r="K490">
        <v>58</v>
      </c>
      <c r="L490">
        <v>60</v>
      </c>
      <c r="M490">
        <v>61</v>
      </c>
      <c r="N490">
        <v>62</v>
      </c>
      <c r="O490" s="173">
        <f t="shared" si="102"/>
        <v>60.666666666666664</v>
      </c>
      <c r="P490" s="173">
        <f t="shared" ref="P490:P495" si="106">SUM(O490-O489)</f>
        <v>-16.583333333333336</v>
      </c>
      <c r="Q490" s="177">
        <f t="shared" si="105"/>
        <v>-0.21467098166127296</v>
      </c>
    </row>
    <row r="491" spans="2:17" x14ac:dyDescent="0.2">
      <c r="B491" t="s">
        <v>347</v>
      </c>
      <c r="C491">
        <v>58</v>
      </c>
      <c r="D491">
        <v>59</v>
      </c>
      <c r="E491">
        <v>55</v>
      </c>
      <c r="F491">
        <v>68</v>
      </c>
      <c r="G491">
        <v>62</v>
      </c>
      <c r="H491">
        <v>58</v>
      </c>
      <c r="I491">
        <v>55</v>
      </c>
      <c r="J491">
        <v>58</v>
      </c>
      <c r="K491">
        <v>59</v>
      </c>
      <c r="L491">
        <v>57</v>
      </c>
      <c r="M491">
        <v>52</v>
      </c>
      <c r="N491">
        <v>54</v>
      </c>
      <c r="O491" s="173">
        <f t="shared" si="102"/>
        <v>57.916666666666664</v>
      </c>
      <c r="P491" s="173">
        <f t="shared" si="106"/>
        <v>-2.75</v>
      </c>
      <c r="Q491" s="177">
        <f t="shared" si="105"/>
        <v>-4.5329670329670328E-2</v>
      </c>
    </row>
    <row r="492" spans="2:17" x14ac:dyDescent="0.2">
      <c r="B492" t="s">
        <v>370</v>
      </c>
      <c r="C492">
        <v>55</v>
      </c>
      <c r="D492">
        <v>55</v>
      </c>
      <c r="E492">
        <v>49</v>
      </c>
      <c r="F492">
        <v>51</v>
      </c>
      <c r="G492">
        <v>53</v>
      </c>
      <c r="H492">
        <v>57</v>
      </c>
      <c r="I492">
        <v>63</v>
      </c>
      <c r="J492">
        <v>65</v>
      </c>
      <c r="K492">
        <v>65</v>
      </c>
      <c r="L492">
        <v>61</v>
      </c>
      <c r="M492">
        <v>66</v>
      </c>
      <c r="N492">
        <v>63</v>
      </c>
      <c r="O492" s="173">
        <f t="shared" si="102"/>
        <v>58.583333333333336</v>
      </c>
      <c r="P492" s="173">
        <f t="shared" si="106"/>
        <v>0.6666666666666714</v>
      </c>
      <c r="Q492" s="177">
        <f t="shared" si="105"/>
        <v>1.1510791366906557E-2</v>
      </c>
    </row>
    <row r="493" spans="2:17" x14ac:dyDescent="0.2">
      <c r="B493" t="s">
        <v>452</v>
      </c>
      <c r="C493">
        <v>63</v>
      </c>
      <c r="D493">
        <v>66</v>
      </c>
      <c r="E493">
        <v>66</v>
      </c>
      <c r="F493">
        <v>59</v>
      </c>
      <c r="G493">
        <v>69</v>
      </c>
      <c r="H493">
        <v>72</v>
      </c>
      <c r="I493">
        <v>76</v>
      </c>
      <c r="J493">
        <v>75</v>
      </c>
      <c r="K493">
        <v>81</v>
      </c>
      <c r="L493">
        <v>82</v>
      </c>
      <c r="M493">
        <v>70</v>
      </c>
      <c r="N493">
        <v>80</v>
      </c>
      <c r="O493" s="173">
        <f t="shared" si="102"/>
        <v>71.583333333333329</v>
      </c>
      <c r="P493" s="173">
        <f t="shared" si="106"/>
        <v>12.999999999999993</v>
      </c>
      <c r="Q493" s="177">
        <f t="shared" si="105"/>
        <v>0.22190611664295862</v>
      </c>
    </row>
    <row r="494" spans="2:17" x14ac:dyDescent="0.2">
      <c r="B494" t="s">
        <v>487</v>
      </c>
      <c r="C494">
        <v>72</v>
      </c>
      <c r="D494">
        <v>71</v>
      </c>
      <c r="E494">
        <v>74</v>
      </c>
      <c r="F494">
        <v>75</v>
      </c>
      <c r="G494">
        <v>69</v>
      </c>
      <c r="H494">
        <v>74</v>
      </c>
      <c r="I494">
        <v>72</v>
      </c>
      <c r="J494">
        <v>74</v>
      </c>
      <c r="K494">
        <v>79</v>
      </c>
      <c r="L494">
        <v>82</v>
      </c>
      <c r="M494">
        <v>87</v>
      </c>
      <c r="N494">
        <v>87</v>
      </c>
      <c r="O494" s="173">
        <f t="shared" si="102"/>
        <v>76.333333333333329</v>
      </c>
      <c r="P494" s="173">
        <f t="shared" si="106"/>
        <v>4.75</v>
      </c>
      <c r="Q494" s="177">
        <f t="shared" si="105"/>
        <v>6.6356228172293363E-2</v>
      </c>
    </row>
    <row r="495" spans="2:17" x14ac:dyDescent="0.2">
      <c r="B495" t="s">
        <v>561</v>
      </c>
      <c r="C495">
        <v>94</v>
      </c>
      <c r="D495">
        <v>94</v>
      </c>
      <c r="E495">
        <v>101</v>
      </c>
      <c r="F495">
        <v>108</v>
      </c>
      <c r="G495">
        <v>108</v>
      </c>
      <c r="H495">
        <v>107</v>
      </c>
      <c r="I495">
        <v>98</v>
      </c>
      <c r="J495">
        <v>97</v>
      </c>
      <c r="K495">
        <v>96</v>
      </c>
      <c r="L495">
        <v>98</v>
      </c>
      <c r="M495">
        <v>100</v>
      </c>
      <c r="N495">
        <v>101</v>
      </c>
      <c r="O495" s="173">
        <f t="shared" si="102"/>
        <v>100.16666666666667</v>
      </c>
      <c r="P495" s="173">
        <f t="shared" si="106"/>
        <v>23.833333333333343</v>
      </c>
      <c r="Q495" s="177">
        <f t="shared" si="105"/>
        <v>0.31222707423580798</v>
      </c>
    </row>
    <row r="496" spans="2:17" x14ac:dyDescent="0.2">
      <c r="B496" t="s">
        <v>660</v>
      </c>
      <c r="C496">
        <v>101</v>
      </c>
      <c r="D496">
        <v>96</v>
      </c>
      <c r="E496">
        <v>102</v>
      </c>
      <c r="F496">
        <v>105</v>
      </c>
      <c r="G496">
        <v>103</v>
      </c>
      <c r="H496">
        <v>104</v>
      </c>
      <c r="I496">
        <v>101</v>
      </c>
      <c r="J496">
        <v>103</v>
      </c>
      <c r="K496">
        <v>94</v>
      </c>
      <c r="L496">
        <v>106</v>
      </c>
      <c r="M496">
        <v>101</v>
      </c>
      <c r="N496">
        <v>100</v>
      </c>
      <c r="O496" s="173">
        <f t="shared" si="102"/>
        <v>101.33333333333333</v>
      </c>
      <c r="P496" s="173">
        <f>SUM(O496-O495)</f>
        <v>1.1666666666666572</v>
      </c>
      <c r="Q496" s="177">
        <f>SUM(P496/O495)</f>
        <v>1.1647254575707059E-2</v>
      </c>
    </row>
    <row r="497" spans="1:17" x14ac:dyDescent="0.2">
      <c r="B497" t="s">
        <v>661</v>
      </c>
      <c r="C497">
        <v>95</v>
      </c>
      <c r="D497">
        <v>93</v>
      </c>
      <c r="E497">
        <v>93</v>
      </c>
      <c r="O497" s="173"/>
      <c r="P497" s="173"/>
      <c r="Q497" s="177"/>
    </row>
    <row r="498" spans="1:17" x14ac:dyDescent="0.2">
      <c r="O498" s="173"/>
      <c r="P498" s="173"/>
      <c r="Q498" s="177"/>
    </row>
    <row r="499" spans="1:17" ht="25.5" x14ac:dyDescent="0.2">
      <c r="A499" s="175" t="s">
        <v>464</v>
      </c>
      <c r="B499" s="176" t="s">
        <v>433</v>
      </c>
      <c r="C499" s="179" t="s">
        <v>434</v>
      </c>
      <c r="D499" s="179" t="s">
        <v>435</v>
      </c>
      <c r="E499" s="179" t="s">
        <v>436</v>
      </c>
      <c r="F499" s="179" t="s">
        <v>437</v>
      </c>
      <c r="G499" s="179" t="s">
        <v>438</v>
      </c>
      <c r="H499" s="179" t="s">
        <v>439</v>
      </c>
      <c r="I499" s="179" t="s">
        <v>440</v>
      </c>
      <c r="J499" s="179" t="s">
        <v>441</v>
      </c>
      <c r="K499" s="179" t="s">
        <v>442</v>
      </c>
      <c r="L499" s="179" t="s">
        <v>443</v>
      </c>
      <c r="M499" s="179" t="s">
        <v>444</v>
      </c>
      <c r="N499" s="179" t="s">
        <v>445</v>
      </c>
    </row>
    <row r="500" spans="1:17" x14ac:dyDescent="0.2">
      <c r="B500" t="s">
        <v>449</v>
      </c>
      <c r="C500">
        <v>438</v>
      </c>
      <c r="D500">
        <v>444</v>
      </c>
      <c r="E500">
        <v>446</v>
      </c>
      <c r="F500">
        <v>441</v>
      </c>
      <c r="G500">
        <v>444</v>
      </c>
      <c r="H500">
        <v>449</v>
      </c>
      <c r="I500">
        <v>447</v>
      </c>
      <c r="J500">
        <v>460</v>
      </c>
      <c r="K500">
        <v>465</v>
      </c>
      <c r="L500">
        <v>463</v>
      </c>
      <c r="M500">
        <v>469</v>
      </c>
      <c r="N500">
        <v>478</v>
      </c>
      <c r="O500" s="173">
        <f t="shared" ref="O500:O515" si="107">SUM(C500:N500)/12</f>
        <v>453.66666666666669</v>
      </c>
      <c r="P500" s="173"/>
    </row>
    <row r="501" spans="1:17" x14ac:dyDescent="0.2">
      <c r="B501" t="s">
        <v>450</v>
      </c>
      <c r="C501">
        <v>474</v>
      </c>
      <c r="D501">
        <v>481</v>
      </c>
      <c r="E501">
        <v>491</v>
      </c>
      <c r="F501">
        <v>478</v>
      </c>
      <c r="G501">
        <v>472</v>
      </c>
      <c r="H501">
        <v>477</v>
      </c>
      <c r="I501">
        <v>476</v>
      </c>
      <c r="J501">
        <v>470</v>
      </c>
      <c r="K501">
        <v>467</v>
      </c>
      <c r="L501">
        <v>480</v>
      </c>
      <c r="M501">
        <v>461</v>
      </c>
      <c r="N501">
        <v>449</v>
      </c>
      <c r="O501" s="173">
        <f t="shared" si="107"/>
        <v>473</v>
      </c>
      <c r="P501" s="173">
        <f t="shared" ref="P501:P508" si="108">SUM(O501-O500)</f>
        <v>19.333333333333314</v>
      </c>
      <c r="Q501" s="177">
        <f t="shared" ref="Q501:Q507" si="109">SUM(P501/O500)</f>
        <v>4.261572373254955E-2</v>
      </c>
    </row>
    <row r="502" spans="1:17" x14ac:dyDescent="0.2">
      <c r="B502" t="s">
        <v>451</v>
      </c>
      <c r="C502">
        <v>463</v>
      </c>
      <c r="D502">
        <v>474</v>
      </c>
      <c r="E502">
        <v>480</v>
      </c>
      <c r="F502">
        <v>457</v>
      </c>
      <c r="G502">
        <v>459</v>
      </c>
      <c r="H502">
        <v>469</v>
      </c>
      <c r="I502">
        <v>460</v>
      </c>
      <c r="J502">
        <v>446</v>
      </c>
      <c r="K502">
        <v>457</v>
      </c>
      <c r="L502">
        <v>468</v>
      </c>
      <c r="M502">
        <v>479</v>
      </c>
      <c r="N502">
        <v>490</v>
      </c>
      <c r="O502" s="173">
        <f t="shared" si="107"/>
        <v>466.83333333333331</v>
      </c>
      <c r="P502" s="173">
        <f t="shared" si="108"/>
        <v>-6.1666666666666856</v>
      </c>
      <c r="Q502" s="177">
        <f t="shared" si="109"/>
        <v>-1.3037350246652613E-2</v>
      </c>
    </row>
    <row r="503" spans="1:17" x14ac:dyDescent="0.2">
      <c r="B503" t="s">
        <v>267</v>
      </c>
      <c r="C503">
        <v>537</v>
      </c>
      <c r="D503">
        <v>544</v>
      </c>
      <c r="E503">
        <v>514</v>
      </c>
      <c r="F503">
        <v>562</v>
      </c>
      <c r="G503">
        <v>557</v>
      </c>
      <c r="H503">
        <v>551</v>
      </c>
      <c r="I503">
        <v>545</v>
      </c>
      <c r="J503">
        <v>538</v>
      </c>
      <c r="K503">
        <v>525</v>
      </c>
      <c r="L503">
        <v>518</v>
      </c>
      <c r="M503">
        <v>502</v>
      </c>
      <c r="N503">
        <v>506</v>
      </c>
      <c r="O503" s="173">
        <f t="shared" si="107"/>
        <v>533.25</v>
      </c>
      <c r="P503" s="173">
        <f t="shared" si="108"/>
        <v>66.416666666666686</v>
      </c>
      <c r="Q503" s="177">
        <f t="shared" si="109"/>
        <v>0.14227061763655841</v>
      </c>
    </row>
    <row r="504" spans="1:17" x14ac:dyDescent="0.2">
      <c r="B504" t="s">
        <v>266</v>
      </c>
      <c r="C504">
        <v>519</v>
      </c>
      <c r="D504">
        <v>507</v>
      </c>
      <c r="E504">
        <v>516</v>
      </c>
      <c r="F504">
        <v>509</v>
      </c>
      <c r="G504">
        <v>495</v>
      </c>
      <c r="H504">
        <v>503</v>
      </c>
      <c r="I504">
        <v>484</v>
      </c>
      <c r="J504">
        <v>484</v>
      </c>
      <c r="K504">
        <v>477</v>
      </c>
      <c r="L504">
        <v>470</v>
      </c>
      <c r="M504">
        <v>474</v>
      </c>
      <c r="N504">
        <v>464</v>
      </c>
      <c r="O504" s="173">
        <f t="shared" si="107"/>
        <v>491.83333333333331</v>
      </c>
      <c r="P504" s="173">
        <f t="shared" si="108"/>
        <v>-41.416666666666686</v>
      </c>
      <c r="Q504" s="177">
        <f t="shared" si="109"/>
        <v>-7.7668385685263353E-2</v>
      </c>
    </row>
    <row r="505" spans="1:17" x14ac:dyDescent="0.2">
      <c r="B505" t="s">
        <v>287</v>
      </c>
      <c r="C505">
        <v>472</v>
      </c>
      <c r="D505">
        <v>489</v>
      </c>
      <c r="E505">
        <v>468</v>
      </c>
      <c r="F505">
        <v>461</v>
      </c>
      <c r="G505">
        <v>460</v>
      </c>
      <c r="H505">
        <v>449</v>
      </c>
      <c r="I505">
        <v>436</v>
      </c>
      <c r="J505">
        <v>442</v>
      </c>
      <c r="K505">
        <v>445</v>
      </c>
      <c r="L505">
        <v>458</v>
      </c>
      <c r="M505">
        <v>472</v>
      </c>
      <c r="N505">
        <v>480</v>
      </c>
      <c r="O505" s="173">
        <f t="shared" si="107"/>
        <v>461</v>
      </c>
      <c r="P505" s="173">
        <f t="shared" si="108"/>
        <v>-30.833333333333314</v>
      </c>
      <c r="Q505" s="177">
        <f t="shared" si="109"/>
        <v>-6.2690613351406271E-2</v>
      </c>
    </row>
    <row r="506" spans="1:17" x14ac:dyDescent="0.2">
      <c r="B506" t="s">
        <v>297</v>
      </c>
      <c r="C506">
        <v>478</v>
      </c>
      <c r="D506">
        <v>478</v>
      </c>
      <c r="E506">
        <v>474</v>
      </c>
      <c r="F506">
        <v>493</v>
      </c>
      <c r="G506">
        <v>488</v>
      </c>
      <c r="H506">
        <v>495</v>
      </c>
      <c r="I506">
        <v>507</v>
      </c>
      <c r="J506">
        <v>499</v>
      </c>
      <c r="K506">
        <v>500</v>
      </c>
      <c r="L506">
        <v>518</v>
      </c>
      <c r="M506">
        <v>540</v>
      </c>
      <c r="N506">
        <v>551</v>
      </c>
      <c r="O506" s="173">
        <f t="shared" si="107"/>
        <v>501.75</v>
      </c>
      <c r="P506" s="173">
        <f t="shared" si="108"/>
        <v>40.75</v>
      </c>
      <c r="Q506" s="177">
        <f t="shared" si="109"/>
        <v>8.8394793926247286E-2</v>
      </c>
    </row>
    <row r="507" spans="1:17" x14ac:dyDescent="0.2">
      <c r="B507" t="s">
        <v>300</v>
      </c>
      <c r="C507">
        <v>551</v>
      </c>
      <c r="D507">
        <v>536</v>
      </c>
      <c r="E507">
        <v>521</v>
      </c>
      <c r="F507">
        <v>522</v>
      </c>
      <c r="G507">
        <v>527</v>
      </c>
      <c r="H507">
        <v>545</v>
      </c>
      <c r="I507">
        <v>548</v>
      </c>
      <c r="J507">
        <v>549</v>
      </c>
      <c r="K507">
        <v>549</v>
      </c>
      <c r="L507">
        <v>650</v>
      </c>
      <c r="M507">
        <v>666</v>
      </c>
      <c r="N507">
        <v>591</v>
      </c>
      <c r="O507" s="173">
        <f t="shared" si="107"/>
        <v>562.91666666666663</v>
      </c>
      <c r="P507" s="173">
        <f t="shared" si="108"/>
        <v>61.166666666666629</v>
      </c>
      <c r="Q507" s="177">
        <f t="shared" si="109"/>
        <v>0.12190666002325187</v>
      </c>
    </row>
    <row r="508" spans="1:17" x14ac:dyDescent="0.2">
      <c r="B508" t="s">
        <v>301</v>
      </c>
      <c r="C508">
        <v>596</v>
      </c>
      <c r="D508">
        <v>617</v>
      </c>
      <c r="E508">
        <v>722</v>
      </c>
      <c r="F508">
        <v>657</v>
      </c>
      <c r="G508">
        <v>723</v>
      </c>
      <c r="H508">
        <v>717</v>
      </c>
      <c r="I508">
        <v>729</v>
      </c>
      <c r="J508">
        <v>730</v>
      </c>
      <c r="K508">
        <v>721</v>
      </c>
      <c r="L508">
        <v>721</v>
      </c>
      <c r="M508">
        <v>754</v>
      </c>
      <c r="N508">
        <v>770</v>
      </c>
      <c r="O508" s="173">
        <f t="shared" si="107"/>
        <v>704.75</v>
      </c>
      <c r="P508" s="173">
        <f t="shared" si="108"/>
        <v>141.83333333333337</v>
      </c>
      <c r="Q508" s="177">
        <f t="shared" ref="Q508:Q514" si="110">SUM(P508/O507)</f>
        <v>0.25196150999259814</v>
      </c>
    </row>
    <row r="509" spans="1:17" x14ac:dyDescent="0.2">
      <c r="B509" t="s">
        <v>302</v>
      </c>
      <c r="C509">
        <v>711</v>
      </c>
      <c r="D509">
        <v>710</v>
      </c>
      <c r="E509">
        <v>721</v>
      </c>
      <c r="F509">
        <v>726</v>
      </c>
      <c r="G509">
        <v>736</v>
      </c>
      <c r="H509">
        <v>731</v>
      </c>
      <c r="I509">
        <v>722</v>
      </c>
      <c r="J509">
        <v>719</v>
      </c>
      <c r="K509">
        <v>722</v>
      </c>
      <c r="L509">
        <v>750</v>
      </c>
      <c r="M509">
        <v>759</v>
      </c>
      <c r="N509">
        <v>764</v>
      </c>
      <c r="O509" s="173">
        <f t="shared" si="107"/>
        <v>730.91666666666663</v>
      </c>
      <c r="P509" s="173">
        <f t="shared" ref="P509:P514" si="111">SUM(O509-O508)</f>
        <v>26.166666666666629</v>
      </c>
      <c r="Q509" s="177">
        <f t="shared" si="110"/>
        <v>3.7129005557526254E-2</v>
      </c>
    </row>
    <row r="510" spans="1:17" x14ac:dyDescent="0.2">
      <c r="B510" t="s">
        <v>347</v>
      </c>
      <c r="C510">
        <v>750</v>
      </c>
      <c r="D510">
        <v>743</v>
      </c>
      <c r="E510">
        <v>732</v>
      </c>
      <c r="F510">
        <v>728</v>
      </c>
      <c r="G510">
        <v>713</v>
      </c>
      <c r="H510">
        <v>774</v>
      </c>
      <c r="I510">
        <v>746</v>
      </c>
      <c r="J510">
        <v>760</v>
      </c>
      <c r="K510">
        <v>768</v>
      </c>
      <c r="L510">
        <v>783</v>
      </c>
      <c r="M510">
        <v>769</v>
      </c>
      <c r="N510">
        <v>766</v>
      </c>
      <c r="O510" s="173">
        <f t="shared" si="107"/>
        <v>752.66666666666663</v>
      </c>
      <c r="P510" s="173">
        <f t="shared" si="111"/>
        <v>21.75</v>
      </c>
      <c r="Q510" s="177">
        <f t="shared" si="110"/>
        <v>2.9757154258351386E-2</v>
      </c>
    </row>
    <row r="511" spans="1:17" x14ac:dyDescent="0.2">
      <c r="B511" t="s">
        <v>370</v>
      </c>
      <c r="C511">
        <v>793</v>
      </c>
      <c r="D511">
        <v>763</v>
      </c>
      <c r="E511">
        <v>771</v>
      </c>
      <c r="F511">
        <v>782</v>
      </c>
      <c r="G511">
        <v>756</v>
      </c>
      <c r="H511">
        <v>768</v>
      </c>
      <c r="I511">
        <v>763</v>
      </c>
      <c r="J511">
        <v>762</v>
      </c>
      <c r="K511">
        <v>773</v>
      </c>
      <c r="L511">
        <v>776</v>
      </c>
      <c r="M511">
        <v>743</v>
      </c>
      <c r="N511">
        <v>744</v>
      </c>
      <c r="O511" s="173">
        <f t="shared" si="107"/>
        <v>766.16666666666663</v>
      </c>
      <c r="P511" s="173">
        <f t="shared" si="111"/>
        <v>13.5</v>
      </c>
      <c r="Q511" s="177">
        <f t="shared" si="110"/>
        <v>1.7936226749335697E-2</v>
      </c>
    </row>
    <row r="512" spans="1:17" x14ac:dyDescent="0.2">
      <c r="B512" t="s">
        <v>452</v>
      </c>
      <c r="C512">
        <v>746</v>
      </c>
      <c r="D512">
        <v>738</v>
      </c>
      <c r="E512">
        <v>726</v>
      </c>
      <c r="F512">
        <v>723</v>
      </c>
      <c r="G512">
        <v>723</v>
      </c>
      <c r="H512">
        <v>711</v>
      </c>
      <c r="I512">
        <v>722</v>
      </c>
      <c r="J512">
        <v>715</v>
      </c>
      <c r="K512">
        <v>701</v>
      </c>
      <c r="L512">
        <v>696</v>
      </c>
      <c r="M512">
        <v>716</v>
      </c>
      <c r="N512">
        <v>722</v>
      </c>
      <c r="O512" s="173">
        <f t="shared" si="107"/>
        <v>719.91666666666663</v>
      </c>
      <c r="P512" s="173">
        <f t="shared" si="111"/>
        <v>-46.25</v>
      </c>
      <c r="Q512" s="177">
        <f t="shared" si="110"/>
        <v>-6.0365455731999133E-2</v>
      </c>
    </row>
    <row r="513" spans="1:18" x14ac:dyDescent="0.2">
      <c r="B513" t="s">
        <v>487</v>
      </c>
      <c r="C513">
        <v>720</v>
      </c>
      <c r="D513">
        <v>754</v>
      </c>
      <c r="E513">
        <v>702</v>
      </c>
      <c r="F513">
        <v>720</v>
      </c>
      <c r="G513">
        <v>705</v>
      </c>
      <c r="H513">
        <v>715</v>
      </c>
      <c r="I513">
        <v>712</v>
      </c>
      <c r="J513">
        <v>720</v>
      </c>
      <c r="K513">
        <v>712</v>
      </c>
      <c r="L513">
        <v>709</v>
      </c>
      <c r="M513">
        <v>704</v>
      </c>
      <c r="N513">
        <v>720</v>
      </c>
      <c r="O513" s="173">
        <f t="shared" si="107"/>
        <v>716.08333333333337</v>
      </c>
      <c r="P513" s="173">
        <f t="shared" si="111"/>
        <v>-3.8333333333332575</v>
      </c>
      <c r="Q513" s="177">
        <f t="shared" si="110"/>
        <v>-5.3246903576801823E-3</v>
      </c>
    </row>
    <row r="514" spans="1:18" x14ac:dyDescent="0.2">
      <c r="B514" t="s">
        <v>561</v>
      </c>
      <c r="C514">
        <v>726</v>
      </c>
      <c r="D514">
        <v>712</v>
      </c>
      <c r="E514">
        <v>724</v>
      </c>
      <c r="F514">
        <v>708</v>
      </c>
      <c r="G514">
        <v>701</v>
      </c>
      <c r="H514">
        <v>715</v>
      </c>
      <c r="I514">
        <v>708</v>
      </c>
      <c r="J514">
        <v>702</v>
      </c>
      <c r="K514">
        <v>695</v>
      </c>
      <c r="L514">
        <v>713</v>
      </c>
      <c r="M514">
        <v>720</v>
      </c>
      <c r="N514">
        <v>732</v>
      </c>
      <c r="O514" s="173">
        <f t="shared" si="107"/>
        <v>713</v>
      </c>
      <c r="P514" s="173">
        <f t="shared" si="111"/>
        <v>-3.0833333333333712</v>
      </c>
      <c r="Q514" s="177">
        <f t="shared" si="110"/>
        <v>-4.3058303270104101E-3</v>
      </c>
    </row>
    <row r="515" spans="1:18" x14ac:dyDescent="0.2">
      <c r="B515" t="s">
        <v>660</v>
      </c>
      <c r="C515">
        <v>712</v>
      </c>
      <c r="D515">
        <v>705</v>
      </c>
      <c r="E515">
        <v>689</v>
      </c>
      <c r="F515">
        <v>668</v>
      </c>
      <c r="G515">
        <v>662</v>
      </c>
      <c r="H515">
        <v>644</v>
      </c>
      <c r="I515">
        <v>641</v>
      </c>
      <c r="J515">
        <v>629</v>
      </c>
      <c r="K515">
        <v>652</v>
      </c>
      <c r="L515">
        <v>643</v>
      </c>
      <c r="M515">
        <v>652</v>
      </c>
      <c r="N515">
        <v>662</v>
      </c>
      <c r="O515" s="173">
        <f t="shared" si="107"/>
        <v>663.25</v>
      </c>
      <c r="P515" s="173">
        <f>SUM(O515-O514)</f>
        <v>-49.75</v>
      </c>
      <c r="Q515" s="177">
        <f>SUM(P515/O514)</f>
        <v>-6.9775596072931281E-2</v>
      </c>
    </row>
    <row r="516" spans="1:18" x14ac:dyDescent="0.2">
      <c r="B516" t="s">
        <v>661</v>
      </c>
      <c r="C516">
        <v>637</v>
      </c>
      <c r="D516">
        <v>640</v>
      </c>
      <c r="E516">
        <v>638</v>
      </c>
      <c r="O516" s="173"/>
      <c r="P516" s="173"/>
      <c r="Q516" s="177"/>
    </row>
    <row r="517" spans="1:18" x14ac:dyDescent="0.2">
      <c r="O517" s="173"/>
      <c r="P517" s="173"/>
      <c r="Q517" s="177"/>
    </row>
    <row r="518" spans="1:18" x14ac:dyDescent="0.2">
      <c r="A518" s="178"/>
      <c r="B518" s="178"/>
      <c r="C518" s="178"/>
      <c r="D518" s="178"/>
      <c r="E518" s="178"/>
      <c r="F518" s="178"/>
      <c r="G518" s="178"/>
      <c r="H518" s="178"/>
      <c r="I518" s="178"/>
      <c r="J518" s="178"/>
      <c r="K518" s="178"/>
      <c r="L518" s="178"/>
      <c r="M518" s="178"/>
      <c r="N518" s="178"/>
      <c r="O518" s="178"/>
      <c r="P518" s="178"/>
      <c r="Q518" s="178"/>
    </row>
    <row r="519" spans="1:18" ht="25.5" x14ac:dyDescent="0.2">
      <c r="A519" s="175" t="s">
        <v>465</v>
      </c>
      <c r="B519" s="176" t="s">
        <v>433</v>
      </c>
      <c r="C519" s="179" t="s">
        <v>434</v>
      </c>
      <c r="D519" s="179" t="s">
        <v>435</v>
      </c>
      <c r="E519" s="179" t="s">
        <v>436</v>
      </c>
      <c r="F519" s="179" t="s">
        <v>437</v>
      </c>
      <c r="G519" s="179" t="s">
        <v>438</v>
      </c>
      <c r="H519" s="179" t="s">
        <v>439</v>
      </c>
      <c r="I519" s="179" t="s">
        <v>440</v>
      </c>
      <c r="J519" s="179" t="s">
        <v>441</v>
      </c>
      <c r="K519" s="179" t="s">
        <v>442</v>
      </c>
      <c r="L519" s="179" t="s">
        <v>443</v>
      </c>
      <c r="M519" s="179" t="s">
        <v>444</v>
      </c>
      <c r="N519" s="179" t="s">
        <v>445</v>
      </c>
    </row>
    <row r="520" spans="1:18" x14ac:dyDescent="0.2">
      <c r="B520" t="s">
        <v>449</v>
      </c>
      <c r="C520">
        <v>51</v>
      </c>
      <c r="D520">
        <v>44</v>
      </c>
      <c r="E520">
        <v>43</v>
      </c>
      <c r="F520">
        <v>39</v>
      </c>
      <c r="G520">
        <v>39</v>
      </c>
      <c r="H520">
        <v>39</v>
      </c>
      <c r="I520">
        <v>43</v>
      </c>
      <c r="J520">
        <v>41</v>
      </c>
      <c r="K520">
        <v>42</v>
      </c>
      <c r="L520">
        <v>42</v>
      </c>
      <c r="M520">
        <v>43</v>
      </c>
      <c r="N520">
        <v>40</v>
      </c>
      <c r="O520" s="173">
        <f t="shared" ref="O520:O535" si="112">SUM(C520:N520)/12</f>
        <v>42.166666666666664</v>
      </c>
      <c r="P520" s="173"/>
    </row>
    <row r="521" spans="1:18" x14ac:dyDescent="0.2">
      <c r="B521" t="s">
        <v>450</v>
      </c>
      <c r="C521">
        <v>43</v>
      </c>
      <c r="D521">
        <v>47</v>
      </c>
      <c r="E521">
        <v>47</v>
      </c>
      <c r="F521">
        <v>51</v>
      </c>
      <c r="G521">
        <v>46</v>
      </c>
      <c r="H521">
        <v>44</v>
      </c>
      <c r="I521">
        <v>48</v>
      </c>
      <c r="J521">
        <v>41</v>
      </c>
      <c r="K521">
        <v>47</v>
      </c>
      <c r="L521">
        <v>44</v>
      </c>
      <c r="M521">
        <v>43</v>
      </c>
      <c r="N521">
        <v>46</v>
      </c>
      <c r="O521" s="173">
        <f t="shared" si="112"/>
        <v>45.583333333333336</v>
      </c>
      <c r="P521" s="173">
        <f t="shared" ref="P521:P528" si="113">SUM(O521-O520)</f>
        <v>3.4166666666666714</v>
      </c>
      <c r="Q521" s="177">
        <f t="shared" ref="Q521:Q527" si="114">SUM(P521/O520)</f>
        <v>8.1027667984189838E-2</v>
      </c>
    </row>
    <row r="522" spans="1:18" x14ac:dyDescent="0.2">
      <c r="B522" t="s">
        <v>451</v>
      </c>
      <c r="C522">
        <v>45</v>
      </c>
      <c r="D522">
        <v>49</v>
      </c>
      <c r="E522">
        <v>48</v>
      </c>
      <c r="F522">
        <v>51</v>
      </c>
      <c r="G522">
        <v>51</v>
      </c>
      <c r="H522">
        <v>46</v>
      </c>
      <c r="I522">
        <v>49</v>
      </c>
      <c r="J522">
        <v>45</v>
      </c>
      <c r="K522">
        <v>46</v>
      </c>
      <c r="L522">
        <v>47</v>
      </c>
      <c r="M522">
        <v>48</v>
      </c>
      <c r="N522">
        <v>49</v>
      </c>
      <c r="O522" s="173">
        <f t="shared" si="112"/>
        <v>47.833333333333336</v>
      </c>
      <c r="P522" s="173">
        <f t="shared" si="113"/>
        <v>2.25</v>
      </c>
      <c r="Q522" s="177">
        <f t="shared" si="114"/>
        <v>4.9360146252285186E-2</v>
      </c>
    </row>
    <row r="523" spans="1:18" x14ac:dyDescent="0.2">
      <c r="B523" t="s">
        <v>267</v>
      </c>
      <c r="C523">
        <v>35</v>
      </c>
      <c r="D523">
        <v>35</v>
      </c>
      <c r="E523">
        <v>36</v>
      </c>
      <c r="F523">
        <v>39</v>
      </c>
      <c r="G523">
        <v>39</v>
      </c>
      <c r="H523">
        <v>43</v>
      </c>
      <c r="I523">
        <v>47</v>
      </c>
      <c r="J523">
        <v>45</v>
      </c>
      <c r="K523">
        <v>47</v>
      </c>
      <c r="L523">
        <v>51</v>
      </c>
      <c r="M523">
        <v>47</v>
      </c>
      <c r="N523">
        <v>45</v>
      </c>
      <c r="O523" s="173">
        <f t="shared" si="112"/>
        <v>42.416666666666664</v>
      </c>
      <c r="P523" s="173">
        <f t="shared" si="113"/>
        <v>-5.4166666666666714</v>
      </c>
      <c r="Q523" s="177">
        <f t="shared" si="114"/>
        <v>-0.113240418118467</v>
      </c>
    </row>
    <row r="524" spans="1:18" x14ac:dyDescent="0.2">
      <c r="B524" t="s">
        <v>266</v>
      </c>
      <c r="C524">
        <v>55</v>
      </c>
      <c r="D524">
        <v>51</v>
      </c>
      <c r="E524">
        <v>49</v>
      </c>
      <c r="F524">
        <v>51</v>
      </c>
      <c r="G524">
        <v>52</v>
      </c>
      <c r="H524">
        <v>54</v>
      </c>
      <c r="I524">
        <v>55</v>
      </c>
      <c r="J524">
        <v>55</v>
      </c>
      <c r="K524">
        <v>42</v>
      </c>
      <c r="L524">
        <v>38</v>
      </c>
      <c r="M524">
        <v>85</v>
      </c>
      <c r="N524">
        <v>81</v>
      </c>
      <c r="O524" s="173">
        <f t="shared" si="112"/>
        <v>55.666666666666664</v>
      </c>
      <c r="P524" s="173">
        <f t="shared" si="113"/>
        <v>13.25</v>
      </c>
      <c r="Q524" s="177">
        <f t="shared" si="114"/>
        <v>0.31237721021611004</v>
      </c>
    </row>
    <row r="525" spans="1:18" x14ac:dyDescent="0.2">
      <c r="B525" t="s">
        <v>287</v>
      </c>
      <c r="C525">
        <v>81</v>
      </c>
      <c r="D525">
        <v>81</v>
      </c>
      <c r="E525">
        <v>74</v>
      </c>
      <c r="F525">
        <v>79</v>
      </c>
      <c r="G525">
        <v>77</v>
      </c>
      <c r="H525">
        <v>77</v>
      </c>
      <c r="I525">
        <v>74</v>
      </c>
      <c r="J525">
        <v>74</v>
      </c>
      <c r="K525">
        <v>74</v>
      </c>
      <c r="L525">
        <v>75</v>
      </c>
      <c r="M525">
        <v>75</v>
      </c>
      <c r="N525">
        <v>76</v>
      </c>
      <c r="O525" s="173">
        <f t="shared" si="112"/>
        <v>76.416666666666671</v>
      </c>
      <c r="P525" s="173">
        <f t="shared" si="113"/>
        <v>20.750000000000007</v>
      </c>
      <c r="Q525" s="177">
        <f t="shared" si="114"/>
        <v>0.37275449101796421</v>
      </c>
    </row>
    <row r="526" spans="1:18" x14ac:dyDescent="0.2">
      <c r="B526" t="s">
        <v>297</v>
      </c>
      <c r="C526">
        <v>78</v>
      </c>
      <c r="D526">
        <v>76</v>
      </c>
      <c r="E526">
        <v>80</v>
      </c>
      <c r="F526">
        <v>81</v>
      </c>
      <c r="G526">
        <v>77</v>
      </c>
      <c r="H526">
        <v>76</v>
      </c>
      <c r="I526">
        <v>74</v>
      </c>
      <c r="J526">
        <v>76</v>
      </c>
      <c r="K526">
        <v>71</v>
      </c>
      <c r="L526">
        <v>71</v>
      </c>
      <c r="M526">
        <v>74</v>
      </c>
      <c r="N526">
        <v>75</v>
      </c>
      <c r="O526" s="173">
        <f t="shared" si="112"/>
        <v>75.75</v>
      </c>
      <c r="P526" s="173">
        <f t="shared" si="113"/>
        <v>-0.6666666666666714</v>
      </c>
      <c r="Q526" s="177">
        <f t="shared" si="114"/>
        <v>-8.7241003271538234E-3</v>
      </c>
    </row>
    <row r="527" spans="1:18" x14ac:dyDescent="0.2">
      <c r="B527" t="s">
        <v>300</v>
      </c>
      <c r="C527">
        <v>75</v>
      </c>
      <c r="D527">
        <v>74</v>
      </c>
      <c r="E527">
        <v>73</v>
      </c>
      <c r="F527">
        <v>72</v>
      </c>
      <c r="G527">
        <v>75</v>
      </c>
      <c r="H527">
        <v>74</v>
      </c>
      <c r="I527">
        <v>73</v>
      </c>
      <c r="J527">
        <v>73</v>
      </c>
      <c r="K527">
        <v>71</v>
      </c>
      <c r="L527">
        <v>84</v>
      </c>
      <c r="M527">
        <v>79</v>
      </c>
      <c r="N527">
        <v>74</v>
      </c>
      <c r="O527" s="173">
        <f t="shared" si="112"/>
        <v>74.75</v>
      </c>
      <c r="P527" s="173">
        <f t="shared" si="113"/>
        <v>-1</v>
      </c>
      <c r="Q527" s="177">
        <f t="shared" si="114"/>
        <v>-1.3201320132013201E-2</v>
      </c>
      <c r="R527" s="177"/>
    </row>
    <row r="528" spans="1:18" x14ac:dyDescent="0.2">
      <c r="B528" t="s">
        <v>301</v>
      </c>
      <c r="C528">
        <v>70</v>
      </c>
      <c r="D528">
        <v>68</v>
      </c>
      <c r="E528">
        <v>80</v>
      </c>
      <c r="F528">
        <v>73</v>
      </c>
      <c r="G528">
        <v>82</v>
      </c>
      <c r="H528">
        <v>81</v>
      </c>
      <c r="I528">
        <v>83</v>
      </c>
      <c r="J528">
        <v>80</v>
      </c>
      <c r="K528">
        <v>78</v>
      </c>
      <c r="L528">
        <v>78</v>
      </c>
      <c r="M528">
        <v>78</v>
      </c>
      <c r="N528">
        <v>86</v>
      </c>
      <c r="O528" s="173">
        <f t="shared" si="112"/>
        <v>78.083333333333329</v>
      </c>
      <c r="P528" s="173">
        <f t="shared" si="113"/>
        <v>3.3333333333333286</v>
      </c>
      <c r="Q528" s="177">
        <f t="shared" ref="Q528:Q534" si="115">SUM(P528/O527)</f>
        <v>4.4593088071348874E-2</v>
      </c>
    </row>
    <row r="529" spans="1:17" x14ac:dyDescent="0.2">
      <c r="B529" t="s">
        <v>302</v>
      </c>
      <c r="C529">
        <v>75</v>
      </c>
      <c r="D529">
        <v>74</v>
      </c>
      <c r="E529">
        <v>79</v>
      </c>
      <c r="F529">
        <v>77</v>
      </c>
      <c r="G529">
        <v>75</v>
      </c>
      <c r="H529">
        <v>66</v>
      </c>
      <c r="I529">
        <v>64</v>
      </c>
      <c r="J529">
        <v>64</v>
      </c>
      <c r="K529">
        <v>47</v>
      </c>
      <c r="L529">
        <v>47</v>
      </c>
      <c r="M529">
        <v>45</v>
      </c>
      <c r="N529">
        <v>47</v>
      </c>
      <c r="O529" s="173">
        <f t="shared" si="112"/>
        <v>63.333333333333336</v>
      </c>
      <c r="P529" s="173">
        <f t="shared" ref="P529:P534" si="116">SUM(O529-O528)</f>
        <v>-14.749999999999993</v>
      </c>
      <c r="Q529" s="177">
        <f t="shared" si="115"/>
        <v>-0.18890074706510132</v>
      </c>
    </row>
    <row r="530" spans="1:17" x14ac:dyDescent="0.2">
      <c r="B530" t="s">
        <v>347</v>
      </c>
      <c r="C530">
        <v>42</v>
      </c>
      <c r="D530">
        <v>43</v>
      </c>
      <c r="E530">
        <v>41</v>
      </c>
      <c r="F530">
        <v>41</v>
      </c>
      <c r="G530">
        <v>38</v>
      </c>
      <c r="H530">
        <v>54</v>
      </c>
      <c r="I530">
        <v>60</v>
      </c>
      <c r="J530">
        <v>53</v>
      </c>
      <c r="K530">
        <v>57</v>
      </c>
      <c r="L530">
        <v>45</v>
      </c>
      <c r="M530">
        <v>48</v>
      </c>
      <c r="N530">
        <v>49</v>
      </c>
      <c r="O530" s="173">
        <f t="shared" si="112"/>
        <v>47.583333333333336</v>
      </c>
      <c r="P530" s="173">
        <f t="shared" si="116"/>
        <v>-15.75</v>
      </c>
      <c r="Q530" s="177">
        <f t="shared" si="115"/>
        <v>-0.24868421052631579</v>
      </c>
    </row>
    <row r="531" spans="1:17" x14ac:dyDescent="0.2">
      <c r="B531" t="s">
        <v>370</v>
      </c>
      <c r="C531">
        <v>49</v>
      </c>
      <c r="D531">
        <v>51</v>
      </c>
      <c r="E531">
        <v>45</v>
      </c>
      <c r="F531">
        <v>54</v>
      </c>
      <c r="G531">
        <v>56</v>
      </c>
      <c r="H531">
        <v>56</v>
      </c>
      <c r="I531">
        <v>53</v>
      </c>
      <c r="J531">
        <v>50</v>
      </c>
      <c r="K531">
        <v>47</v>
      </c>
      <c r="L531">
        <v>44</v>
      </c>
      <c r="M531">
        <v>44</v>
      </c>
      <c r="N531">
        <v>52</v>
      </c>
      <c r="O531" s="173">
        <f t="shared" si="112"/>
        <v>50.083333333333336</v>
      </c>
      <c r="P531" s="173">
        <f>SUM(O531-O530)</f>
        <v>2.5</v>
      </c>
      <c r="Q531" s="177">
        <f>SUM(P531/O530)</f>
        <v>5.2539404553415062E-2</v>
      </c>
    </row>
    <row r="532" spans="1:17" x14ac:dyDescent="0.2">
      <c r="B532" t="s">
        <v>452</v>
      </c>
      <c r="C532">
        <v>54</v>
      </c>
      <c r="D532">
        <v>54</v>
      </c>
      <c r="E532">
        <v>51</v>
      </c>
      <c r="F532">
        <v>57</v>
      </c>
      <c r="G532">
        <v>56</v>
      </c>
      <c r="H532">
        <v>64</v>
      </c>
      <c r="I532">
        <v>66</v>
      </c>
      <c r="J532">
        <v>65</v>
      </c>
      <c r="K532">
        <v>65</v>
      </c>
      <c r="L532">
        <v>65</v>
      </c>
      <c r="M532">
        <v>72</v>
      </c>
      <c r="N532">
        <v>63</v>
      </c>
      <c r="O532" s="173">
        <f t="shared" si="112"/>
        <v>61</v>
      </c>
      <c r="P532" s="173">
        <f t="shared" si="116"/>
        <v>10.916666666666664</v>
      </c>
      <c r="Q532" s="177">
        <f t="shared" si="115"/>
        <v>0.21797004991680527</v>
      </c>
    </row>
    <row r="533" spans="1:17" x14ac:dyDescent="0.2">
      <c r="B533" t="s">
        <v>487</v>
      </c>
      <c r="C533">
        <v>67</v>
      </c>
      <c r="D533">
        <v>65</v>
      </c>
      <c r="E533">
        <v>65</v>
      </c>
      <c r="F533">
        <v>61</v>
      </c>
      <c r="G533">
        <v>59</v>
      </c>
      <c r="H533">
        <v>58</v>
      </c>
      <c r="I533">
        <v>53</v>
      </c>
      <c r="J533">
        <v>56</v>
      </c>
      <c r="K533">
        <v>57</v>
      </c>
      <c r="L533">
        <v>57</v>
      </c>
      <c r="M533">
        <v>52</v>
      </c>
      <c r="N533">
        <v>58</v>
      </c>
      <c r="O533" s="173">
        <f t="shared" si="112"/>
        <v>59</v>
      </c>
      <c r="P533" s="173">
        <f t="shared" si="116"/>
        <v>-2</v>
      </c>
      <c r="Q533" s="177">
        <f t="shared" si="115"/>
        <v>-3.2786885245901641E-2</v>
      </c>
    </row>
    <row r="534" spans="1:17" x14ac:dyDescent="0.2">
      <c r="B534" t="s">
        <v>561</v>
      </c>
      <c r="C534">
        <v>55</v>
      </c>
      <c r="D534">
        <v>43</v>
      </c>
      <c r="E534">
        <v>45</v>
      </c>
      <c r="F534">
        <v>45</v>
      </c>
      <c r="G534">
        <v>40</v>
      </c>
      <c r="H534">
        <v>45</v>
      </c>
      <c r="I534">
        <v>45</v>
      </c>
      <c r="J534">
        <v>49</v>
      </c>
      <c r="K534">
        <v>53</v>
      </c>
      <c r="L534">
        <v>50</v>
      </c>
      <c r="M534">
        <v>51</v>
      </c>
      <c r="N534">
        <v>50</v>
      </c>
      <c r="O534" s="173">
        <f t="shared" si="112"/>
        <v>47.583333333333336</v>
      </c>
      <c r="P534" s="173">
        <f t="shared" si="116"/>
        <v>-11.416666666666664</v>
      </c>
      <c r="Q534" s="177">
        <f t="shared" si="115"/>
        <v>-0.19350282485875703</v>
      </c>
    </row>
    <row r="535" spans="1:17" x14ac:dyDescent="0.2">
      <c r="B535" t="s">
        <v>660</v>
      </c>
      <c r="C535">
        <v>49</v>
      </c>
      <c r="D535">
        <v>44</v>
      </c>
      <c r="E535">
        <v>44</v>
      </c>
      <c r="F535">
        <v>47</v>
      </c>
      <c r="G535">
        <v>43</v>
      </c>
      <c r="H535">
        <v>42</v>
      </c>
      <c r="I535">
        <v>44</v>
      </c>
      <c r="J535">
        <v>47</v>
      </c>
      <c r="K535">
        <v>38</v>
      </c>
      <c r="L535">
        <v>13</v>
      </c>
      <c r="M535">
        <v>13</v>
      </c>
      <c r="N535">
        <v>11</v>
      </c>
      <c r="O535" s="173">
        <f t="shared" si="112"/>
        <v>36.25</v>
      </c>
      <c r="P535" s="173">
        <f>SUM(O535-O534)</f>
        <v>-11.333333333333336</v>
      </c>
      <c r="Q535" s="177">
        <f>SUM(P535/O534)</f>
        <v>-0.23817863397548164</v>
      </c>
    </row>
    <row r="536" spans="1:17" x14ac:dyDescent="0.2">
      <c r="B536" t="s">
        <v>661</v>
      </c>
      <c r="C536">
        <v>11</v>
      </c>
      <c r="D536">
        <v>11</v>
      </c>
      <c r="E536">
        <v>10</v>
      </c>
      <c r="O536" s="173"/>
      <c r="P536" s="173"/>
      <c r="Q536" s="177"/>
    </row>
    <row r="537" spans="1:17" x14ac:dyDescent="0.2">
      <c r="O537" s="173"/>
      <c r="P537" s="173"/>
      <c r="Q537" s="177"/>
    </row>
    <row r="538" spans="1:17" ht="24.75" customHeight="1" x14ac:dyDescent="0.2">
      <c r="A538" s="644" t="s">
        <v>466</v>
      </c>
      <c r="B538" s="179" t="s">
        <v>433</v>
      </c>
      <c r="C538" s="179" t="s">
        <v>434</v>
      </c>
      <c r="D538" s="179" t="s">
        <v>435</v>
      </c>
      <c r="E538" s="179" t="s">
        <v>436</v>
      </c>
      <c r="F538" s="179" t="s">
        <v>437</v>
      </c>
      <c r="G538" s="179" t="s">
        <v>438</v>
      </c>
      <c r="H538" s="179" t="s">
        <v>439</v>
      </c>
      <c r="I538" s="179" t="s">
        <v>440</v>
      </c>
      <c r="J538" s="179" t="s">
        <v>441</v>
      </c>
      <c r="K538" s="179" t="s">
        <v>442</v>
      </c>
      <c r="L538" s="179" t="s">
        <v>443</v>
      </c>
      <c r="M538" s="179" t="s">
        <v>444</v>
      </c>
      <c r="N538" s="179" t="s">
        <v>445</v>
      </c>
    </row>
    <row r="539" spans="1:17" x14ac:dyDescent="0.2">
      <c r="B539" t="s">
        <v>347</v>
      </c>
      <c r="H539">
        <v>120</v>
      </c>
      <c r="I539">
        <v>96</v>
      </c>
      <c r="J539">
        <v>123</v>
      </c>
      <c r="K539">
        <v>105</v>
      </c>
      <c r="L539">
        <v>122</v>
      </c>
      <c r="M539">
        <v>118</v>
      </c>
      <c r="N539">
        <v>118</v>
      </c>
      <c r="O539" s="173">
        <f>SUM(C539:N539)/7</f>
        <v>114.57142857142857</v>
      </c>
      <c r="P539" s="173"/>
      <c r="Q539" s="177"/>
    </row>
    <row r="540" spans="1:17" x14ac:dyDescent="0.2">
      <c r="B540" t="s">
        <v>370</v>
      </c>
      <c r="C540">
        <v>108</v>
      </c>
      <c r="D540">
        <v>110</v>
      </c>
      <c r="E540">
        <v>105</v>
      </c>
      <c r="F540">
        <v>102</v>
      </c>
      <c r="G540">
        <v>121</v>
      </c>
      <c r="H540">
        <v>133</v>
      </c>
      <c r="I540">
        <v>137</v>
      </c>
      <c r="J540">
        <v>129</v>
      </c>
      <c r="K540">
        <v>137</v>
      </c>
      <c r="L540">
        <v>140</v>
      </c>
      <c r="M540">
        <v>134</v>
      </c>
      <c r="N540">
        <v>128</v>
      </c>
      <c r="O540" s="173">
        <f>SUM(C540:N540)/12</f>
        <v>123.66666666666667</v>
      </c>
      <c r="P540" s="173">
        <f>SUM(O540-O539)</f>
        <v>9.095238095238102</v>
      </c>
      <c r="Q540" s="177">
        <f>SUM(P540/O539)</f>
        <v>7.9384871155444778E-2</v>
      </c>
    </row>
    <row r="541" spans="1:17" x14ac:dyDescent="0.2">
      <c r="B541" t="s">
        <v>452</v>
      </c>
      <c r="C541">
        <v>109</v>
      </c>
      <c r="D541">
        <v>111</v>
      </c>
      <c r="E541">
        <v>117</v>
      </c>
      <c r="F541">
        <v>117</v>
      </c>
      <c r="G541">
        <v>122</v>
      </c>
      <c r="H541">
        <v>122</v>
      </c>
      <c r="I541">
        <v>140</v>
      </c>
      <c r="J541">
        <v>138</v>
      </c>
      <c r="K541">
        <v>138</v>
      </c>
      <c r="L541">
        <v>107</v>
      </c>
      <c r="M541">
        <v>109</v>
      </c>
      <c r="N541">
        <v>128</v>
      </c>
      <c r="O541" s="173">
        <f>SUM(C541:N541)/12</f>
        <v>121.5</v>
      </c>
      <c r="P541" s="173">
        <f>SUM(O541-O540)</f>
        <v>-2.1666666666666714</v>
      </c>
      <c r="Q541" s="177">
        <f>SUM(P541/O540)</f>
        <v>-1.7520215633423219E-2</v>
      </c>
    </row>
    <row r="542" spans="1:17" x14ac:dyDescent="0.2">
      <c r="B542" t="s">
        <v>487</v>
      </c>
      <c r="C542">
        <v>109</v>
      </c>
      <c r="D542">
        <v>116</v>
      </c>
      <c r="E542">
        <v>125</v>
      </c>
      <c r="F542">
        <v>113</v>
      </c>
      <c r="G542">
        <v>99</v>
      </c>
      <c r="H542">
        <v>98</v>
      </c>
      <c r="I542">
        <v>107</v>
      </c>
      <c r="J542">
        <v>113</v>
      </c>
      <c r="K542">
        <v>118</v>
      </c>
      <c r="L542">
        <v>105</v>
      </c>
      <c r="M542">
        <v>107</v>
      </c>
      <c r="N542">
        <v>110</v>
      </c>
      <c r="O542" s="173">
        <f>SUM(C542:N542)/12</f>
        <v>110</v>
      </c>
      <c r="P542" s="173">
        <f>SUM(O542-O541)</f>
        <v>-11.5</v>
      </c>
      <c r="Q542" s="177">
        <f>SUM(P542/O541)</f>
        <v>-9.4650205761316872E-2</v>
      </c>
    </row>
    <row r="543" spans="1:17" x14ac:dyDescent="0.2">
      <c r="B543" t="s">
        <v>561</v>
      </c>
      <c r="C543">
        <v>111</v>
      </c>
      <c r="D543">
        <v>102</v>
      </c>
      <c r="E543">
        <v>122</v>
      </c>
      <c r="F543">
        <v>144</v>
      </c>
      <c r="G543">
        <v>154</v>
      </c>
      <c r="H543">
        <v>164</v>
      </c>
      <c r="I543">
        <v>164</v>
      </c>
      <c r="J543">
        <v>169</v>
      </c>
      <c r="K543">
        <v>164</v>
      </c>
      <c r="L543">
        <v>165</v>
      </c>
      <c r="M543">
        <v>161</v>
      </c>
      <c r="N543">
        <v>142</v>
      </c>
      <c r="O543" s="173">
        <f>SUM(C543:N543)/12</f>
        <v>146.83333333333334</v>
      </c>
      <c r="P543" s="173">
        <f>SUM(O543-O542)</f>
        <v>36.833333333333343</v>
      </c>
      <c r="Q543" s="177">
        <f>SUM(P543/O542)</f>
        <v>0.33484848484848495</v>
      </c>
    </row>
    <row r="544" spans="1:17" x14ac:dyDescent="0.2">
      <c r="B544" t="s">
        <v>660</v>
      </c>
      <c r="C544">
        <v>158</v>
      </c>
      <c r="D544">
        <v>164</v>
      </c>
      <c r="E544">
        <v>169</v>
      </c>
      <c r="F544">
        <v>191</v>
      </c>
      <c r="G544">
        <v>185</v>
      </c>
      <c r="H544">
        <v>192</v>
      </c>
      <c r="I544">
        <v>181</v>
      </c>
      <c r="J544">
        <v>162</v>
      </c>
      <c r="K544">
        <v>140</v>
      </c>
      <c r="L544">
        <v>146</v>
      </c>
      <c r="M544">
        <v>154</v>
      </c>
      <c r="N544">
        <v>150</v>
      </c>
      <c r="O544" s="173">
        <f>SUM(C544:N544)/12</f>
        <v>166</v>
      </c>
      <c r="P544" s="173">
        <f>SUM(O544-O543)</f>
        <v>19.166666666666657</v>
      </c>
      <c r="Q544" s="177">
        <f>SUM(P544/O543)</f>
        <v>0.13053348467650391</v>
      </c>
    </row>
    <row r="545" spans="1:18" x14ac:dyDescent="0.2">
      <c r="B545" t="s">
        <v>661</v>
      </c>
      <c r="C545">
        <v>135</v>
      </c>
      <c r="D545">
        <v>124</v>
      </c>
      <c r="E545">
        <v>138</v>
      </c>
    </row>
    <row r="547" spans="1:18" x14ac:dyDescent="0.2">
      <c r="A547" s="178"/>
      <c r="B547" s="178"/>
      <c r="C547" s="178"/>
      <c r="D547" s="178"/>
      <c r="E547" s="178"/>
      <c r="F547" s="178"/>
      <c r="G547" s="178"/>
      <c r="H547" s="178"/>
      <c r="I547" s="178"/>
      <c r="J547" s="178"/>
      <c r="K547" s="178"/>
      <c r="L547" s="178"/>
      <c r="M547" s="178"/>
      <c r="N547" s="178"/>
      <c r="O547" s="178"/>
      <c r="P547" s="178"/>
      <c r="Q547" s="178"/>
      <c r="R547" s="178"/>
    </row>
    <row r="548" spans="1:18" ht="38.25" x14ac:dyDescent="0.2">
      <c r="A548" s="829" t="s">
        <v>467</v>
      </c>
      <c r="B548" s="825" t="s">
        <v>433</v>
      </c>
      <c r="C548" s="826" t="s">
        <v>434</v>
      </c>
      <c r="D548" s="826" t="s">
        <v>435</v>
      </c>
      <c r="E548" s="826" t="s">
        <v>436</v>
      </c>
      <c r="F548" s="826" t="s">
        <v>437</v>
      </c>
      <c r="G548" s="826" t="s">
        <v>438</v>
      </c>
      <c r="H548" s="826" t="s">
        <v>439</v>
      </c>
      <c r="I548" s="826" t="s">
        <v>440</v>
      </c>
      <c r="J548" s="826" t="s">
        <v>441</v>
      </c>
      <c r="K548" s="826" t="s">
        <v>442</v>
      </c>
      <c r="L548" s="826" t="s">
        <v>443</v>
      </c>
      <c r="M548" s="826" t="s">
        <v>444</v>
      </c>
      <c r="N548" s="826" t="s">
        <v>445</v>
      </c>
      <c r="O548" s="829" t="s">
        <v>446</v>
      </c>
      <c r="P548" s="830" t="s">
        <v>447</v>
      </c>
      <c r="Q548" s="830" t="s">
        <v>448</v>
      </c>
      <c r="R548" s="830" t="s">
        <v>468</v>
      </c>
    </row>
    <row r="549" spans="1:18" x14ac:dyDescent="0.2">
      <c r="A549" s="827" t="s">
        <v>486</v>
      </c>
      <c r="B549" s="828" t="s">
        <v>449</v>
      </c>
      <c r="C549" s="828">
        <f t="shared" ref="C549:N561" si="117">SUM(C288,C307,C326,C346,C365,C384,C404,C423,C442,C462,C481,C500,C520)</f>
        <v>4476</v>
      </c>
      <c r="D549" s="828">
        <f t="shared" si="117"/>
        <v>4483</v>
      </c>
      <c r="E549" s="828">
        <f t="shared" si="117"/>
        <v>4465</v>
      </c>
      <c r="F549" s="828">
        <f t="shared" si="117"/>
        <v>4430</v>
      </c>
      <c r="G549" s="828">
        <f t="shared" si="117"/>
        <v>4464</v>
      </c>
      <c r="H549" s="828">
        <f t="shared" si="117"/>
        <v>4489</v>
      </c>
      <c r="I549" s="828">
        <f t="shared" si="117"/>
        <v>4483</v>
      </c>
      <c r="J549" s="828">
        <f t="shared" si="117"/>
        <v>4518</v>
      </c>
      <c r="K549" s="828">
        <f t="shared" si="117"/>
        <v>4524</v>
      </c>
      <c r="L549" s="828">
        <f t="shared" si="117"/>
        <v>4527</v>
      </c>
      <c r="M549" s="828">
        <f t="shared" si="117"/>
        <v>4496</v>
      </c>
      <c r="N549" s="828">
        <f t="shared" si="117"/>
        <v>4561</v>
      </c>
      <c r="O549" s="831">
        <f t="shared" ref="O549:O557" si="118">SUM(C549:N549)/12</f>
        <v>4493</v>
      </c>
      <c r="P549" s="831"/>
      <c r="Q549" s="831"/>
      <c r="R549" s="831"/>
    </row>
    <row r="550" spans="1:18" x14ac:dyDescent="0.2">
      <c r="A550" s="828"/>
      <c r="B550" s="828" t="s">
        <v>450</v>
      </c>
      <c r="C550" s="828">
        <f t="shared" si="117"/>
        <v>4520</v>
      </c>
      <c r="D550" s="828">
        <f t="shared" si="117"/>
        <v>4564</v>
      </c>
      <c r="E550" s="828">
        <f t="shared" si="117"/>
        <v>4554</v>
      </c>
      <c r="F550" s="828">
        <f t="shared" si="117"/>
        <v>4570</v>
      </c>
      <c r="G550" s="828">
        <f t="shared" si="117"/>
        <v>4539</v>
      </c>
      <c r="H550" s="828">
        <f t="shared" si="117"/>
        <v>4559</v>
      </c>
      <c r="I550" s="828">
        <f t="shared" si="117"/>
        <v>4522</v>
      </c>
      <c r="J550" s="828">
        <f t="shared" si="117"/>
        <v>4548</v>
      </c>
      <c r="K550" s="828">
        <f t="shared" si="117"/>
        <v>4510</v>
      </c>
      <c r="L550" s="828">
        <f t="shared" si="117"/>
        <v>4548</v>
      </c>
      <c r="M550" s="828">
        <f t="shared" si="117"/>
        <v>4537</v>
      </c>
      <c r="N550" s="828">
        <f t="shared" si="117"/>
        <v>4525</v>
      </c>
      <c r="O550" s="832">
        <f t="shared" si="118"/>
        <v>4541.333333333333</v>
      </c>
      <c r="P550" s="832">
        <f t="shared" ref="P550:P556" si="119">SUM(O550-N549)</f>
        <v>-19.66666666666697</v>
      </c>
      <c r="Q550" s="833">
        <f t="shared" ref="Q550:Q564" si="120">SUM(P550/O549)</f>
        <v>-4.3771793159730621E-3</v>
      </c>
      <c r="R550" s="831"/>
    </row>
    <row r="551" spans="1:18" x14ac:dyDescent="0.2">
      <c r="A551" s="828"/>
      <c r="B551" s="828" t="s">
        <v>451</v>
      </c>
      <c r="C551" s="828">
        <f t="shared" si="117"/>
        <v>4558</v>
      </c>
      <c r="D551" s="828">
        <f t="shared" si="117"/>
        <v>4615</v>
      </c>
      <c r="E551" s="828">
        <f t="shared" si="117"/>
        <v>4607</v>
      </c>
      <c r="F551" s="828">
        <f t="shared" si="117"/>
        <v>4575</v>
      </c>
      <c r="G551" s="828">
        <f t="shared" si="117"/>
        <v>4575</v>
      </c>
      <c r="H551" s="828">
        <f t="shared" si="117"/>
        <v>4624</v>
      </c>
      <c r="I551" s="828">
        <f t="shared" si="117"/>
        <v>4604</v>
      </c>
      <c r="J551" s="828">
        <f t="shared" si="117"/>
        <v>4666</v>
      </c>
      <c r="K551" s="828">
        <f t="shared" si="117"/>
        <v>4736</v>
      </c>
      <c r="L551" s="828">
        <f t="shared" si="117"/>
        <v>4774</v>
      </c>
      <c r="M551" s="828">
        <f t="shared" si="117"/>
        <v>4832</v>
      </c>
      <c r="N551" s="828">
        <f t="shared" si="117"/>
        <v>4872</v>
      </c>
      <c r="O551" s="832">
        <f t="shared" si="118"/>
        <v>4669.833333333333</v>
      </c>
      <c r="P551" s="832">
        <f t="shared" si="119"/>
        <v>144.83333333333303</v>
      </c>
      <c r="Q551" s="833">
        <f t="shared" si="120"/>
        <v>3.1892248972401581E-2</v>
      </c>
      <c r="R551" s="833">
        <f>SUM(Q550:Q551)</f>
        <v>2.7515069656428519E-2</v>
      </c>
    </row>
    <row r="552" spans="1:18" x14ac:dyDescent="0.2">
      <c r="A552" s="828"/>
      <c r="B552" s="828" t="s">
        <v>267</v>
      </c>
      <c r="C552" s="828">
        <f t="shared" si="117"/>
        <v>4823</v>
      </c>
      <c r="D552" s="828">
        <f t="shared" si="117"/>
        <v>4949</v>
      </c>
      <c r="E552" s="828">
        <f t="shared" si="117"/>
        <v>4738</v>
      </c>
      <c r="F552" s="828">
        <f t="shared" si="117"/>
        <v>4753</v>
      </c>
      <c r="G552" s="828">
        <f t="shared" si="117"/>
        <v>4796</v>
      </c>
      <c r="H552" s="828">
        <f t="shared" si="117"/>
        <v>4795</v>
      </c>
      <c r="I552" s="828">
        <f t="shared" si="117"/>
        <v>4787</v>
      </c>
      <c r="J552" s="828">
        <f t="shared" si="117"/>
        <v>4789</v>
      </c>
      <c r="K552" s="828">
        <f t="shared" si="117"/>
        <v>4682</v>
      </c>
      <c r="L552" s="828">
        <f t="shared" si="117"/>
        <v>4694</v>
      </c>
      <c r="M552" s="828">
        <f t="shared" si="117"/>
        <v>4685</v>
      </c>
      <c r="N552" s="828">
        <f t="shared" si="117"/>
        <v>4723</v>
      </c>
      <c r="O552" s="832">
        <f t="shared" si="118"/>
        <v>4767.833333333333</v>
      </c>
      <c r="P552" s="832">
        <f t="shared" si="119"/>
        <v>-104.16666666666697</v>
      </c>
      <c r="Q552" s="833">
        <f t="shared" si="120"/>
        <v>-2.2306292158892245E-2</v>
      </c>
      <c r="R552" s="833">
        <f>SUM(Q550:Q552)</f>
        <v>5.2087774975362738E-3</v>
      </c>
    </row>
    <row r="553" spans="1:18" x14ac:dyDescent="0.2">
      <c r="A553" s="828"/>
      <c r="B553" s="828" t="s">
        <v>266</v>
      </c>
      <c r="C553" s="828">
        <f t="shared" si="117"/>
        <v>4934</v>
      </c>
      <c r="D553" s="828">
        <f t="shared" si="117"/>
        <v>4681</v>
      </c>
      <c r="E553" s="828">
        <f t="shared" si="117"/>
        <v>4701</v>
      </c>
      <c r="F553" s="828">
        <f t="shared" si="117"/>
        <v>4713</v>
      </c>
      <c r="G553" s="828">
        <f t="shared" si="117"/>
        <v>4644</v>
      </c>
      <c r="H553" s="828">
        <f t="shared" si="117"/>
        <v>4760</v>
      </c>
      <c r="I553" s="828">
        <f t="shared" si="117"/>
        <v>4760</v>
      </c>
      <c r="J553" s="828">
        <f t="shared" si="117"/>
        <v>4753</v>
      </c>
      <c r="K553" s="828">
        <f t="shared" si="117"/>
        <v>4744</v>
      </c>
      <c r="L553" s="828">
        <f t="shared" si="117"/>
        <v>4764</v>
      </c>
      <c r="M553" s="828">
        <f t="shared" si="117"/>
        <v>4810</v>
      </c>
      <c r="N553" s="828">
        <f t="shared" si="117"/>
        <v>4804</v>
      </c>
      <c r="O553" s="832">
        <f t="shared" si="118"/>
        <v>4755.666666666667</v>
      </c>
      <c r="P553" s="832">
        <f t="shared" si="119"/>
        <v>32.66666666666697</v>
      </c>
      <c r="Q553" s="833">
        <f t="shared" si="120"/>
        <v>6.8514699199497264E-3</v>
      </c>
      <c r="R553" s="833">
        <f>SUM(Q550:Q553)</f>
        <v>1.2060247417486E-2</v>
      </c>
    </row>
    <row r="554" spans="1:18" x14ac:dyDescent="0.2">
      <c r="A554" s="828"/>
      <c r="B554" s="828" t="s">
        <v>287</v>
      </c>
      <c r="C554" s="828">
        <f t="shared" si="117"/>
        <v>4780</v>
      </c>
      <c r="D554" s="828">
        <f t="shared" si="117"/>
        <v>4815</v>
      </c>
      <c r="E554" s="828">
        <f t="shared" si="117"/>
        <v>4843</v>
      </c>
      <c r="F554" s="828">
        <f t="shared" si="117"/>
        <v>4851</v>
      </c>
      <c r="G554" s="828">
        <f t="shared" si="117"/>
        <v>4883</v>
      </c>
      <c r="H554" s="828">
        <f t="shared" si="117"/>
        <v>4792</v>
      </c>
      <c r="I554" s="828">
        <f t="shared" si="117"/>
        <v>4842</v>
      </c>
      <c r="J554" s="828">
        <f t="shared" si="117"/>
        <v>4977</v>
      </c>
      <c r="K554" s="828">
        <f t="shared" si="117"/>
        <v>4949</v>
      </c>
      <c r="L554" s="828">
        <f t="shared" si="117"/>
        <v>4956</v>
      </c>
      <c r="M554" s="828">
        <f t="shared" si="117"/>
        <v>5017</v>
      </c>
      <c r="N554" s="828">
        <f t="shared" si="117"/>
        <v>4991</v>
      </c>
      <c r="O554" s="832">
        <f t="shared" si="118"/>
        <v>4891.333333333333</v>
      </c>
      <c r="P554" s="832">
        <f t="shared" si="119"/>
        <v>87.33333333333303</v>
      </c>
      <c r="Q554" s="833">
        <f t="shared" si="120"/>
        <v>1.8364056914558006E-2</v>
      </c>
      <c r="R554" s="833">
        <f>SUM(Q550:Q554)</f>
        <v>3.0424304332044006E-2</v>
      </c>
    </row>
    <row r="555" spans="1:18" x14ac:dyDescent="0.2">
      <c r="A555" s="828"/>
      <c r="B555" s="828" t="s">
        <v>297</v>
      </c>
      <c r="C555" s="828">
        <f t="shared" si="117"/>
        <v>5030</v>
      </c>
      <c r="D555" s="828">
        <f t="shared" si="117"/>
        <v>5070</v>
      </c>
      <c r="E555" s="828">
        <f t="shared" si="117"/>
        <v>5041</v>
      </c>
      <c r="F555" s="828">
        <f t="shared" si="117"/>
        <v>5085</v>
      </c>
      <c r="G555" s="828">
        <f t="shared" si="117"/>
        <v>5067</v>
      </c>
      <c r="H555" s="828">
        <f t="shared" si="117"/>
        <v>5102</v>
      </c>
      <c r="I555" s="828">
        <f t="shared" si="117"/>
        <v>5086</v>
      </c>
      <c r="J555" s="828">
        <f t="shared" si="117"/>
        <v>5164</v>
      </c>
      <c r="K555" s="828">
        <f t="shared" si="117"/>
        <v>5141</v>
      </c>
      <c r="L555" s="828">
        <f t="shared" si="117"/>
        <v>5196</v>
      </c>
      <c r="M555" s="828">
        <f t="shared" si="117"/>
        <v>5262</v>
      </c>
      <c r="N555" s="828">
        <f t="shared" si="117"/>
        <v>5272</v>
      </c>
      <c r="O555" s="832">
        <f t="shared" si="118"/>
        <v>5126.333333333333</v>
      </c>
      <c r="P555" s="832">
        <f t="shared" si="119"/>
        <v>135.33333333333303</v>
      </c>
      <c r="Q555" s="833">
        <f t="shared" si="120"/>
        <v>2.7667984189723261E-2</v>
      </c>
      <c r="R555" s="833">
        <f>SUM(Q550:Q555)</f>
        <v>5.8092288521767267E-2</v>
      </c>
    </row>
    <row r="556" spans="1:18" x14ac:dyDescent="0.2">
      <c r="A556" s="828"/>
      <c r="B556" s="828" t="s">
        <v>300</v>
      </c>
      <c r="C556" s="828">
        <f t="shared" si="117"/>
        <v>5300</v>
      </c>
      <c r="D556" s="828">
        <f t="shared" si="117"/>
        <v>5270</v>
      </c>
      <c r="E556" s="828">
        <f t="shared" si="117"/>
        <v>5214</v>
      </c>
      <c r="F556" s="828">
        <f t="shared" si="117"/>
        <v>5280</v>
      </c>
      <c r="G556" s="828">
        <f t="shared" si="117"/>
        <v>5289</v>
      </c>
      <c r="H556" s="828">
        <f t="shared" si="117"/>
        <v>5344</v>
      </c>
      <c r="I556" s="828">
        <f t="shared" si="117"/>
        <v>5315</v>
      </c>
      <c r="J556" s="828">
        <f t="shared" si="117"/>
        <v>5326</v>
      </c>
      <c r="K556" s="828">
        <f t="shared" si="117"/>
        <v>5260</v>
      </c>
      <c r="L556" s="828">
        <f t="shared" si="117"/>
        <v>5801</v>
      </c>
      <c r="M556" s="828">
        <f t="shared" si="117"/>
        <v>5765</v>
      </c>
      <c r="N556" s="828">
        <f t="shared" si="117"/>
        <v>5296</v>
      </c>
      <c r="O556" s="832">
        <f t="shared" si="118"/>
        <v>5371.666666666667</v>
      </c>
      <c r="P556" s="832">
        <f t="shared" si="119"/>
        <v>99.66666666666697</v>
      </c>
      <c r="Q556" s="833">
        <f t="shared" si="120"/>
        <v>1.9442096365173349E-2</v>
      </c>
      <c r="R556" s="833">
        <f t="shared" ref="R556:R561" si="121">SUM(Q550:Q556)</f>
        <v>7.7534384886940616E-2</v>
      </c>
    </row>
    <row r="557" spans="1:18" x14ac:dyDescent="0.2">
      <c r="A557" s="828"/>
      <c r="B557" s="828" t="s">
        <v>301</v>
      </c>
      <c r="C557" s="828">
        <f t="shared" si="117"/>
        <v>5324</v>
      </c>
      <c r="D557" s="828">
        <f t="shared" si="117"/>
        <v>5413</v>
      </c>
      <c r="E557" s="828">
        <f t="shared" si="117"/>
        <v>5738</v>
      </c>
      <c r="F557" s="828">
        <f t="shared" si="117"/>
        <v>5475</v>
      </c>
      <c r="G557" s="828">
        <f t="shared" si="117"/>
        <v>5231</v>
      </c>
      <c r="H557" s="828">
        <f t="shared" si="117"/>
        <v>5265</v>
      </c>
      <c r="I557" s="828">
        <f t="shared" si="117"/>
        <v>5442</v>
      </c>
      <c r="J557" s="828">
        <f t="shared" si="117"/>
        <v>5402</v>
      </c>
      <c r="K557" s="828">
        <f t="shared" si="117"/>
        <v>5364</v>
      </c>
      <c r="L557" s="828">
        <f t="shared" si="117"/>
        <v>5409</v>
      </c>
      <c r="M557" s="828">
        <f t="shared" si="117"/>
        <v>5790</v>
      </c>
      <c r="N557" s="828">
        <f t="shared" si="117"/>
        <v>5890</v>
      </c>
      <c r="O557" s="832">
        <f t="shared" si="118"/>
        <v>5478.583333333333</v>
      </c>
      <c r="P557" s="832">
        <f t="shared" ref="P557:P562" si="122">SUM(O557-O556)</f>
        <v>106.91666666666606</v>
      </c>
      <c r="Q557" s="833">
        <f t="shared" si="120"/>
        <v>1.9903816320198459E-2</v>
      </c>
      <c r="R557" s="833">
        <f t="shared" si="121"/>
        <v>0.10181538052311213</v>
      </c>
    </row>
    <row r="558" spans="1:18" x14ac:dyDescent="0.2">
      <c r="A558" s="828"/>
      <c r="B558" s="828" t="s">
        <v>302</v>
      </c>
      <c r="C558" s="828">
        <f t="shared" si="117"/>
        <v>5636</v>
      </c>
      <c r="D558" s="828">
        <f t="shared" si="117"/>
        <v>5620</v>
      </c>
      <c r="E558" s="828">
        <f t="shared" si="117"/>
        <v>5623</v>
      </c>
      <c r="F558" s="828">
        <f t="shared" si="117"/>
        <v>5600</v>
      </c>
      <c r="G558" s="828">
        <f t="shared" si="117"/>
        <v>5642</v>
      </c>
      <c r="H558" s="828">
        <f t="shared" si="117"/>
        <v>5678</v>
      </c>
      <c r="I558" s="828">
        <f t="shared" si="117"/>
        <v>5668</v>
      </c>
      <c r="J558" s="828">
        <f t="shared" si="117"/>
        <v>5682</v>
      </c>
      <c r="K558" s="828">
        <f t="shared" si="117"/>
        <v>5707</v>
      </c>
      <c r="L558" s="828">
        <f t="shared" si="117"/>
        <v>5751</v>
      </c>
      <c r="M558" s="828">
        <f t="shared" si="117"/>
        <v>5791</v>
      </c>
      <c r="N558" s="828">
        <f t="shared" si="117"/>
        <v>5813</v>
      </c>
      <c r="O558" s="832">
        <f>SUM(C558:N558)/12</f>
        <v>5684.25</v>
      </c>
      <c r="P558" s="832">
        <f t="shared" si="122"/>
        <v>205.66666666666697</v>
      </c>
      <c r="Q558" s="833">
        <f t="shared" si="120"/>
        <v>3.7540118339595148E-2</v>
      </c>
      <c r="R558" s="833">
        <f t="shared" si="121"/>
        <v>0.1074632498903057</v>
      </c>
    </row>
    <row r="559" spans="1:18" x14ac:dyDescent="0.2">
      <c r="A559" s="828"/>
      <c r="B559" s="828" t="s">
        <v>347</v>
      </c>
      <c r="C559" s="828">
        <f t="shared" si="117"/>
        <v>5792</v>
      </c>
      <c r="D559" s="828">
        <f t="shared" si="117"/>
        <v>5837</v>
      </c>
      <c r="E559" s="828">
        <f t="shared" si="117"/>
        <v>5783</v>
      </c>
      <c r="F559" s="828">
        <f t="shared" si="117"/>
        <v>5776</v>
      </c>
      <c r="G559" s="828">
        <f t="shared" si="117"/>
        <v>5691</v>
      </c>
      <c r="H559" s="828">
        <f t="shared" si="117"/>
        <v>5868</v>
      </c>
      <c r="I559" s="828">
        <f t="shared" si="117"/>
        <v>5812</v>
      </c>
      <c r="J559" s="828">
        <f t="shared" si="117"/>
        <v>5855</v>
      </c>
      <c r="K559" s="828">
        <f t="shared" si="117"/>
        <v>5867</v>
      </c>
      <c r="L559" s="828">
        <f t="shared" si="117"/>
        <v>5881</v>
      </c>
      <c r="M559" s="828">
        <f t="shared" si="117"/>
        <v>5824</v>
      </c>
      <c r="N559" s="828">
        <f t="shared" si="117"/>
        <v>5846</v>
      </c>
      <c r="O559" s="832">
        <f>SUM(C559:N559)/12</f>
        <v>5819.333333333333</v>
      </c>
      <c r="P559" s="832">
        <f t="shared" si="122"/>
        <v>135.08333333333303</v>
      </c>
      <c r="Q559" s="833">
        <f t="shared" si="120"/>
        <v>2.3764495462608618E-2</v>
      </c>
      <c r="R559" s="833">
        <f t="shared" si="121"/>
        <v>0.15353403751180655</v>
      </c>
    </row>
    <row r="560" spans="1:18" x14ac:dyDescent="0.2">
      <c r="A560" s="828"/>
      <c r="B560" s="828" t="s">
        <v>370</v>
      </c>
      <c r="C560" s="828">
        <f t="shared" si="117"/>
        <v>5909</v>
      </c>
      <c r="D560" s="828">
        <f t="shared" si="117"/>
        <v>5921</v>
      </c>
      <c r="E560" s="828">
        <f t="shared" si="117"/>
        <v>5881</v>
      </c>
      <c r="F560" s="828">
        <f t="shared" si="117"/>
        <v>5938</v>
      </c>
      <c r="G560" s="828">
        <f t="shared" si="117"/>
        <v>5963</v>
      </c>
      <c r="H560" s="828">
        <f t="shared" si="117"/>
        <v>5986</v>
      </c>
      <c r="I560" s="828">
        <f t="shared" si="117"/>
        <v>5927</v>
      </c>
      <c r="J560" s="828">
        <f t="shared" si="117"/>
        <v>5974</v>
      </c>
      <c r="K560" s="828">
        <f t="shared" si="117"/>
        <v>6009</v>
      </c>
      <c r="L560" s="828">
        <f t="shared" si="117"/>
        <v>6021</v>
      </c>
      <c r="M560" s="828">
        <f t="shared" si="117"/>
        <v>5978</v>
      </c>
      <c r="N560" s="828">
        <f t="shared" si="117"/>
        <v>5883</v>
      </c>
      <c r="O560" s="832">
        <f>SUM(C560:N560)/12</f>
        <v>5949.166666666667</v>
      </c>
      <c r="P560" s="832">
        <f t="shared" si="122"/>
        <v>129.83333333333394</v>
      </c>
      <c r="Q560" s="833">
        <f t="shared" si="120"/>
        <v>2.2310688509565919E-2</v>
      </c>
      <c r="R560" s="833">
        <f t="shared" si="121"/>
        <v>0.16899325610142274</v>
      </c>
    </row>
    <row r="561" spans="1:18" x14ac:dyDescent="0.2">
      <c r="A561" s="828"/>
      <c r="B561" s="828" t="s">
        <v>469</v>
      </c>
      <c r="C561" s="828">
        <f t="shared" si="117"/>
        <v>5999</v>
      </c>
      <c r="D561" s="828">
        <f t="shared" si="117"/>
        <v>6010</v>
      </c>
      <c r="E561" s="828">
        <f t="shared" si="117"/>
        <v>6006</v>
      </c>
      <c r="F561" s="828">
        <f t="shared" si="117"/>
        <v>6022</v>
      </c>
      <c r="G561" s="828">
        <f t="shared" si="117"/>
        <v>6027</v>
      </c>
      <c r="H561" s="828">
        <f t="shared" si="117"/>
        <v>6072</v>
      </c>
      <c r="I561" s="828">
        <f t="shared" si="117"/>
        <v>6094</v>
      </c>
      <c r="J561" s="828">
        <f t="shared" si="117"/>
        <v>6090</v>
      </c>
      <c r="K561" s="828">
        <f t="shared" si="117"/>
        <v>6044</v>
      </c>
      <c r="L561" s="828">
        <f t="shared" si="117"/>
        <v>6053</v>
      </c>
      <c r="M561" s="828">
        <f t="shared" si="117"/>
        <v>6097</v>
      </c>
      <c r="N561" s="828">
        <f t="shared" si="117"/>
        <v>6122</v>
      </c>
      <c r="O561" s="832">
        <f>SUM(C561:N561)/12</f>
        <v>6053</v>
      </c>
      <c r="P561" s="832">
        <f t="shared" si="122"/>
        <v>103.83333333333303</v>
      </c>
      <c r="Q561" s="833">
        <f t="shared" si="120"/>
        <v>1.7453424849418635E-2</v>
      </c>
      <c r="R561" s="833">
        <f t="shared" si="121"/>
        <v>0.16808262403628338</v>
      </c>
    </row>
    <row r="562" spans="1:18" x14ac:dyDescent="0.2">
      <c r="A562" s="828"/>
      <c r="B562" s="828" t="s">
        <v>487</v>
      </c>
      <c r="C562" s="828">
        <f t="shared" ref="C562:O564" si="123">SUM(C301,C320,C339,C359,C378,C397,C417,C436,C455,C475,C494,C513,C533,C542)</f>
        <v>6219</v>
      </c>
      <c r="D562" s="828">
        <f t="shared" si="123"/>
        <v>6195</v>
      </c>
      <c r="E562" s="828">
        <f t="shared" si="123"/>
        <v>6211</v>
      </c>
      <c r="F562" s="828">
        <f t="shared" si="123"/>
        <v>6268</v>
      </c>
      <c r="G562" s="828">
        <f t="shared" si="123"/>
        <v>6289</v>
      </c>
      <c r="H562" s="828">
        <f t="shared" si="123"/>
        <v>6246</v>
      </c>
      <c r="I562" s="828">
        <f t="shared" si="123"/>
        <v>6283</v>
      </c>
      <c r="J562" s="828">
        <f t="shared" si="123"/>
        <v>6294</v>
      </c>
      <c r="K562" s="828">
        <f t="shared" si="123"/>
        <v>6169</v>
      </c>
      <c r="L562" s="828">
        <f t="shared" si="123"/>
        <v>6109</v>
      </c>
      <c r="M562" s="828">
        <f t="shared" si="123"/>
        <v>6183</v>
      </c>
      <c r="N562" s="828">
        <f t="shared" si="123"/>
        <v>6197</v>
      </c>
      <c r="O562" s="832">
        <f t="shared" si="123"/>
        <v>6221.9166666666652</v>
      </c>
      <c r="P562" s="832">
        <f t="shared" si="122"/>
        <v>168.91666666666515</v>
      </c>
      <c r="Q562" s="833">
        <f t="shared" si="120"/>
        <v>2.7906272371826392E-2</v>
      </c>
      <c r="R562" s="833">
        <f>SUM(Q556:Q562)</f>
        <v>0.16832091221838652</v>
      </c>
    </row>
    <row r="563" spans="1:18" x14ac:dyDescent="0.2">
      <c r="A563" s="828"/>
      <c r="B563" s="828" t="s">
        <v>561</v>
      </c>
      <c r="C563" s="828">
        <f t="shared" si="123"/>
        <v>6254</v>
      </c>
      <c r="D563" s="828">
        <f t="shared" si="123"/>
        <v>6195</v>
      </c>
      <c r="E563" s="828">
        <f t="shared" si="123"/>
        <v>6259</v>
      </c>
      <c r="F563" s="828">
        <f t="shared" si="123"/>
        <v>6210</v>
      </c>
      <c r="G563" s="828">
        <f t="shared" si="123"/>
        <v>6164</v>
      </c>
      <c r="H563" s="828">
        <f t="shared" si="123"/>
        <v>6214</v>
      </c>
      <c r="I563" s="828">
        <f t="shared" si="123"/>
        <v>6176</v>
      </c>
      <c r="J563" s="828">
        <f t="shared" si="123"/>
        <v>6172</v>
      </c>
      <c r="K563" s="828">
        <f t="shared" si="123"/>
        <v>6086</v>
      </c>
      <c r="L563" s="828">
        <f t="shared" si="123"/>
        <v>6077</v>
      </c>
      <c r="M563" s="828">
        <f t="shared" si="123"/>
        <v>6086</v>
      </c>
      <c r="N563" s="828">
        <f t="shared" si="123"/>
        <v>6159</v>
      </c>
      <c r="O563" s="831">
        <f t="shared" si="123"/>
        <v>6171.0000000000009</v>
      </c>
      <c r="P563" s="832">
        <f>SUM(O563-O562)</f>
        <v>-50.916666666664241</v>
      </c>
      <c r="Q563" s="833">
        <f t="shared" si="120"/>
        <v>-8.1834375795236062E-3</v>
      </c>
      <c r="R563" s="833">
        <f>SUM(Q557:Q563)</f>
        <v>0.14069537827368955</v>
      </c>
    </row>
    <row r="564" spans="1:18" x14ac:dyDescent="0.2">
      <c r="A564" s="834"/>
      <c r="B564" s="834" t="s">
        <v>660</v>
      </c>
      <c r="C564" s="834">
        <f t="shared" si="123"/>
        <v>6046</v>
      </c>
      <c r="D564" s="834">
        <f t="shared" si="123"/>
        <v>5977</v>
      </c>
      <c r="E564" s="834">
        <f t="shared" si="123"/>
        <v>5919</v>
      </c>
      <c r="F564" s="834">
        <f t="shared" si="123"/>
        <v>5878</v>
      </c>
      <c r="G564" s="834">
        <f t="shared" si="123"/>
        <v>5876</v>
      </c>
      <c r="H564" s="834">
        <f t="shared" si="123"/>
        <v>5773</v>
      </c>
      <c r="I564" s="834">
        <f t="shared" si="123"/>
        <v>5785</v>
      </c>
      <c r="J564" s="834">
        <f t="shared" si="123"/>
        <v>5754</v>
      </c>
      <c r="K564" s="834">
        <f t="shared" si="123"/>
        <v>5747</v>
      </c>
      <c r="L564" s="834">
        <f t="shared" si="123"/>
        <v>5612</v>
      </c>
      <c r="M564" s="834">
        <f t="shared" si="123"/>
        <v>5667</v>
      </c>
      <c r="N564" s="834">
        <f t="shared" si="123"/>
        <v>5672</v>
      </c>
      <c r="O564" s="837">
        <f t="shared" si="123"/>
        <v>5808.833333333333</v>
      </c>
      <c r="P564" s="835">
        <f>SUM(O564-O563)</f>
        <v>-362.16666666666788</v>
      </c>
      <c r="Q564" s="836">
        <f t="shared" si="120"/>
        <v>-5.8688489169772783E-2</v>
      </c>
      <c r="R564" s="836">
        <f>SUM(Q558:Q564)</f>
        <v>6.2103072783718329E-2</v>
      </c>
    </row>
    <row r="566" spans="1:18" x14ac:dyDescent="0.2">
      <c r="A566" s="557" t="s">
        <v>662</v>
      </c>
    </row>
    <row r="569" spans="1:18" x14ac:dyDescent="0.2">
      <c r="A569" s="702"/>
      <c r="B569" s="702"/>
      <c r="C569" s="702"/>
      <c r="D569" s="702"/>
      <c r="E569" s="702"/>
      <c r="F569" s="702"/>
      <c r="G569" s="702"/>
      <c r="H569" s="702"/>
      <c r="I569" s="702"/>
      <c r="J569" s="702"/>
      <c r="K569" s="702"/>
      <c r="L569" s="702"/>
      <c r="M569" s="702"/>
      <c r="N569" s="702"/>
      <c r="O569" s="702"/>
      <c r="P569" s="702"/>
      <c r="Q569" s="702"/>
    </row>
    <row r="570" spans="1:18" ht="38.25" x14ac:dyDescent="0.2">
      <c r="A570" s="175" t="s">
        <v>432</v>
      </c>
      <c r="B570" s="703" t="s">
        <v>433</v>
      </c>
      <c r="C570" s="704" t="s">
        <v>434</v>
      </c>
      <c r="D570" s="704" t="s">
        <v>435</v>
      </c>
      <c r="E570" s="704" t="s">
        <v>436</v>
      </c>
      <c r="F570" s="704" t="s">
        <v>437</v>
      </c>
      <c r="G570" s="704" t="s">
        <v>438</v>
      </c>
      <c r="H570" s="704" t="s">
        <v>439</v>
      </c>
      <c r="I570" s="704" t="s">
        <v>440</v>
      </c>
      <c r="J570" s="704" t="s">
        <v>441</v>
      </c>
      <c r="K570" s="704" t="s">
        <v>442</v>
      </c>
      <c r="L570" s="704" t="s">
        <v>443</v>
      </c>
      <c r="M570" s="704" t="s">
        <v>444</v>
      </c>
      <c r="N570" s="704" t="s">
        <v>445</v>
      </c>
      <c r="O570" s="174" t="s">
        <v>446</v>
      </c>
      <c r="P570" s="705" t="s">
        <v>447</v>
      </c>
      <c r="Q570" s="705" t="s">
        <v>448</v>
      </c>
    </row>
    <row r="571" spans="1:18" x14ac:dyDescent="0.2">
      <c r="B571" t="s">
        <v>449</v>
      </c>
      <c r="C571">
        <v>1998</v>
      </c>
      <c r="D571">
        <v>2016</v>
      </c>
      <c r="E571">
        <v>1984</v>
      </c>
      <c r="F571">
        <v>2010</v>
      </c>
      <c r="G571">
        <v>2067</v>
      </c>
      <c r="H571">
        <v>2078</v>
      </c>
      <c r="I571">
        <v>2078</v>
      </c>
      <c r="J571">
        <v>2085</v>
      </c>
      <c r="K571">
        <v>2134</v>
      </c>
      <c r="L571">
        <v>2136</v>
      </c>
      <c r="M571">
        <v>2135</v>
      </c>
      <c r="N571">
        <v>2143</v>
      </c>
      <c r="O571">
        <f>SUM(C571:N571)/12</f>
        <v>2072</v>
      </c>
    </row>
    <row r="572" spans="1:18" x14ac:dyDescent="0.2">
      <c r="B572" t="s">
        <v>450</v>
      </c>
      <c r="C572">
        <v>2155</v>
      </c>
      <c r="D572">
        <v>2157</v>
      </c>
      <c r="E572">
        <v>2172</v>
      </c>
      <c r="F572">
        <v>2180</v>
      </c>
      <c r="G572">
        <v>2183</v>
      </c>
      <c r="H572">
        <v>2205</v>
      </c>
      <c r="I572">
        <v>2192</v>
      </c>
      <c r="J572">
        <v>2191</v>
      </c>
      <c r="K572">
        <v>2183</v>
      </c>
      <c r="L572">
        <v>2183</v>
      </c>
      <c r="M572">
        <v>2191</v>
      </c>
      <c r="N572">
        <v>2189</v>
      </c>
      <c r="O572" s="173">
        <f t="shared" ref="O572:O585" si="124">SUM(C572:N572)/12</f>
        <v>2181.75</v>
      </c>
      <c r="P572" s="173">
        <f t="shared" ref="P572:P580" si="125">SUM(O572-O571)</f>
        <v>109.75</v>
      </c>
      <c r="Q572" s="177">
        <f>SUM(P572/O571)</f>
        <v>5.2968146718146716E-2</v>
      </c>
    </row>
    <row r="573" spans="1:18" x14ac:dyDescent="0.2">
      <c r="B573" t="s">
        <v>451</v>
      </c>
      <c r="C573">
        <v>2201</v>
      </c>
      <c r="D573">
        <v>2233</v>
      </c>
      <c r="E573">
        <v>2235</v>
      </c>
      <c r="F573">
        <v>2252</v>
      </c>
      <c r="G573">
        <v>2259</v>
      </c>
      <c r="H573">
        <v>2271</v>
      </c>
      <c r="I573">
        <v>2271</v>
      </c>
      <c r="J573">
        <v>2307</v>
      </c>
      <c r="K573">
        <v>2319</v>
      </c>
      <c r="L573">
        <v>2331</v>
      </c>
      <c r="M573">
        <v>2343</v>
      </c>
      <c r="N573">
        <v>2355</v>
      </c>
      <c r="O573" s="173">
        <f t="shared" si="124"/>
        <v>2281.4166666666665</v>
      </c>
      <c r="P573" s="173">
        <f t="shared" si="125"/>
        <v>99.666666666666515</v>
      </c>
      <c r="Q573" s="177">
        <f t="shared" ref="Q573:Q578" si="126">SUM(P573/O572)</f>
        <v>4.5681983117527906E-2</v>
      </c>
    </row>
    <row r="574" spans="1:18" x14ac:dyDescent="0.2">
      <c r="B574" t="s">
        <v>267</v>
      </c>
      <c r="C574">
        <v>2324</v>
      </c>
      <c r="D574">
        <v>2433</v>
      </c>
      <c r="E574">
        <v>2266</v>
      </c>
      <c r="F574">
        <v>2266</v>
      </c>
      <c r="G574">
        <v>2306</v>
      </c>
      <c r="H574">
        <v>2306</v>
      </c>
      <c r="I574">
        <v>2306</v>
      </c>
      <c r="J574">
        <v>2334</v>
      </c>
      <c r="K574">
        <v>2230</v>
      </c>
      <c r="L574">
        <v>2230</v>
      </c>
      <c r="M574">
        <v>2230</v>
      </c>
      <c r="N574">
        <v>2230</v>
      </c>
      <c r="O574" s="173">
        <f t="shared" si="124"/>
        <v>2288.4166666666665</v>
      </c>
      <c r="P574" s="173">
        <f t="shared" si="125"/>
        <v>7</v>
      </c>
      <c r="Q574" s="177">
        <f t="shared" si="126"/>
        <v>3.0682689849143444E-3</v>
      </c>
    </row>
    <row r="575" spans="1:18" x14ac:dyDescent="0.2">
      <c r="B575" t="s">
        <v>266</v>
      </c>
      <c r="C575">
        <v>2408</v>
      </c>
      <c r="D575">
        <v>2335</v>
      </c>
      <c r="E575">
        <v>2353</v>
      </c>
      <c r="F575">
        <v>2353</v>
      </c>
      <c r="G575">
        <v>2311</v>
      </c>
      <c r="H575">
        <v>2367</v>
      </c>
      <c r="I575">
        <v>2367</v>
      </c>
      <c r="J575">
        <v>2352</v>
      </c>
      <c r="K575">
        <v>2336</v>
      </c>
      <c r="L575">
        <v>2336</v>
      </c>
      <c r="M575">
        <v>2292</v>
      </c>
      <c r="N575">
        <v>2318</v>
      </c>
      <c r="O575" s="173">
        <f t="shared" si="124"/>
        <v>2344</v>
      </c>
      <c r="P575" s="173">
        <f t="shared" si="125"/>
        <v>55.583333333333485</v>
      </c>
      <c r="Q575" s="177">
        <f t="shared" si="126"/>
        <v>2.4288991660900983E-2</v>
      </c>
    </row>
    <row r="576" spans="1:18" x14ac:dyDescent="0.2">
      <c r="B576" t="s">
        <v>287</v>
      </c>
      <c r="C576">
        <v>2312</v>
      </c>
      <c r="D576">
        <v>2305</v>
      </c>
      <c r="E576">
        <v>2318</v>
      </c>
      <c r="F576">
        <v>2318</v>
      </c>
      <c r="G576">
        <v>2350</v>
      </c>
      <c r="H576">
        <v>2314</v>
      </c>
      <c r="I576">
        <v>2314</v>
      </c>
      <c r="J576">
        <v>2426</v>
      </c>
      <c r="K576">
        <v>2400</v>
      </c>
      <c r="L576">
        <v>2454</v>
      </c>
      <c r="M576">
        <v>2536</v>
      </c>
      <c r="N576">
        <v>2334</v>
      </c>
      <c r="O576" s="173">
        <f t="shared" si="124"/>
        <v>2365.0833333333335</v>
      </c>
      <c r="P576" s="173">
        <f t="shared" si="125"/>
        <v>21.083333333333485</v>
      </c>
      <c r="Q576" s="177">
        <f t="shared" si="126"/>
        <v>8.9945961319682095E-3</v>
      </c>
    </row>
    <row r="577" spans="1:17" x14ac:dyDescent="0.2">
      <c r="B577" t="s">
        <v>297</v>
      </c>
      <c r="C577">
        <v>2357</v>
      </c>
      <c r="D577">
        <v>2384</v>
      </c>
      <c r="E577">
        <v>2387</v>
      </c>
      <c r="F577">
        <v>2410</v>
      </c>
      <c r="G577">
        <v>2414</v>
      </c>
      <c r="H577">
        <v>2444</v>
      </c>
      <c r="I577">
        <v>2444</v>
      </c>
      <c r="J577">
        <v>2433</v>
      </c>
      <c r="K577">
        <v>2417</v>
      </c>
      <c r="L577">
        <v>2424</v>
      </c>
      <c r="M577">
        <v>2443</v>
      </c>
      <c r="N577">
        <v>2445</v>
      </c>
      <c r="O577" s="173">
        <f t="shared" si="124"/>
        <v>2416.8333333333335</v>
      </c>
      <c r="P577" s="173">
        <f t="shared" si="125"/>
        <v>51.75</v>
      </c>
      <c r="Q577" s="177">
        <f t="shared" si="126"/>
        <v>2.1880835770409779E-2</v>
      </c>
    </row>
    <row r="578" spans="1:17" x14ac:dyDescent="0.2">
      <c r="B578" t="s">
        <v>300</v>
      </c>
      <c r="C578">
        <v>2453</v>
      </c>
      <c r="D578">
        <v>2437</v>
      </c>
      <c r="E578">
        <v>2420</v>
      </c>
      <c r="F578">
        <v>2487</v>
      </c>
      <c r="G578">
        <v>2437</v>
      </c>
      <c r="H578">
        <v>2479</v>
      </c>
      <c r="I578">
        <v>2466</v>
      </c>
      <c r="J578">
        <v>2488</v>
      </c>
      <c r="K578">
        <v>2477</v>
      </c>
      <c r="L578">
        <v>2562</v>
      </c>
      <c r="M578">
        <v>2557</v>
      </c>
      <c r="N578">
        <v>2455</v>
      </c>
      <c r="O578" s="173">
        <f t="shared" si="124"/>
        <v>2476.5</v>
      </c>
      <c r="P578" s="173">
        <f t="shared" si="125"/>
        <v>59.666666666666515</v>
      </c>
      <c r="Q578" s="177">
        <f t="shared" si="126"/>
        <v>2.4687952554996142E-2</v>
      </c>
    </row>
    <row r="579" spans="1:17" x14ac:dyDescent="0.2">
      <c r="B579" t="s">
        <v>301</v>
      </c>
      <c r="C579">
        <v>2495</v>
      </c>
      <c r="D579">
        <v>2542</v>
      </c>
      <c r="E579">
        <v>2644</v>
      </c>
      <c r="F579">
        <v>2580</v>
      </c>
      <c r="G579">
        <v>2273</v>
      </c>
      <c r="H579">
        <v>2302</v>
      </c>
      <c r="I579">
        <v>2395</v>
      </c>
      <c r="J579">
        <v>2404</v>
      </c>
      <c r="K579">
        <v>2394</v>
      </c>
      <c r="L579">
        <v>2426</v>
      </c>
      <c r="M579">
        <v>2689</v>
      </c>
      <c r="N579">
        <v>2739</v>
      </c>
      <c r="O579" s="173">
        <f t="shared" si="124"/>
        <v>2490.25</v>
      </c>
      <c r="P579" s="173">
        <f t="shared" si="125"/>
        <v>13.75</v>
      </c>
      <c r="Q579" s="177">
        <f t="shared" ref="Q579:Q584" si="127">SUM(P579/O578)</f>
        <v>5.5521905915606705E-3</v>
      </c>
    </row>
    <row r="580" spans="1:17" x14ac:dyDescent="0.2">
      <c r="B580" t="s">
        <v>302</v>
      </c>
      <c r="C580">
        <v>2704</v>
      </c>
      <c r="D580">
        <v>2698</v>
      </c>
      <c r="E580">
        <v>2694</v>
      </c>
      <c r="F580">
        <v>2677</v>
      </c>
      <c r="G580">
        <v>2732</v>
      </c>
      <c r="H580">
        <v>2755</v>
      </c>
      <c r="I580">
        <v>2778</v>
      </c>
      <c r="J580">
        <v>2778</v>
      </c>
      <c r="K580">
        <v>2775</v>
      </c>
      <c r="L580">
        <v>2782</v>
      </c>
      <c r="M580">
        <v>2819</v>
      </c>
      <c r="N580">
        <v>2864</v>
      </c>
      <c r="O580" s="173">
        <f t="shared" si="124"/>
        <v>2754.6666666666665</v>
      </c>
      <c r="P580" s="173">
        <f t="shared" si="125"/>
        <v>264.41666666666652</v>
      </c>
      <c r="Q580" s="177">
        <f t="shared" si="127"/>
        <v>0.10618077167620379</v>
      </c>
    </row>
    <row r="581" spans="1:17" x14ac:dyDescent="0.2">
      <c r="B581" t="s">
        <v>347</v>
      </c>
      <c r="C581">
        <v>2871</v>
      </c>
      <c r="D581">
        <v>2904</v>
      </c>
      <c r="E581">
        <v>2884</v>
      </c>
      <c r="F581">
        <v>2895</v>
      </c>
      <c r="G581">
        <v>2826</v>
      </c>
      <c r="H581">
        <v>2865</v>
      </c>
      <c r="I581">
        <v>2853</v>
      </c>
      <c r="J581">
        <v>2903</v>
      </c>
      <c r="K581">
        <v>2885</v>
      </c>
      <c r="L581">
        <v>2910</v>
      </c>
      <c r="M581">
        <v>2930</v>
      </c>
      <c r="N581">
        <v>2884</v>
      </c>
      <c r="O581" s="173">
        <f t="shared" si="124"/>
        <v>2884.1666666666665</v>
      </c>
      <c r="P581" s="173">
        <f>SUM(O581-O580)</f>
        <v>129.5</v>
      </c>
      <c r="Q581" s="177">
        <f t="shared" si="127"/>
        <v>4.7011132623426911E-2</v>
      </c>
    </row>
    <row r="582" spans="1:17" x14ac:dyDescent="0.2">
      <c r="B582" t="s">
        <v>370</v>
      </c>
      <c r="C582">
        <v>2896</v>
      </c>
      <c r="D582">
        <v>2980</v>
      </c>
      <c r="E582">
        <v>2969</v>
      </c>
      <c r="F582">
        <v>2961</v>
      </c>
      <c r="G582">
        <v>3022</v>
      </c>
      <c r="H582">
        <v>3037</v>
      </c>
      <c r="I582">
        <v>3049</v>
      </c>
      <c r="J582">
        <v>3076</v>
      </c>
      <c r="K582">
        <v>3088</v>
      </c>
      <c r="L582">
        <v>3074</v>
      </c>
      <c r="M582">
        <v>3058</v>
      </c>
      <c r="N582">
        <v>2954</v>
      </c>
      <c r="O582" s="173">
        <f t="shared" si="124"/>
        <v>3013.6666666666665</v>
      </c>
      <c r="P582" s="173">
        <f>SUM(O582-O581)</f>
        <v>129.5</v>
      </c>
      <c r="Q582" s="177">
        <f t="shared" si="127"/>
        <v>4.4900317827217567E-2</v>
      </c>
    </row>
    <row r="583" spans="1:17" x14ac:dyDescent="0.2">
      <c r="B583" t="s">
        <v>452</v>
      </c>
      <c r="C583">
        <v>3027</v>
      </c>
      <c r="D583">
        <v>3039</v>
      </c>
      <c r="E583">
        <v>3034</v>
      </c>
      <c r="F583">
        <v>3040</v>
      </c>
      <c r="G583">
        <v>3022</v>
      </c>
      <c r="H583">
        <v>3057</v>
      </c>
      <c r="I583">
        <v>3074</v>
      </c>
      <c r="J583">
        <v>3088</v>
      </c>
      <c r="K583">
        <v>3056</v>
      </c>
      <c r="L583">
        <v>3094</v>
      </c>
      <c r="M583">
        <v>3138</v>
      </c>
      <c r="N583">
        <v>3130</v>
      </c>
      <c r="O583" s="173">
        <f t="shared" si="124"/>
        <v>3066.5833333333335</v>
      </c>
      <c r="P583" s="173">
        <f>SUM(O583-O582)</f>
        <v>52.91666666666697</v>
      </c>
      <c r="Q583" s="177">
        <f t="shared" si="127"/>
        <v>1.7558898351952318E-2</v>
      </c>
    </row>
    <row r="584" spans="1:17" x14ac:dyDescent="0.2">
      <c r="B584" t="s">
        <v>487</v>
      </c>
      <c r="C584">
        <v>3123</v>
      </c>
      <c r="D584">
        <v>3065</v>
      </c>
      <c r="E584">
        <v>3115</v>
      </c>
      <c r="F584">
        <v>3134</v>
      </c>
      <c r="G584">
        <v>3160</v>
      </c>
      <c r="H584">
        <v>3165</v>
      </c>
      <c r="I584">
        <v>3166</v>
      </c>
      <c r="J584">
        <v>3187</v>
      </c>
      <c r="K584">
        <v>3069</v>
      </c>
      <c r="L584">
        <v>3020</v>
      </c>
      <c r="M584">
        <v>3040</v>
      </c>
      <c r="N584">
        <v>3070</v>
      </c>
      <c r="O584" s="173">
        <f t="shared" si="124"/>
        <v>3109.5</v>
      </c>
      <c r="P584" s="173">
        <f>SUM(O584-O583)</f>
        <v>42.916666666666515</v>
      </c>
      <c r="Q584" s="177">
        <f t="shared" si="127"/>
        <v>1.3994945514823722E-2</v>
      </c>
    </row>
    <row r="585" spans="1:17" x14ac:dyDescent="0.2">
      <c r="B585" t="s">
        <v>561</v>
      </c>
      <c r="C585">
        <v>3068</v>
      </c>
      <c r="D585">
        <v>3065</v>
      </c>
      <c r="E585">
        <v>3103</v>
      </c>
      <c r="F585">
        <v>3034</v>
      </c>
      <c r="G585">
        <v>3036</v>
      </c>
      <c r="H585">
        <v>3045</v>
      </c>
      <c r="I585">
        <v>3049</v>
      </c>
      <c r="J585">
        <v>3041</v>
      </c>
      <c r="K585">
        <v>2986</v>
      </c>
      <c r="L585">
        <v>2936</v>
      </c>
      <c r="M585">
        <v>2897</v>
      </c>
      <c r="N585">
        <v>2906</v>
      </c>
      <c r="O585" s="173">
        <f t="shared" si="124"/>
        <v>3013.8333333333335</v>
      </c>
      <c r="P585" s="173">
        <f>SUM(O585-O584)</f>
        <v>-95.666666666666515</v>
      </c>
      <c r="Q585" s="177">
        <f>SUM(P585/O584)</f>
        <v>-3.0765932357828114E-2</v>
      </c>
    </row>
    <row r="586" spans="1:17" x14ac:dyDescent="0.2">
      <c r="O586" s="173"/>
      <c r="P586" s="173"/>
      <c r="Q586" s="177"/>
    </row>
    <row r="587" spans="1:17" ht="25.5" x14ac:dyDescent="0.2">
      <c r="A587" s="175" t="s">
        <v>453</v>
      </c>
      <c r="B587" s="703" t="s">
        <v>433</v>
      </c>
      <c r="C587" s="704" t="s">
        <v>434</v>
      </c>
      <c r="D587" s="704" t="s">
        <v>435</v>
      </c>
      <c r="E587" s="704" t="s">
        <v>436</v>
      </c>
      <c r="F587" s="704" t="s">
        <v>437</v>
      </c>
      <c r="G587" s="704" t="s">
        <v>438</v>
      </c>
      <c r="H587" s="704" t="s">
        <v>439</v>
      </c>
      <c r="I587" s="704" t="s">
        <v>440</v>
      </c>
      <c r="J587" s="704" t="s">
        <v>441</v>
      </c>
      <c r="K587" s="704" t="s">
        <v>442</v>
      </c>
      <c r="L587" s="704" t="s">
        <v>443</v>
      </c>
      <c r="M587" s="704" t="s">
        <v>444</v>
      </c>
      <c r="N587" s="704" t="s">
        <v>445</v>
      </c>
    </row>
    <row r="588" spans="1:17" x14ac:dyDescent="0.2">
      <c r="B588" t="s">
        <v>449</v>
      </c>
      <c r="C588">
        <v>83</v>
      </c>
      <c r="D588">
        <v>80</v>
      </c>
      <c r="E588">
        <v>74</v>
      </c>
      <c r="F588">
        <v>78</v>
      </c>
      <c r="G588">
        <v>79</v>
      </c>
      <c r="H588">
        <v>81</v>
      </c>
      <c r="I588">
        <v>82</v>
      </c>
      <c r="J588">
        <v>83</v>
      </c>
      <c r="K588">
        <v>82</v>
      </c>
      <c r="L588">
        <v>83</v>
      </c>
      <c r="M588">
        <v>85</v>
      </c>
      <c r="N588">
        <v>87</v>
      </c>
      <c r="O588" s="173">
        <f t="shared" ref="O588:O596" si="128">SUM(C588:N588)/12</f>
        <v>81.416666666666671</v>
      </c>
      <c r="P588" s="173"/>
    </row>
    <row r="589" spans="1:17" x14ac:dyDescent="0.2">
      <c r="B589" t="s">
        <v>450</v>
      </c>
      <c r="C589">
        <v>92</v>
      </c>
      <c r="D589">
        <v>93</v>
      </c>
      <c r="E589">
        <v>94</v>
      </c>
      <c r="F589">
        <v>97</v>
      </c>
      <c r="G589">
        <v>98</v>
      </c>
      <c r="H589">
        <v>95</v>
      </c>
      <c r="I589">
        <v>89</v>
      </c>
      <c r="J589">
        <v>93</v>
      </c>
      <c r="K589">
        <v>90</v>
      </c>
      <c r="L589">
        <v>97</v>
      </c>
      <c r="M589">
        <v>99</v>
      </c>
      <c r="N589">
        <v>92</v>
      </c>
      <c r="O589" s="173">
        <f t="shared" si="128"/>
        <v>94.083333333333329</v>
      </c>
      <c r="P589" s="173">
        <f t="shared" ref="P589:P596" si="129">SUM(O589-O588)</f>
        <v>12.666666666666657</v>
      </c>
      <c r="Q589" s="177">
        <f t="shared" ref="Q589:Q595" si="130">SUM(P589/O588)</f>
        <v>0.15557830092118718</v>
      </c>
    </row>
    <row r="590" spans="1:17" x14ac:dyDescent="0.2">
      <c r="B590" t="s">
        <v>451</v>
      </c>
      <c r="C590">
        <v>90</v>
      </c>
      <c r="D590">
        <v>91</v>
      </c>
      <c r="E590">
        <v>92</v>
      </c>
      <c r="F590">
        <v>100</v>
      </c>
      <c r="G590">
        <v>99</v>
      </c>
      <c r="H590">
        <v>111</v>
      </c>
      <c r="I590">
        <v>102</v>
      </c>
      <c r="J590">
        <v>94</v>
      </c>
      <c r="K590">
        <v>96</v>
      </c>
      <c r="L590">
        <v>98</v>
      </c>
      <c r="M590">
        <v>93</v>
      </c>
      <c r="N590">
        <v>89</v>
      </c>
      <c r="O590" s="173">
        <f t="shared" si="128"/>
        <v>96.25</v>
      </c>
      <c r="P590" s="173">
        <f t="shared" si="129"/>
        <v>2.1666666666666714</v>
      </c>
      <c r="Q590" s="177">
        <f t="shared" si="130"/>
        <v>2.3029229406554524E-2</v>
      </c>
    </row>
    <row r="591" spans="1:17" x14ac:dyDescent="0.2">
      <c r="B591" t="s">
        <v>267</v>
      </c>
      <c r="C591">
        <v>72</v>
      </c>
      <c r="D591">
        <v>74</v>
      </c>
      <c r="E591">
        <v>73</v>
      </c>
      <c r="F591">
        <v>73</v>
      </c>
      <c r="G591">
        <v>73</v>
      </c>
      <c r="H591">
        <v>73</v>
      </c>
      <c r="I591">
        <v>73</v>
      </c>
      <c r="J591">
        <v>65</v>
      </c>
      <c r="K591">
        <v>65</v>
      </c>
      <c r="L591">
        <v>65</v>
      </c>
      <c r="M591">
        <v>65</v>
      </c>
      <c r="N591">
        <v>60</v>
      </c>
      <c r="O591" s="173">
        <f t="shared" si="128"/>
        <v>69.25</v>
      </c>
      <c r="P591" s="173">
        <f t="shared" si="129"/>
        <v>-27</v>
      </c>
      <c r="Q591" s="177">
        <f t="shared" si="130"/>
        <v>-0.2805194805194805</v>
      </c>
    </row>
    <row r="592" spans="1:17" x14ac:dyDescent="0.2">
      <c r="B592" t="s">
        <v>266</v>
      </c>
      <c r="C592">
        <v>59</v>
      </c>
      <c r="D592">
        <v>58</v>
      </c>
      <c r="E592">
        <v>59</v>
      </c>
      <c r="F592">
        <v>60</v>
      </c>
      <c r="G592">
        <v>56</v>
      </c>
      <c r="H592">
        <v>54</v>
      </c>
      <c r="I592">
        <v>54</v>
      </c>
      <c r="J592">
        <v>51</v>
      </c>
      <c r="K592">
        <v>53</v>
      </c>
      <c r="L592">
        <v>59</v>
      </c>
      <c r="M592">
        <v>64</v>
      </c>
      <c r="N592">
        <v>62</v>
      </c>
      <c r="O592" s="173">
        <f t="shared" si="128"/>
        <v>57.416666666666664</v>
      </c>
      <c r="P592" s="173">
        <f t="shared" si="129"/>
        <v>-11.833333333333336</v>
      </c>
      <c r="Q592" s="177">
        <f t="shared" si="130"/>
        <v>-0.17087845968712398</v>
      </c>
    </row>
    <row r="593" spans="1:17" x14ac:dyDescent="0.2">
      <c r="B593" t="s">
        <v>287</v>
      </c>
      <c r="C593">
        <v>66</v>
      </c>
      <c r="D593">
        <v>68</v>
      </c>
      <c r="E593">
        <v>66</v>
      </c>
      <c r="F593">
        <v>65</v>
      </c>
      <c r="G593">
        <v>63</v>
      </c>
      <c r="H593">
        <v>68</v>
      </c>
      <c r="I593">
        <v>63</v>
      </c>
      <c r="J593">
        <v>57</v>
      </c>
      <c r="K593">
        <v>45</v>
      </c>
      <c r="L593">
        <v>45</v>
      </c>
      <c r="M593">
        <v>47</v>
      </c>
      <c r="N593">
        <v>49</v>
      </c>
      <c r="O593" s="173">
        <f t="shared" si="128"/>
        <v>58.5</v>
      </c>
      <c r="P593" s="173">
        <f t="shared" si="129"/>
        <v>1.0833333333333357</v>
      </c>
      <c r="Q593" s="177">
        <f t="shared" si="130"/>
        <v>1.8867924528301928E-2</v>
      </c>
    </row>
    <row r="594" spans="1:17" x14ac:dyDescent="0.2">
      <c r="B594" t="s">
        <v>297</v>
      </c>
      <c r="C594">
        <v>47</v>
      </c>
      <c r="D594">
        <v>45</v>
      </c>
      <c r="E594">
        <v>45</v>
      </c>
      <c r="F594">
        <v>47</v>
      </c>
      <c r="G594">
        <v>47</v>
      </c>
      <c r="H594">
        <v>42</v>
      </c>
      <c r="I594">
        <v>40</v>
      </c>
      <c r="J594">
        <v>42</v>
      </c>
      <c r="K594">
        <v>47</v>
      </c>
      <c r="L594">
        <v>46</v>
      </c>
      <c r="M594">
        <v>41</v>
      </c>
      <c r="N594">
        <v>39</v>
      </c>
      <c r="O594" s="173">
        <f t="shared" si="128"/>
        <v>44</v>
      </c>
      <c r="P594" s="173">
        <f t="shared" si="129"/>
        <v>-14.5</v>
      </c>
      <c r="Q594" s="177">
        <f t="shared" si="130"/>
        <v>-0.24786324786324787</v>
      </c>
    </row>
    <row r="595" spans="1:17" x14ac:dyDescent="0.2">
      <c r="B595" t="s">
        <v>300</v>
      </c>
      <c r="C595">
        <v>40</v>
      </c>
      <c r="D595">
        <v>40</v>
      </c>
      <c r="E595">
        <v>40</v>
      </c>
      <c r="F595">
        <v>43</v>
      </c>
      <c r="G595">
        <v>37</v>
      </c>
      <c r="H595">
        <v>38</v>
      </c>
      <c r="I595">
        <v>37</v>
      </c>
      <c r="J595">
        <v>39</v>
      </c>
      <c r="K595">
        <v>41</v>
      </c>
      <c r="L595">
        <v>51</v>
      </c>
      <c r="M595">
        <v>50</v>
      </c>
      <c r="N595">
        <v>37</v>
      </c>
      <c r="O595" s="173">
        <f t="shared" si="128"/>
        <v>41.083333333333336</v>
      </c>
      <c r="P595" s="173">
        <f t="shared" si="129"/>
        <v>-2.9166666666666643</v>
      </c>
      <c r="Q595" s="177">
        <f t="shared" si="130"/>
        <v>-6.6287878787878729E-2</v>
      </c>
    </row>
    <row r="596" spans="1:17" x14ac:dyDescent="0.2">
      <c r="B596" t="s">
        <v>301</v>
      </c>
      <c r="C596">
        <v>39</v>
      </c>
      <c r="D596">
        <v>39</v>
      </c>
      <c r="E596">
        <v>44</v>
      </c>
      <c r="F596">
        <v>39</v>
      </c>
      <c r="G596">
        <v>42</v>
      </c>
      <c r="H596">
        <v>41</v>
      </c>
      <c r="I596">
        <v>40</v>
      </c>
      <c r="J596">
        <v>37</v>
      </c>
      <c r="K596">
        <v>36</v>
      </c>
      <c r="L596">
        <v>36</v>
      </c>
      <c r="M596">
        <v>40</v>
      </c>
      <c r="N596">
        <v>41</v>
      </c>
      <c r="O596" s="173">
        <f t="shared" si="128"/>
        <v>39.5</v>
      </c>
      <c r="P596" s="173">
        <f t="shared" si="129"/>
        <v>-1.5833333333333357</v>
      </c>
      <c r="Q596" s="177">
        <f t="shared" ref="Q596:Q602" si="131">SUM(P596/O595)</f>
        <v>-3.8539553752535552E-2</v>
      </c>
    </row>
    <row r="597" spans="1:17" x14ac:dyDescent="0.2">
      <c r="B597" t="s">
        <v>302</v>
      </c>
      <c r="C597">
        <v>32</v>
      </c>
      <c r="D597">
        <v>34</v>
      </c>
      <c r="E597">
        <v>31</v>
      </c>
      <c r="F597">
        <v>32</v>
      </c>
      <c r="G597">
        <v>33</v>
      </c>
      <c r="H597">
        <v>31</v>
      </c>
      <c r="I597">
        <v>31</v>
      </c>
      <c r="J597">
        <v>31</v>
      </c>
      <c r="K597">
        <v>34</v>
      </c>
      <c r="L597">
        <v>36</v>
      </c>
      <c r="M597">
        <v>40</v>
      </c>
      <c r="N597">
        <v>39</v>
      </c>
      <c r="O597" s="173">
        <f>SUM(C597:N597)/12</f>
        <v>33.666666666666664</v>
      </c>
      <c r="P597" s="173">
        <f t="shared" ref="P597:P602" si="132">SUM(O597-O596)</f>
        <v>-5.8333333333333357</v>
      </c>
      <c r="Q597" s="177">
        <f t="shared" si="131"/>
        <v>-0.14767932489451482</v>
      </c>
    </row>
    <row r="598" spans="1:17" x14ac:dyDescent="0.2">
      <c r="B598" t="s">
        <v>347</v>
      </c>
      <c r="C598">
        <v>43</v>
      </c>
      <c r="D598">
        <v>43</v>
      </c>
      <c r="E598">
        <v>41</v>
      </c>
      <c r="F598">
        <v>0</v>
      </c>
      <c r="G598">
        <v>0</v>
      </c>
      <c r="H598">
        <v>0</v>
      </c>
      <c r="I598">
        <v>35</v>
      </c>
      <c r="J598">
        <v>35</v>
      </c>
      <c r="K598">
        <v>38</v>
      </c>
      <c r="L598">
        <v>36</v>
      </c>
      <c r="M598">
        <v>35</v>
      </c>
      <c r="N598">
        <v>32</v>
      </c>
      <c r="O598" s="173">
        <f>SUM(C598:N598)/9</f>
        <v>37.555555555555557</v>
      </c>
      <c r="P598" s="173">
        <f t="shared" si="132"/>
        <v>3.8888888888888928</v>
      </c>
      <c r="Q598" s="177">
        <f t="shared" si="131"/>
        <v>0.11551155115511563</v>
      </c>
    </row>
    <row r="599" spans="1:17" x14ac:dyDescent="0.2">
      <c r="B599" t="s">
        <v>370</v>
      </c>
      <c r="C599">
        <v>32</v>
      </c>
      <c r="D599">
        <v>33</v>
      </c>
      <c r="E599">
        <v>46</v>
      </c>
      <c r="F599">
        <v>60</v>
      </c>
      <c r="G599">
        <v>63</v>
      </c>
      <c r="H599">
        <v>62</v>
      </c>
      <c r="I599">
        <v>63</v>
      </c>
      <c r="J599">
        <v>64</v>
      </c>
      <c r="K599">
        <v>61</v>
      </c>
      <c r="L599">
        <v>60</v>
      </c>
      <c r="M599">
        <v>67</v>
      </c>
      <c r="N599">
        <v>70</v>
      </c>
      <c r="O599" s="173">
        <f>SUM(C599:N599)/12</f>
        <v>56.75</v>
      </c>
      <c r="P599" s="173">
        <f t="shared" si="132"/>
        <v>19.194444444444443</v>
      </c>
      <c r="Q599" s="177">
        <f t="shared" si="131"/>
        <v>0.51109467455621294</v>
      </c>
    </row>
    <row r="600" spans="1:17" x14ac:dyDescent="0.2">
      <c r="B600" t="s">
        <v>452</v>
      </c>
      <c r="C600">
        <v>68</v>
      </c>
      <c r="D600">
        <v>65</v>
      </c>
      <c r="E600">
        <v>62</v>
      </c>
      <c r="F600">
        <v>61</v>
      </c>
      <c r="G600">
        <v>65</v>
      </c>
      <c r="H600">
        <v>66</v>
      </c>
      <c r="I600">
        <v>68</v>
      </c>
      <c r="J600">
        <v>66</v>
      </c>
      <c r="K600">
        <v>70</v>
      </c>
      <c r="L600">
        <v>68</v>
      </c>
      <c r="M600">
        <v>65</v>
      </c>
      <c r="N600">
        <v>68</v>
      </c>
      <c r="O600" s="173">
        <f>SUM(C600:N600)/12</f>
        <v>66</v>
      </c>
      <c r="P600" s="173">
        <f t="shared" si="132"/>
        <v>9.25</v>
      </c>
      <c r="Q600" s="177">
        <f t="shared" si="131"/>
        <v>0.16299559471365638</v>
      </c>
    </row>
    <row r="601" spans="1:17" x14ac:dyDescent="0.2">
      <c r="B601" t="s">
        <v>487</v>
      </c>
      <c r="C601">
        <v>70</v>
      </c>
      <c r="D601">
        <v>71</v>
      </c>
      <c r="E601">
        <v>74</v>
      </c>
      <c r="F601">
        <v>74</v>
      </c>
      <c r="G601">
        <v>74</v>
      </c>
      <c r="H601">
        <v>79</v>
      </c>
      <c r="I601">
        <v>77</v>
      </c>
      <c r="J601">
        <v>80</v>
      </c>
      <c r="K601">
        <v>70</v>
      </c>
      <c r="L601">
        <v>66</v>
      </c>
      <c r="M601">
        <v>65</v>
      </c>
      <c r="N601">
        <v>57</v>
      </c>
      <c r="O601" s="173">
        <f>SUM(C601:N601)/12</f>
        <v>71.416666666666671</v>
      </c>
      <c r="P601" s="173">
        <f t="shared" si="132"/>
        <v>5.4166666666666714</v>
      </c>
      <c r="Q601" s="177">
        <f t="shared" si="131"/>
        <v>8.2070707070707141E-2</v>
      </c>
    </row>
    <row r="602" spans="1:17" x14ac:dyDescent="0.2">
      <c r="B602" t="s">
        <v>561</v>
      </c>
      <c r="C602">
        <v>55</v>
      </c>
      <c r="D602">
        <v>70</v>
      </c>
      <c r="E602">
        <v>75</v>
      </c>
      <c r="F602">
        <v>77</v>
      </c>
      <c r="G602">
        <v>78</v>
      </c>
      <c r="H602">
        <v>51</v>
      </c>
      <c r="I602">
        <v>46</v>
      </c>
      <c r="J602">
        <v>50</v>
      </c>
      <c r="K602">
        <v>52</v>
      </c>
      <c r="L602">
        <v>52</v>
      </c>
      <c r="M602">
        <v>53</v>
      </c>
      <c r="N602">
        <v>59</v>
      </c>
      <c r="O602" s="173">
        <f>SUM(C602:N602)/12</f>
        <v>59.833333333333336</v>
      </c>
      <c r="P602" s="173">
        <f t="shared" si="132"/>
        <v>-11.583333333333336</v>
      </c>
      <c r="Q602" s="177">
        <f t="shared" si="131"/>
        <v>-0.16219369894982499</v>
      </c>
    </row>
    <row r="603" spans="1:17" x14ac:dyDescent="0.2">
      <c r="O603" s="173"/>
      <c r="P603" s="173"/>
      <c r="Q603" s="177"/>
    </row>
    <row r="604" spans="1:17" ht="25.5" x14ac:dyDescent="0.2">
      <c r="A604" s="175" t="s">
        <v>454</v>
      </c>
      <c r="B604" s="703" t="s">
        <v>433</v>
      </c>
      <c r="C604" s="704" t="s">
        <v>434</v>
      </c>
      <c r="D604" s="704" t="s">
        <v>435</v>
      </c>
      <c r="E604" s="704" t="s">
        <v>436</v>
      </c>
      <c r="F604" s="704" t="s">
        <v>437</v>
      </c>
      <c r="G604" s="704" t="s">
        <v>438</v>
      </c>
      <c r="H604" s="704" t="s">
        <v>439</v>
      </c>
      <c r="I604" s="704" t="s">
        <v>440</v>
      </c>
      <c r="J604" s="704" t="s">
        <v>441</v>
      </c>
      <c r="K604" s="704" t="s">
        <v>442</v>
      </c>
      <c r="L604" s="704" t="s">
        <v>443</v>
      </c>
      <c r="M604" s="704" t="s">
        <v>444</v>
      </c>
      <c r="N604" s="704" t="s">
        <v>445</v>
      </c>
    </row>
    <row r="605" spans="1:17" x14ac:dyDescent="0.2">
      <c r="B605" t="s">
        <v>449</v>
      </c>
      <c r="C605">
        <v>305</v>
      </c>
      <c r="D605">
        <v>299</v>
      </c>
      <c r="E605">
        <v>289</v>
      </c>
      <c r="F605">
        <v>276</v>
      </c>
      <c r="G605">
        <v>277</v>
      </c>
      <c r="H605">
        <v>295</v>
      </c>
      <c r="I605">
        <v>283</v>
      </c>
      <c r="J605">
        <v>273</v>
      </c>
      <c r="K605">
        <v>259</v>
      </c>
      <c r="L605">
        <v>249</v>
      </c>
      <c r="M605">
        <v>241</v>
      </c>
      <c r="N605">
        <v>237</v>
      </c>
      <c r="O605" s="173">
        <f t="shared" ref="O605:O619" si="133">SUM(C605:N605)/12</f>
        <v>273.58333333333331</v>
      </c>
      <c r="P605" s="173"/>
    </row>
    <row r="606" spans="1:17" x14ac:dyDescent="0.2">
      <c r="B606" t="s">
        <v>450</v>
      </c>
      <c r="C606">
        <v>237</v>
      </c>
      <c r="D606">
        <v>230</v>
      </c>
      <c r="E606">
        <v>230</v>
      </c>
      <c r="F606">
        <v>230</v>
      </c>
      <c r="G606">
        <v>231</v>
      </c>
      <c r="H606">
        <v>215</v>
      </c>
      <c r="I606">
        <v>218</v>
      </c>
      <c r="J606">
        <v>212</v>
      </c>
      <c r="K606">
        <v>214</v>
      </c>
      <c r="L606">
        <v>217</v>
      </c>
      <c r="M606">
        <v>220</v>
      </c>
      <c r="N606">
        <v>218</v>
      </c>
      <c r="O606" s="173">
        <f t="shared" si="133"/>
        <v>222.66666666666666</v>
      </c>
      <c r="P606" s="173">
        <f t="shared" ref="P606:P613" si="134">SUM(O606-O605)</f>
        <v>-50.916666666666657</v>
      </c>
      <c r="Q606" s="177">
        <f t="shared" ref="Q606:Q612" si="135">SUM(P606/O605)</f>
        <v>-0.18611026500152297</v>
      </c>
    </row>
    <row r="607" spans="1:17" x14ac:dyDescent="0.2">
      <c r="B607" t="s">
        <v>451</v>
      </c>
      <c r="C607">
        <v>231</v>
      </c>
      <c r="D607">
        <v>230</v>
      </c>
      <c r="E607">
        <v>234</v>
      </c>
      <c r="F607">
        <v>229</v>
      </c>
      <c r="G607">
        <v>230</v>
      </c>
      <c r="H607">
        <v>240</v>
      </c>
      <c r="I607">
        <v>245</v>
      </c>
      <c r="J607">
        <v>250</v>
      </c>
      <c r="K607">
        <v>255</v>
      </c>
      <c r="L607">
        <v>260</v>
      </c>
      <c r="M607">
        <v>265</v>
      </c>
      <c r="N607">
        <v>270</v>
      </c>
      <c r="O607" s="173">
        <f t="shared" si="133"/>
        <v>244.91666666666666</v>
      </c>
      <c r="P607" s="173">
        <f t="shared" si="134"/>
        <v>22.25</v>
      </c>
      <c r="Q607" s="177">
        <f t="shared" si="135"/>
        <v>9.9925149700598806E-2</v>
      </c>
    </row>
    <row r="608" spans="1:17" x14ac:dyDescent="0.2">
      <c r="B608" t="s">
        <v>267</v>
      </c>
      <c r="C608">
        <v>280</v>
      </c>
      <c r="D608">
        <v>237</v>
      </c>
      <c r="E608">
        <v>253</v>
      </c>
      <c r="F608">
        <v>253</v>
      </c>
      <c r="G608">
        <v>253</v>
      </c>
      <c r="H608">
        <v>253</v>
      </c>
      <c r="I608">
        <v>253</v>
      </c>
      <c r="J608">
        <v>253</v>
      </c>
      <c r="K608">
        <v>253</v>
      </c>
      <c r="L608">
        <v>260</v>
      </c>
      <c r="M608">
        <v>265</v>
      </c>
      <c r="N608">
        <v>270</v>
      </c>
      <c r="O608" s="173">
        <f t="shared" si="133"/>
        <v>256.91666666666669</v>
      </c>
      <c r="P608" s="173">
        <f t="shared" si="134"/>
        <v>12.000000000000028</v>
      </c>
      <c r="Q608" s="177">
        <f t="shared" si="135"/>
        <v>4.899625723035058E-2</v>
      </c>
    </row>
    <row r="609" spans="1:18" x14ac:dyDescent="0.2">
      <c r="B609" t="s">
        <v>266</v>
      </c>
      <c r="C609">
        <v>288</v>
      </c>
      <c r="D609">
        <v>261</v>
      </c>
      <c r="E609">
        <v>258</v>
      </c>
      <c r="F609">
        <v>267</v>
      </c>
      <c r="G609">
        <v>259</v>
      </c>
      <c r="H609">
        <v>267</v>
      </c>
      <c r="I609">
        <v>272</v>
      </c>
      <c r="J609">
        <v>273</v>
      </c>
      <c r="K609">
        <v>300</v>
      </c>
      <c r="L609">
        <v>296</v>
      </c>
      <c r="M609">
        <v>319</v>
      </c>
      <c r="N609">
        <v>317</v>
      </c>
      <c r="O609" s="173">
        <f t="shared" si="133"/>
        <v>281.41666666666669</v>
      </c>
      <c r="P609" s="173">
        <f t="shared" si="134"/>
        <v>24.5</v>
      </c>
      <c r="Q609" s="177">
        <f t="shared" si="135"/>
        <v>9.5361660720077845E-2</v>
      </c>
    </row>
    <row r="610" spans="1:18" x14ac:dyDescent="0.2">
      <c r="B610" t="s">
        <v>287</v>
      </c>
      <c r="C610">
        <v>297</v>
      </c>
      <c r="D610">
        <v>306</v>
      </c>
      <c r="E610">
        <v>312</v>
      </c>
      <c r="F610">
        <v>311</v>
      </c>
      <c r="G610">
        <v>312</v>
      </c>
      <c r="H610">
        <v>252</v>
      </c>
      <c r="I610">
        <v>312</v>
      </c>
      <c r="J610">
        <v>314</v>
      </c>
      <c r="K610">
        <v>316</v>
      </c>
      <c r="L610">
        <v>235</v>
      </c>
      <c r="M610">
        <v>248</v>
      </c>
      <c r="N610">
        <v>323</v>
      </c>
      <c r="O610" s="173">
        <f t="shared" si="133"/>
        <v>294.83333333333331</v>
      </c>
      <c r="P610" s="173">
        <f t="shared" si="134"/>
        <v>13.416666666666629</v>
      </c>
      <c r="Q610" s="177">
        <f t="shared" si="135"/>
        <v>4.7675451584246235E-2</v>
      </c>
    </row>
    <row r="611" spans="1:18" x14ac:dyDescent="0.2">
      <c r="B611" t="s">
        <v>297</v>
      </c>
      <c r="C611">
        <v>322</v>
      </c>
      <c r="D611">
        <v>318</v>
      </c>
      <c r="E611">
        <v>302</v>
      </c>
      <c r="F611">
        <v>299</v>
      </c>
      <c r="G611">
        <v>301</v>
      </c>
      <c r="H611">
        <v>296</v>
      </c>
      <c r="I611">
        <v>286</v>
      </c>
      <c r="J611">
        <v>290</v>
      </c>
      <c r="K611">
        <v>283</v>
      </c>
      <c r="L611">
        <v>284</v>
      </c>
      <c r="M611">
        <v>289</v>
      </c>
      <c r="N611">
        <v>279</v>
      </c>
      <c r="O611" s="173">
        <f t="shared" si="133"/>
        <v>295.75</v>
      </c>
      <c r="P611" s="173">
        <f t="shared" si="134"/>
        <v>0.91666666666668561</v>
      </c>
      <c r="Q611" s="177">
        <f t="shared" si="135"/>
        <v>3.109101187111427E-3</v>
      </c>
    </row>
    <row r="612" spans="1:18" x14ac:dyDescent="0.2">
      <c r="B612" t="s">
        <v>300</v>
      </c>
      <c r="C612">
        <v>278</v>
      </c>
      <c r="D612">
        <v>270</v>
      </c>
      <c r="E612">
        <v>262</v>
      </c>
      <c r="F612">
        <v>253</v>
      </c>
      <c r="G612">
        <v>261</v>
      </c>
      <c r="H612">
        <v>259</v>
      </c>
      <c r="I612">
        <v>254</v>
      </c>
      <c r="J612">
        <v>255</v>
      </c>
      <c r="K612">
        <v>249</v>
      </c>
      <c r="L612">
        <v>267</v>
      </c>
      <c r="M612">
        <v>263</v>
      </c>
      <c r="N612">
        <v>250</v>
      </c>
      <c r="O612" s="173">
        <f t="shared" si="133"/>
        <v>260.08333333333331</v>
      </c>
      <c r="P612" s="173">
        <f t="shared" si="134"/>
        <v>-35.666666666666686</v>
      </c>
      <c r="Q612" s="177">
        <f t="shared" si="135"/>
        <v>-0.1205973513665822</v>
      </c>
    </row>
    <row r="613" spans="1:18" x14ac:dyDescent="0.2">
      <c r="B613" t="s">
        <v>301</v>
      </c>
      <c r="C613">
        <v>247</v>
      </c>
      <c r="D613">
        <v>250</v>
      </c>
      <c r="E613">
        <v>240</v>
      </c>
      <c r="F613">
        <v>238</v>
      </c>
      <c r="G613">
        <v>230</v>
      </c>
      <c r="H613">
        <v>228</v>
      </c>
      <c r="I613">
        <v>230</v>
      </c>
      <c r="J613">
        <v>228</v>
      </c>
      <c r="K613">
        <v>226</v>
      </c>
      <c r="L613">
        <v>224</v>
      </c>
      <c r="M613">
        <v>228</v>
      </c>
      <c r="N613">
        <v>233</v>
      </c>
      <c r="O613" s="173">
        <f t="shared" si="133"/>
        <v>233.5</v>
      </c>
      <c r="P613" s="173">
        <f t="shared" si="134"/>
        <v>-26.583333333333314</v>
      </c>
      <c r="Q613" s="177">
        <f t="shared" ref="Q613:Q619" si="136">SUM(P613/O612)</f>
        <v>-0.10221082986222359</v>
      </c>
    </row>
    <row r="614" spans="1:18" x14ac:dyDescent="0.2">
      <c r="B614" t="s">
        <v>302</v>
      </c>
      <c r="C614">
        <v>212</v>
      </c>
      <c r="D614">
        <v>216</v>
      </c>
      <c r="E614">
        <v>221</v>
      </c>
      <c r="F614">
        <v>228</v>
      </c>
      <c r="G614">
        <v>226</v>
      </c>
      <c r="H614">
        <v>230</v>
      </c>
      <c r="I614">
        <v>222</v>
      </c>
      <c r="J614">
        <v>225</v>
      </c>
      <c r="K614">
        <v>236</v>
      </c>
      <c r="L614">
        <v>242</v>
      </c>
      <c r="M614">
        <v>246</v>
      </c>
      <c r="N614">
        <v>252</v>
      </c>
      <c r="O614" s="173">
        <f t="shared" si="133"/>
        <v>229.66666666666666</v>
      </c>
      <c r="P614" s="173">
        <f t="shared" ref="P614:P619" si="137">SUM(O614-O613)</f>
        <v>-3.8333333333333428</v>
      </c>
      <c r="Q614" s="177">
        <f t="shared" si="136"/>
        <v>-1.6416845110635302E-2</v>
      </c>
    </row>
    <row r="615" spans="1:18" x14ac:dyDescent="0.2">
      <c r="B615" t="s">
        <v>347</v>
      </c>
      <c r="C615">
        <v>247</v>
      </c>
      <c r="D615">
        <v>248</v>
      </c>
      <c r="E615">
        <v>247</v>
      </c>
      <c r="F615">
        <v>247</v>
      </c>
      <c r="G615">
        <v>254</v>
      </c>
      <c r="H615">
        <v>258</v>
      </c>
      <c r="I615">
        <v>257</v>
      </c>
      <c r="J615">
        <v>255</v>
      </c>
      <c r="K615">
        <v>252</v>
      </c>
      <c r="L615">
        <v>251</v>
      </c>
      <c r="M615">
        <v>249</v>
      </c>
      <c r="N615">
        <v>259</v>
      </c>
      <c r="O615" s="173">
        <f t="shared" si="133"/>
        <v>252</v>
      </c>
      <c r="P615" s="173">
        <f t="shared" si="137"/>
        <v>22.333333333333343</v>
      </c>
      <c r="Q615" s="177">
        <f t="shared" si="136"/>
        <v>9.7242380261248235E-2</v>
      </c>
    </row>
    <row r="616" spans="1:18" x14ac:dyDescent="0.2">
      <c r="B616" t="s">
        <v>370</v>
      </c>
      <c r="C616">
        <v>264</v>
      </c>
      <c r="D616">
        <v>260</v>
      </c>
      <c r="E616">
        <v>262</v>
      </c>
      <c r="F616">
        <v>259</v>
      </c>
      <c r="G616">
        <v>247</v>
      </c>
      <c r="H616">
        <v>238</v>
      </c>
      <c r="I616">
        <v>224</v>
      </c>
      <c r="J616">
        <v>232</v>
      </c>
      <c r="K616">
        <v>239</v>
      </c>
      <c r="L616">
        <v>243</v>
      </c>
      <c r="M616">
        <v>246</v>
      </c>
      <c r="N616">
        <v>247</v>
      </c>
      <c r="O616" s="173">
        <f t="shared" si="133"/>
        <v>246.75</v>
      </c>
      <c r="P616" s="173">
        <f t="shared" si="137"/>
        <v>-5.25</v>
      </c>
      <c r="Q616" s="177">
        <f t="shared" si="136"/>
        <v>-2.0833333333333332E-2</v>
      </c>
      <c r="R616" t="s">
        <v>455</v>
      </c>
    </row>
    <row r="617" spans="1:18" x14ac:dyDescent="0.2">
      <c r="B617" t="s">
        <v>452</v>
      </c>
      <c r="C617">
        <v>257</v>
      </c>
      <c r="D617">
        <v>248</v>
      </c>
      <c r="E617">
        <v>250</v>
      </c>
      <c r="F617">
        <v>264</v>
      </c>
      <c r="G617">
        <v>265</v>
      </c>
      <c r="H617">
        <v>270</v>
      </c>
      <c r="I617">
        <v>279</v>
      </c>
      <c r="J617">
        <v>279</v>
      </c>
      <c r="K617">
        <v>266</v>
      </c>
      <c r="L617">
        <v>260</v>
      </c>
      <c r="M617">
        <v>260</v>
      </c>
      <c r="N617">
        <v>272</v>
      </c>
      <c r="O617" s="173">
        <f t="shared" si="133"/>
        <v>264.16666666666669</v>
      </c>
      <c r="P617" s="173">
        <f t="shared" si="137"/>
        <v>17.416666666666686</v>
      </c>
      <c r="Q617" s="177">
        <f t="shared" si="136"/>
        <v>7.0584262073623852E-2</v>
      </c>
    </row>
    <row r="618" spans="1:18" x14ac:dyDescent="0.2">
      <c r="B618" t="s">
        <v>487</v>
      </c>
      <c r="C618">
        <v>276</v>
      </c>
      <c r="D618">
        <v>277</v>
      </c>
      <c r="E618">
        <v>283</v>
      </c>
      <c r="F618">
        <v>298</v>
      </c>
      <c r="G618">
        <v>294</v>
      </c>
      <c r="H618">
        <v>295</v>
      </c>
      <c r="I618">
        <v>289</v>
      </c>
      <c r="J618">
        <v>284</v>
      </c>
      <c r="K618">
        <v>288</v>
      </c>
      <c r="L618">
        <v>290</v>
      </c>
      <c r="M618">
        <v>303</v>
      </c>
      <c r="N618">
        <v>300</v>
      </c>
      <c r="O618" s="173">
        <f t="shared" si="133"/>
        <v>289.75</v>
      </c>
      <c r="P618" s="173">
        <f t="shared" si="137"/>
        <v>25.583333333333314</v>
      </c>
      <c r="Q618" s="177">
        <f t="shared" si="136"/>
        <v>9.6845425867507814E-2</v>
      </c>
    </row>
    <row r="619" spans="1:18" x14ac:dyDescent="0.2">
      <c r="B619" t="s">
        <v>561</v>
      </c>
      <c r="C619">
        <v>305</v>
      </c>
      <c r="D619">
        <v>296</v>
      </c>
      <c r="E619">
        <v>293</v>
      </c>
      <c r="F619">
        <v>294</v>
      </c>
      <c r="G619">
        <v>286</v>
      </c>
      <c r="H619">
        <v>283</v>
      </c>
      <c r="I619">
        <v>274</v>
      </c>
      <c r="J619">
        <v>260</v>
      </c>
      <c r="K619">
        <v>259</v>
      </c>
      <c r="L619">
        <v>266</v>
      </c>
      <c r="M619">
        <v>259</v>
      </c>
      <c r="N619">
        <v>266</v>
      </c>
      <c r="O619" s="173">
        <f t="shared" si="133"/>
        <v>278.41666666666669</v>
      </c>
      <c r="P619" s="173">
        <f t="shared" si="137"/>
        <v>-11.333333333333314</v>
      </c>
      <c r="Q619" s="177">
        <f t="shared" si="136"/>
        <v>-3.9114178889847508E-2</v>
      </c>
    </row>
    <row r="620" spans="1:18" x14ac:dyDescent="0.2">
      <c r="O620" s="173"/>
      <c r="P620" s="173"/>
      <c r="Q620" s="177"/>
    </row>
    <row r="621" spans="1:18" x14ac:dyDescent="0.2">
      <c r="A621" s="178"/>
      <c r="B621" s="178"/>
      <c r="C621" s="178"/>
      <c r="D621" s="178"/>
      <c r="E621" s="178"/>
      <c r="F621" s="178"/>
      <c r="G621" s="178"/>
      <c r="H621" s="178"/>
      <c r="I621" s="178"/>
      <c r="J621" s="178"/>
      <c r="K621" s="178"/>
      <c r="L621" s="178"/>
      <c r="M621" s="178"/>
      <c r="N621" s="178"/>
      <c r="O621" s="178"/>
      <c r="P621" s="178"/>
      <c r="Q621" s="178"/>
    </row>
    <row r="622" spans="1:18" ht="25.5" x14ac:dyDescent="0.2">
      <c r="A622" s="175" t="s">
        <v>456</v>
      </c>
      <c r="B622" s="703" t="s">
        <v>433</v>
      </c>
      <c r="C622" s="704" t="s">
        <v>434</v>
      </c>
      <c r="D622" s="704" t="s">
        <v>435</v>
      </c>
      <c r="E622" s="704" t="s">
        <v>436</v>
      </c>
      <c r="F622" s="704" t="s">
        <v>437</v>
      </c>
      <c r="G622" s="704" t="s">
        <v>438</v>
      </c>
      <c r="H622" s="704" t="s">
        <v>439</v>
      </c>
      <c r="I622" s="704" t="s">
        <v>440</v>
      </c>
      <c r="J622" s="704" t="s">
        <v>441</v>
      </c>
      <c r="K622" s="704" t="s">
        <v>442</v>
      </c>
      <c r="L622" s="704" t="s">
        <v>443</v>
      </c>
      <c r="M622" s="704" t="s">
        <v>444</v>
      </c>
      <c r="N622" s="704" t="s">
        <v>445</v>
      </c>
    </row>
    <row r="623" spans="1:18" x14ac:dyDescent="0.2">
      <c r="B623" t="s">
        <v>449</v>
      </c>
      <c r="C623">
        <v>65</v>
      </c>
      <c r="D623">
        <v>62</v>
      </c>
      <c r="E623">
        <v>57</v>
      </c>
      <c r="F623">
        <v>56</v>
      </c>
      <c r="G623">
        <v>52</v>
      </c>
      <c r="H623">
        <v>51</v>
      </c>
      <c r="I623">
        <v>49</v>
      </c>
      <c r="J623">
        <v>55</v>
      </c>
      <c r="K623">
        <v>59</v>
      </c>
      <c r="L623">
        <v>55</v>
      </c>
      <c r="M623">
        <v>54</v>
      </c>
      <c r="N623">
        <v>66</v>
      </c>
      <c r="O623" s="173">
        <f t="shared" ref="O623:O637" si="138">SUM(C623:N623)/12</f>
        <v>56.75</v>
      </c>
      <c r="P623" s="173"/>
    </row>
    <row r="624" spans="1:18" x14ac:dyDescent="0.2">
      <c r="B624" t="s">
        <v>450</v>
      </c>
      <c r="C624">
        <v>67</v>
      </c>
      <c r="D624">
        <v>72</v>
      </c>
      <c r="E624">
        <v>72</v>
      </c>
      <c r="F624">
        <v>73</v>
      </c>
      <c r="G624">
        <v>71</v>
      </c>
      <c r="H624">
        <v>74</v>
      </c>
      <c r="I624">
        <v>74</v>
      </c>
      <c r="J624">
        <v>74</v>
      </c>
      <c r="K624">
        <v>70</v>
      </c>
      <c r="L624">
        <v>66</v>
      </c>
      <c r="M624">
        <v>62</v>
      </c>
      <c r="N624">
        <v>63</v>
      </c>
      <c r="O624" s="173">
        <f t="shared" si="138"/>
        <v>69.833333333333329</v>
      </c>
      <c r="P624" s="173">
        <f t="shared" ref="P624:P631" si="139">SUM(O624-O623)</f>
        <v>13.083333333333329</v>
      </c>
      <c r="Q624" s="177">
        <f t="shared" ref="Q624:Q630" si="140">SUM(P624/O623)</f>
        <v>0.23054331864904543</v>
      </c>
    </row>
    <row r="625" spans="1:17" x14ac:dyDescent="0.2">
      <c r="B625" t="s">
        <v>451</v>
      </c>
      <c r="C625">
        <v>68</v>
      </c>
      <c r="D625">
        <v>75</v>
      </c>
      <c r="E625">
        <v>74</v>
      </c>
      <c r="F625">
        <v>79</v>
      </c>
      <c r="G625">
        <v>75</v>
      </c>
      <c r="H625">
        <v>74</v>
      </c>
      <c r="I625">
        <v>64</v>
      </c>
      <c r="J625">
        <v>75</v>
      </c>
      <c r="K625">
        <v>76</v>
      </c>
      <c r="L625">
        <v>78</v>
      </c>
      <c r="M625">
        <v>79</v>
      </c>
      <c r="N625">
        <v>81</v>
      </c>
      <c r="O625" s="173">
        <f t="shared" si="138"/>
        <v>74.833333333333329</v>
      </c>
      <c r="P625" s="173">
        <f t="shared" si="139"/>
        <v>5</v>
      </c>
      <c r="Q625" s="177">
        <f t="shared" si="140"/>
        <v>7.1599045346062054E-2</v>
      </c>
    </row>
    <row r="626" spans="1:17" x14ac:dyDescent="0.2">
      <c r="B626" t="s">
        <v>267</v>
      </c>
      <c r="C626">
        <v>76</v>
      </c>
      <c r="D626">
        <v>79</v>
      </c>
      <c r="E626">
        <v>76</v>
      </c>
      <c r="F626">
        <v>74</v>
      </c>
      <c r="G626">
        <v>72</v>
      </c>
      <c r="H626">
        <v>70</v>
      </c>
      <c r="I626">
        <v>68</v>
      </c>
      <c r="J626">
        <v>59</v>
      </c>
      <c r="K626">
        <v>67</v>
      </c>
      <c r="L626">
        <v>66</v>
      </c>
      <c r="M626">
        <v>67</v>
      </c>
      <c r="N626">
        <v>64</v>
      </c>
      <c r="O626" s="173">
        <f t="shared" si="138"/>
        <v>69.833333333333329</v>
      </c>
      <c r="P626" s="173">
        <f t="shared" si="139"/>
        <v>-5</v>
      </c>
      <c r="Q626" s="177">
        <f t="shared" si="140"/>
        <v>-6.6815144766147E-2</v>
      </c>
    </row>
    <row r="627" spans="1:17" x14ac:dyDescent="0.2">
      <c r="B627" t="s">
        <v>266</v>
      </c>
      <c r="C627">
        <v>67</v>
      </c>
      <c r="D627">
        <v>57</v>
      </c>
      <c r="E627">
        <v>57</v>
      </c>
      <c r="F627">
        <v>58</v>
      </c>
      <c r="G627">
        <v>57</v>
      </c>
      <c r="H627">
        <v>60</v>
      </c>
      <c r="I627">
        <v>55</v>
      </c>
      <c r="J627">
        <v>55</v>
      </c>
      <c r="K627">
        <v>64</v>
      </c>
      <c r="L627">
        <v>61</v>
      </c>
      <c r="M627">
        <v>68</v>
      </c>
      <c r="N627">
        <v>67</v>
      </c>
      <c r="O627" s="173">
        <f t="shared" si="138"/>
        <v>60.5</v>
      </c>
      <c r="P627" s="173">
        <f t="shared" si="139"/>
        <v>-9.3333333333333286</v>
      </c>
      <c r="Q627" s="177">
        <f t="shared" si="140"/>
        <v>-0.13365155131264911</v>
      </c>
    </row>
    <row r="628" spans="1:17" x14ac:dyDescent="0.2">
      <c r="B628" t="s">
        <v>287</v>
      </c>
      <c r="C628">
        <v>71</v>
      </c>
      <c r="D628">
        <v>62</v>
      </c>
      <c r="E628">
        <v>61</v>
      </c>
      <c r="F628">
        <v>59</v>
      </c>
      <c r="G628">
        <v>54</v>
      </c>
      <c r="H628">
        <v>56</v>
      </c>
      <c r="I628">
        <v>56</v>
      </c>
      <c r="J628">
        <v>58</v>
      </c>
      <c r="K628">
        <v>60</v>
      </c>
      <c r="L628">
        <v>65</v>
      </c>
      <c r="M628">
        <v>72</v>
      </c>
      <c r="N628">
        <v>75</v>
      </c>
      <c r="O628" s="173">
        <f t="shared" si="138"/>
        <v>62.416666666666664</v>
      </c>
      <c r="P628" s="173">
        <f t="shared" si="139"/>
        <v>1.9166666666666643</v>
      </c>
      <c r="Q628" s="177">
        <f t="shared" si="140"/>
        <v>3.1680440771349822E-2</v>
      </c>
    </row>
    <row r="629" spans="1:17" x14ac:dyDescent="0.2">
      <c r="B629" t="s">
        <v>297</v>
      </c>
      <c r="C629">
        <v>76</v>
      </c>
      <c r="D629">
        <v>73</v>
      </c>
      <c r="E629">
        <v>67</v>
      </c>
      <c r="F629">
        <v>66</v>
      </c>
      <c r="G629">
        <v>66</v>
      </c>
      <c r="H629">
        <v>68</v>
      </c>
      <c r="I629">
        <v>69</v>
      </c>
      <c r="J629">
        <v>72</v>
      </c>
      <c r="K629">
        <v>69</v>
      </c>
      <c r="L629">
        <v>75</v>
      </c>
      <c r="M629">
        <v>73</v>
      </c>
      <c r="N629">
        <v>74</v>
      </c>
      <c r="O629" s="173">
        <f t="shared" si="138"/>
        <v>70.666666666666671</v>
      </c>
      <c r="P629" s="173">
        <f t="shared" si="139"/>
        <v>8.2500000000000071</v>
      </c>
      <c r="Q629" s="177">
        <f t="shared" si="140"/>
        <v>0.13217623497997341</v>
      </c>
    </row>
    <row r="630" spans="1:17" x14ac:dyDescent="0.2">
      <c r="B630" t="s">
        <v>300</v>
      </c>
      <c r="C630">
        <v>72</v>
      </c>
      <c r="D630">
        <v>72</v>
      </c>
      <c r="E630">
        <v>71</v>
      </c>
      <c r="F630">
        <v>73</v>
      </c>
      <c r="G630">
        <v>77</v>
      </c>
      <c r="H630">
        <v>76</v>
      </c>
      <c r="I630">
        <v>76</v>
      </c>
      <c r="J630">
        <v>78</v>
      </c>
      <c r="K630">
        <v>74</v>
      </c>
      <c r="L630">
        <v>88</v>
      </c>
      <c r="M630">
        <v>92</v>
      </c>
      <c r="N630">
        <v>76</v>
      </c>
      <c r="O630" s="173">
        <f t="shared" si="138"/>
        <v>77.083333333333329</v>
      </c>
      <c r="P630" s="173">
        <f t="shared" si="139"/>
        <v>6.4166666666666572</v>
      </c>
      <c r="Q630" s="177">
        <f t="shared" si="140"/>
        <v>9.0801886792452685E-2</v>
      </c>
    </row>
    <row r="631" spans="1:17" x14ac:dyDescent="0.2">
      <c r="B631" t="s">
        <v>301</v>
      </c>
      <c r="C631">
        <v>76</v>
      </c>
      <c r="D631">
        <v>79</v>
      </c>
      <c r="E631">
        <v>94</v>
      </c>
      <c r="F631">
        <v>75</v>
      </c>
      <c r="G631">
        <v>79</v>
      </c>
      <c r="H631">
        <v>77</v>
      </c>
      <c r="I631">
        <v>83</v>
      </c>
      <c r="J631">
        <v>83</v>
      </c>
      <c r="K631">
        <v>86</v>
      </c>
      <c r="L631">
        <v>85</v>
      </c>
      <c r="M631">
        <v>82</v>
      </c>
      <c r="N631">
        <v>89</v>
      </c>
      <c r="O631" s="173">
        <f t="shared" si="138"/>
        <v>82.333333333333329</v>
      </c>
      <c r="P631" s="173">
        <f t="shared" si="139"/>
        <v>5.25</v>
      </c>
      <c r="Q631" s="177">
        <f t="shared" ref="Q631:Q637" si="141">SUM(P631/O630)</f>
        <v>6.8108108108108106E-2</v>
      </c>
    </row>
    <row r="632" spans="1:17" x14ac:dyDescent="0.2">
      <c r="B632" t="s">
        <v>302</v>
      </c>
      <c r="C632">
        <v>92</v>
      </c>
      <c r="D632">
        <v>91</v>
      </c>
      <c r="E632">
        <v>95</v>
      </c>
      <c r="F632">
        <v>93</v>
      </c>
      <c r="G632">
        <v>96</v>
      </c>
      <c r="H632">
        <v>94</v>
      </c>
      <c r="I632">
        <v>91</v>
      </c>
      <c r="J632">
        <v>90</v>
      </c>
      <c r="K632">
        <v>91</v>
      </c>
      <c r="L632">
        <v>95</v>
      </c>
      <c r="M632">
        <v>96</v>
      </c>
      <c r="N632">
        <v>73</v>
      </c>
      <c r="O632" s="173">
        <f t="shared" si="138"/>
        <v>91.416666666666671</v>
      </c>
      <c r="P632" s="173">
        <f t="shared" ref="P632:P637" si="142">SUM(O632-O631)</f>
        <v>9.0833333333333428</v>
      </c>
      <c r="Q632" s="177">
        <f t="shared" si="141"/>
        <v>0.11032388663967624</v>
      </c>
    </row>
    <row r="633" spans="1:17" x14ac:dyDescent="0.2">
      <c r="B633" t="s">
        <v>347</v>
      </c>
      <c r="C633">
        <v>72</v>
      </c>
      <c r="D633">
        <v>72</v>
      </c>
      <c r="E633">
        <v>65</v>
      </c>
      <c r="F633">
        <v>62</v>
      </c>
      <c r="G633">
        <v>61</v>
      </c>
      <c r="H633">
        <v>65</v>
      </c>
      <c r="I633">
        <v>68</v>
      </c>
      <c r="J633">
        <v>70</v>
      </c>
      <c r="K633">
        <v>68</v>
      </c>
      <c r="L633">
        <v>70</v>
      </c>
      <c r="M633">
        <v>71</v>
      </c>
      <c r="N633">
        <v>73</v>
      </c>
      <c r="O633" s="173">
        <f t="shared" si="138"/>
        <v>68.083333333333329</v>
      </c>
      <c r="P633" s="173">
        <f t="shared" si="142"/>
        <v>-23.333333333333343</v>
      </c>
      <c r="Q633" s="177">
        <f t="shared" si="141"/>
        <v>-0.2552415679124887</v>
      </c>
    </row>
    <row r="634" spans="1:17" x14ac:dyDescent="0.2">
      <c r="B634" t="s">
        <v>370</v>
      </c>
      <c r="C634">
        <v>72</v>
      </c>
      <c r="D634">
        <v>70</v>
      </c>
      <c r="E634">
        <v>73</v>
      </c>
      <c r="F634">
        <v>77</v>
      </c>
      <c r="G634">
        <v>74</v>
      </c>
      <c r="H634">
        <v>74</v>
      </c>
      <c r="I634">
        <v>76</v>
      </c>
      <c r="J634">
        <v>75</v>
      </c>
      <c r="K634">
        <v>77</v>
      </c>
      <c r="L634">
        <v>82</v>
      </c>
      <c r="M634">
        <v>85</v>
      </c>
      <c r="N634">
        <v>88</v>
      </c>
      <c r="O634" s="173">
        <f t="shared" si="138"/>
        <v>76.916666666666671</v>
      </c>
      <c r="P634" s="173">
        <f t="shared" si="142"/>
        <v>8.8333333333333428</v>
      </c>
      <c r="Q634" s="177">
        <f t="shared" si="141"/>
        <v>0.1297429620563037</v>
      </c>
    </row>
    <row r="635" spans="1:17" x14ac:dyDescent="0.2">
      <c r="B635" t="s">
        <v>452</v>
      </c>
      <c r="C635">
        <v>88</v>
      </c>
      <c r="D635">
        <v>84</v>
      </c>
      <c r="E635">
        <v>81</v>
      </c>
      <c r="F635">
        <v>81</v>
      </c>
      <c r="G635">
        <v>79</v>
      </c>
      <c r="H635">
        <v>79</v>
      </c>
      <c r="I635">
        <v>77</v>
      </c>
      <c r="J635">
        <v>82</v>
      </c>
      <c r="K635">
        <v>80</v>
      </c>
      <c r="L635">
        <v>73</v>
      </c>
      <c r="M635">
        <v>76</v>
      </c>
      <c r="N635">
        <v>76</v>
      </c>
      <c r="O635" s="173">
        <f t="shared" si="138"/>
        <v>79.666666666666671</v>
      </c>
      <c r="P635" s="173">
        <f t="shared" si="142"/>
        <v>2.75</v>
      </c>
      <c r="Q635" s="177">
        <f t="shared" si="141"/>
        <v>3.5752979414951244E-2</v>
      </c>
    </row>
    <row r="636" spans="1:17" x14ac:dyDescent="0.2">
      <c r="B636" t="s">
        <v>487</v>
      </c>
      <c r="C636">
        <v>75</v>
      </c>
      <c r="D636">
        <v>77</v>
      </c>
      <c r="E636">
        <v>75</v>
      </c>
      <c r="F636">
        <v>75</v>
      </c>
      <c r="G636">
        <v>79</v>
      </c>
      <c r="H636">
        <v>74</v>
      </c>
      <c r="I636">
        <v>75</v>
      </c>
      <c r="J636">
        <v>77</v>
      </c>
      <c r="K636">
        <v>74</v>
      </c>
      <c r="L636">
        <v>70</v>
      </c>
      <c r="M636">
        <v>70</v>
      </c>
      <c r="N636">
        <v>72</v>
      </c>
      <c r="O636" s="173">
        <f t="shared" si="138"/>
        <v>74.416666666666671</v>
      </c>
      <c r="P636" s="173">
        <f t="shared" si="142"/>
        <v>-5.25</v>
      </c>
      <c r="Q636" s="177">
        <f t="shared" si="141"/>
        <v>-6.5899581589958151E-2</v>
      </c>
    </row>
    <row r="637" spans="1:17" x14ac:dyDescent="0.2">
      <c r="B637" t="s">
        <v>561</v>
      </c>
      <c r="C637">
        <v>74</v>
      </c>
      <c r="D637">
        <v>71</v>
      </c>
      <c r="E637">
        <v>73</v>
      </c>
      <c r="F637">
        <v>76</v>
      </c>
      <c r="G637">
        <v>72</v>
      </c>
      <c r="H637">
        <v>70</v>
      </c>
      <c r="I637">
        <v>73</v>
      </c>
      <c r="J637">
        <v>73</v>
      </c>
      <c r="K637">
        <v>72</v>
      </c>
      <c r="L637">
        <v>73</v>
      </c>
      <c r="M637">
        <v>76</v>
      </c>
      <c r="N637">
        <v>77</v>
      </c>
      <c r="O637" s="173">
        <f t="shared" si="138"/>
        <v>73.333333333333329</v>
      </c>
      <c r="P637" s="173">
        <f t="shared" si="142"/>
        <v>-1.0833333333333428</v>
      </c>
      <c r="Q637" s="177">
        <f t="shared" si="141"/>
        <v>-1.4557670772676497E-2</v>
      </c>
    </row>
    <row r="638" spans="1:17" x14ac:dyDescent="0.2">
      <c r="O638" s="173"/>
      <c r="P638" s="173"/>
      <c r="Q638" s="177"/>
    </row>
    <row r="639" spans="1:17" ht="25.5" x14ac:dyDescent="0.2">
      <c r="A639" s="175" t="s">
        <v>457</v>
      </c>
      <c r="B639" s="703" t="s">
        <v>433</v>
      </c>
      <c r="C639" s="704" t="s">
        <v>434</v>
      </c>
      <c r="D639" s="704" t="s">
        <v>435</v>
      </c>
      <c r="E639" s="704" t="s">
        <v>436</v>
      </c>
      <c r="F639" s="704" t="s">
        <v>437</v>
      </c>
      <c r="G639" s="704" t="s">
        <v>438</v>
      </c>
      <c r="H639" s="704" t="s">
        <v>439</v>
      </c>
      <c r="I639" s="704" t="s">
        <v>440</v>
      </c>
      <c r="J639" s="704" t="s">
        <v>441</v>
      </c>
      <c r="K639" s="704" t="s">
        <v>442</v>
      </c>
      <c r="L639" s="704" t="s">
        <v>443</v>
      </c>
      <c r="M639" s="704" t="s">
        <v>444</v>
      </c>
      <c r="N639" s="704" t="s">
        <v>445</v>
      </c>
    </row>
    <row r="640" spans="1:17" x14ac:dyDescent="0.2">
      <c r="B640" t="s">
        <v>449</v>
      </c>
      <c r="C640">
        <v>683</v>
      </c>
      <c r="D640">
        <v>675</v>
      </c>
      <c r="E640">
        <v>696</v>
      </c>
      <c r="F640">
        <v>659</v>
      </c>
      <c r="G640">
        <v>661</v>
      </c>
      <c r="H640">
        <v>650</v>
      </c>
      <c r="I640">
        <v>666</v>
      </c>
      <c r="J640">
        <v>688</v>
      </c>
      <c r="K640">
        <v>667</v>
      </c>
      <c r="L640">
        <v>670</v>
      </c>
      <c r="M640">
        <v>639</v>
      </c>
      <c r="N640">
        <v>653</v>
      </c>
      <c r="O640" s="173">
        <f t="shared" ref="O640:O654" si="143">SUM(C640:N640)/12</f>
        <v>667.25</v>
      </c>
      <c r="P640" s="173"/>
    </row>
    <row r="641" spans="1:17" x14ac:dyDescent="0.2">
      <c r="B641" t="s">
        <v>450</v>
      </c>
      <c r="C641">
        <v>624</v>
      </c>
      <c r="D641">
        <v>643</v>
      </c>
      <c r="E641">
        <v>636</v>
      </c>
      <c r="F641">
        <v>670</v>
      </c>
      <c r="G641">
        <v>642</v>
      </c>
      <c r="H641">
        <v>655</v>
      </c>
      <c r="I641">
        <v>650</v>
      </c>
      <c r="J641">
        <v>660</v>
      </c>
      <c r="K641">
        <v>644</v>
      </c>
      <c r="L641">
        <v>672</v>
      </c>
      <c r="M641">
        <v>658</v>
      </c>
      <c r="N641">
        <v>659</v>
      </c>
      <c r="O641" s="173">
        <f t="shared" si="143"/>
        <v>651.08333333333337</v>
      </c>
      <c r="P641" s="173">
        <f t="shared" ref="P641:P648" si="144">SUM(O641-O640)</f>
        <v>-16.166666666666629</v>
      </c>
      <c r="Q641" s="177">
        <f t="shared" ref="Q641:Q647" si="145">SUM(P641/O640)</f>
        <v>-2.422879980017479E-2</v>
      </c>
    </row>
    <row r="642" spans="1:17" x14ac:dyDescent="0.2">
      <c r="B642" t="s">
        <v>451</v>
      </c>
      <c r="C642">
        <v>661</v>
      </c>
      <c r="D642">
        <v>673</v>
      </c>
      <c r="E642">
        <v>672</v>
      </c>
      <c r="F642">
        <v>632</v>
      </c>
      <c r="G642">
        <v>611</v>
      </c>
      <c r="H642">
        <v>620</v>
      </c>
      <c r="I642">
        <v>633</v>
      </c>
      <c r="J642">
        <v>653</v>
      </c>
      <c r="K642">
        <v>659</v>
      </c>
      <c r="L642">
        <v>665</v>
      </c>
      <c r="M642">
        <v>671</v>
      </c>
      <c r="N642">
        <v>677</v>
      </c>
      <c r="O642" s="173">
        <f t="shared" si="143"/>
        <v>652.25</v>
      </c>
      <c r="P642" s="173">
        <f t="shared" si="144"/>
        <v>1.1666666666666288</v>
      </c>
      <c r="Q642" s="177">
        <f t="shared" si="145"/>
        <v>1.7918853193395041E-3</v>
      </c>
    </row>
    <row r="643" spans="1:17" x14ac:dyDescent="0.2">
      <c r="B643" t="s">
        <v>267</v>
      </c>
      <c r="C643">
        <v>561</v>
      </c>
      <c r="D643">
        <v>574</v>
      </c>
      <c r="E643">
        <v>593</v>
      </c>
      <c r="F643">
        <v>589</v>
      </c>
      <c r="G643">
        <v>589</v>
      </c>
      <c r="H643">
        <v>589</v>
      </c>
      <c r="I643">
        <v>589</v>
      </c>
      <c r="J643">
        <v>589</v>
      </c>
      <c r="K643">
        <v>589</v>
      </c>
      <c r="L643">
        <v>589</v>
      </c>
      <c r="M643">
        <v>589</v>
      </c>
      <c r="N643">
        <v>623</v>
      </c>
      <c r="O643" s="173">
        <f t="shared" si="143"/>
        <v>588.58333333333337</v>
      </c>
      <c r="P643" s="173">
        <f t="shared" si="144"/>
        <v>-63.666666666666629</v>
      </c>
      <c r="Q643" s="177">
        <f t="shared" si="145"/>
        <v>-9.7610834291554816E-2</v>
      </c>
    </row>
    <row r="644" spans="1:17" x14ac:dyDescent="0.2">
      <c r="B644" t="s">
        <v>266</v>
      </c>
      <c r="C644">
        <v>585</v>
      </c>
      <c r="D644">
        <v>542</v>
      </c>
      <c r="E644">
        <v>535</v>
      </c>
      <c r="F644">
        <v>545</v>
      </c>
      <c r="G644">
        <v>547</v>
      </c>
      <c r="H644">
        <v>584</v>
      </c>
      <c r="I644">
        <v>608</v>
      </c>
      <c r="J644">
        <v>604</v>
      </c>
      <c r="K644">
        <v>592</v>
      </c>
      <c r="L644">
        <v>599</v>
      </c>
      <c r="M644">
        <v>628</v>
      </c>
      <c r="N644">
        <v>595</v>
      </c>
      <c r="O644" s="173">
        <f t="shared" si="143"/>
        <v>580.33333333333337</v>
      </c>
      <c r="P644" s="173">
        <f t="shared" si="144"/>
        <v>-8.25</v>
      </c>
      <c r="Q644" s="177">
        <f t="shared" si="145"/>
        <v>-1.4016706781820756E-2</v>
      </c>
    </row>
    <row r="645" spans="1:17" x14ac:dyDescent="0.2">
      <c r="B645" t="s">
        <v>287</v>
      </c>
      <c r="C645">
        <v>601</v>
      </c>
      <c r="D645">
        <v>626</v>
      </c>
      <c r="E645">
        <v>662</v>
      </c>
      <c r="F645">
        <v>646</v>
      </c>
      <c r="G645">
        <v>635</v>
      </c>
      <c r="H645">
        <v>634</v>
      </c>
      <c r="I645">
        <v>628</v>
      </c>
      <c r="J645">
        <v>656</v>
      </c>
      <c r="K645">
        <v>666</v>
      </c>
      <c r="L645">
        <v>657</v>
      </c>
      <c r="M645">
        <v>576</v>
      </c>
      <c r="N645">
        <v>650</v>
      </c>
      <c r="O645" s="173">
        <f t="shared" si="143"/>
        <v>636.41666666666663</v>
      </c>
      <c r="P645" s="173">
        <f t="shared" si="144"/>
        <v>56.083333333333258</v>
      </c>
      <c r="Q645" s="177">
        <f t="shared" si="145"/>
        <v>9.6639862148190564E-2</v>
      </c>
    </row>
    <row r="646" spans="1:17" x14ac:dyDescent="0.2">
      <c r="B646" t="s">
        <v>297</v>
      </c>
      <c r="C646">
        <v>648</v>
      </c>
      <c r="D646">
        <v>660</v>
      </c>
      <c r="E646">
        <v>652</v>
      </c>
      <c r="F646">
        <v>651</v>
      </c>
      <c r="G646">
        <v>646</v>
      </c>
      <c r="H646">
        <v>659</v>
      </c>
      <c r="I646">
        <v>646</v>
      </c>
      <c r="J646">
        <v>702</v>
      </c>
      <c r="K646">
        <v>699</v>
      </c>
      <c r="L646">
        <v>703</v>
      </c>
      <c r="M646">
        <v>711</v>
      </c>
      <c r="N646">
        <v>718</v>
      </c>
      <c r="O646" s="173">
        <f t="shared" si="143"/>
        <v>674.58333333333337</v>
      </c>
      <c r="P646" s="173">
        <f t="shared" si="144"/>
        <v>38.166666666666742</v>
      </c>
      <c r="Q646" s="177">
        <f t="shared" si="145"/>
        <v>5.99711928767842E-2</v>
      </c>
    </row>
    <row r="647" spans="1:17" x14ac:dyDescent="0.2">
      <c r="B647" t="s">
        <v>300</v>
      </c>
      <c r="C647">
        <v>731</v>
      </c>
      <c r="D647">
        <v>726</v>
      </c>
      <c r="E647">
        <v>720</v>
      </c>
      <c r="F647">
        <v>696</v>
      </c>
      <c r="G647">
        <v>731</v>
      </c>
      <c r="H647">
        <v>721</v>
      </c>
      <c r="I647">
        <v>713</v>
      </c>
      <c r="J647">
        <v>701</v>
      </c>
      <c r="K647">
        <v>691</v>
      </c>
      <c r="L647">
        <v>789</v>
      </c>
      <c r="M647">
        <v>764</v>
      </c>
      <c r="N647">
        <v>691</v>
      </c>
      <c r="O647" s="173">
        <f t="shared" si="143"/>
        <v>722.83333333333337</v>
      </c>
      <c r="P647" s="173">
        <f t="shared" si="144"/>
        <v>48.25</v>
      </c>
      <c r="Q647" s="177">
        <f t="shared" si="145"/>
        <v>7.1525633106856085E-2</v>
      </c>
    </row>
    <row r="648" spans="1:17" x14ac:dyDescent="0.2">
      <c r="B648" t="s">
        <v>301</v>
      </c>
      <c r="C648">
        <v>684</v>
      </c>
      <c r="D648">
        <v>691</v>
      </c>
      <c r="E648">
        <v>716</v>
      </c>
      <c r="F648">
        <v>676</v>
      </c>
      <c r="G648">
        <v>671</v>
      </c>
      <c r="H648">
        <v>676</v>
      </c>
      <c r="I648">
        <v>674</v>
      </c>
      <c r="J648">
        <v>667</v>
      </c>
      <c r="K648">
        <v>669</v>
      </c>
      <c r="L648">
        <v>676</v>
      </c>
      <c r="M648">
        <v>714</v>
      </c>
      <c r="N648">
        <v>718</v>
      </c>
      <c r="O648" s="173">
        <f t="shared" si="143"/>
        <v>686</v>
      </c>
      <c r="P648" s="173">
        <f t="shared" si="144"/>
        <v>-36.833333333333371</v>
      </c>
      <c r="Q648" s="177">
        <f t="shared" ref="Q648:Q654" si="146">SUM(P648/O647)</f>
        <v>-5.095688263776809E-2</v>
      </c>
    </row>
    <row r="649" spans="1:17" x14ac:dyDescent="0.2">
      <c r="B649" t="s">
        <v>302</v>
      </c>
      <c r="C649">
        <v>681</v>
      </c>
      <c r="D649">
        <v>689</v>
      </c>
      <c r="E649">
        <v>680</v>
      </c>
      <c r="F649">
        <v>661</v>
      </c>
      <c r="G649">
        <v>661</v>
      </c>
      <c r="H649">
        <v>678</v>
      </c>
      <c r="I649">
        <v>672</v>
      </c>
      <c r="J649">
        <v>687</v>
      </c>
      <c r="K649">
        <v>677</v>
      </c>
      <c r="L649">
        <v>674</v>
      </c>
      <c r="M649">
        <v>674</v>
      </c>
      <c r="N649">
        <v>691</v>
      </c>
      <c r="O649" s="173">
        <f t="shared" si="143"/>
        <v>677.08333333333337</v>
      </c>
      <c r="P649" s="173">
        <f t="shared" ref="P649:P654" si="147">SUM(O649-O648)</f>
        <v>-8.9166666666666288</v>
      </c>
      <c r="Q649" s="177">
        <f t="shared" si="146"/>
        <v>-1.2998056365403248E-2</v>
      </c>
    </row>
    <row r="650" spans="1:17" x14ac:dyDescent="0.2">
      <c r="B650" t="s">
        <v>347</v>
      </c>
      <c r="C650">
        <v>685</v>
      </c>
      <c r="D650">
        <v>703</v>
      </c>
      <c r="E650">
        <v>697</v>
      </c>
      <c r="F650">
        <v>714</v>
      </c>
      <c r="G650">
        <v>713</v>
      </c>
      <c r="H650">
        <v>746</v>
      </c>
      <c r="I650">
        <v>722</v>
      </c>
      <c r="J650">
        <v>724</v>
      </c>
      <c r="K650">
        <v>728</v>
      </c>
      <c r="L650">
        <v>696</v>
      </c>
      <c r="M650">
        <v>695</v>
      </c>
      <c r="N650">
        <v>676</v>
      </c>
      <c r="O650" s="173">
        <f t="shared" si="143"/>
        <v>708.25</v>
      </c>
      <c r="P650" s="173">
        <f t="shared" si="147"/>
        <v>31.166666666666629</v>
      </c>
      <c r="Q650" s="177">
        <f t="shared" si="146"/>
        <v>4.6030769230769174E-2</v>
      </c>
    </row>
    <row r="651" spans="1:17" x14ac:dyDescent="0.2">
      <c r="B651" t="s">
        <v>370</v>
      </c>
      <c r="C651">
        <v>691</v>
      </c>
      <c r="D651">
        <v>666</v>
      </c>
      <c r="E651">
        <v>624</v>
      </c>
      <c r="F651">
        <v>670</v>
      </c>
      <c r="G651">
        <v>672</v>
      </c>
      <c r="H651">
        <v>675</v>
      </c>
      <c r="I651">
        <v>651</v>
      </c>
      <c r="J651">
        <v>642</v>
      </c>
      <c r="K651">
        <v>588</v>
      </c>
      <c r="L651">
        <v>663</v>
      </c>
      <c r="M651">
        <v>660</v>
      </c>
      <c r="N651">
        <v>646</v>
      </c>
      <c r="O651" s="173">
        <f t="shared" si="143"/>
        <v>654</v>
      </c>
      <c r="P651" s="173">
        <f t="shared" si="147"/>
        <v>-54.25</v>
      </c>
      <c r="Q651" s="177">
        <f t="shared" si="146"/>
        <v>-7.6597246734909988E-2</v>
      </c>
    </row>
    <row r="652" spans="1:17" x14ac:dyDescent="0.2">
      <c r="B652" t="s">
        <v>452</v>
      </c>
      <c r="C652">
        <v>652</v>
      </c>
      <c r="D652">
        <v>655</v>
      </c>
      <c r="E652">
        <v>667</v>
      </c>
      <c r="F652">
        <v>658</v>
      </c>
      <c r="G652">
        <v>671</v>
      </c>
      <c r="H652">
        <v>681</v>
      </c>
      <c r="I652">
        <v>677</v>
      </c>
      <c r="J652">
        <v>673</v>
      </c>
      <c r="K652">
        <v>663</v>
      </c>
      <c r="L652">
        <v>656</v>
      </c>
      <c r="M652">
        <v>662</v>
      </c>
      <c r="N652">
        <v>679</v>
      </c>
      <c r="O652" s="173">
        <f t="shared" si="143"/>
        <v>666.16666666666663</v>
      </c>
      <c r="P652" s="173">
        <f t="shared" si="147"/>
        <v>12.166666666666629</v>
      </c>
      <c r="Q652" s="177">
        <f t="shared" si="146"/>
        <v>1.8603465851172216E-2</v>
      </c>
    </row>
    <row r="653" spans="1:17" x14ac:dyDescent="0.2">
      <c r="B653" t="s">
        <v>487</v>
      </c>
      <c r="C653">
        <v>674</v>
      </c>
      <c r="D653">
        <v>675</v>
      </c>
      <c r="E653">
        <v>693</v>
      </c>
      <c r="F653">
        <v>708</v>
      </c>
      <c r="G653">
        <v>741</v>
      </c>
      <c r="H653">
        <v>687</v>
      </c>
      <c r="I653">
        <v>729</v>
      </c>
      <c r="J653">
        <v>690</v>
      </c>
      <c r="K653">
        <v>701</v>
      </c>
      <c r="L653">
        <v>693</v>
      </c>
      <c r="M653">
        <v>738</v>
      </c>
      <c r="N653">
        <v>729</v>
      </c>
      <c r="O653" s="173">
        <f t="shared" si="143"/>
        <v>704.83333333333337</v>
      </c>
      <c r="P653" s="173">
        <f t="shared" si="147"/>
        <v>38.666666666666742</v>
      </c>
      <c r="Q653" s="177">
        <f t="shared" si="146"/>
        <v>5.804353264948723E-2</v>
      </c>
    </row>
    <row r="654" spans="1:17" x14ac:dyDescent="0.2">
      <c r="B654" t="s">
        <v>561</v>
      </c>
      <c r="C654">
        <v>722</v>
      </c>
      <c r="D654">
        <v>713</v>
      </c>
      <c r="E654">
        <v>717</v>
      </c>
      <c r="F654">
        <v>696</v>
      </c>
      <c r="G654">
        <v>673</v>
      </c>
      <c r="H654">
        <v>688</v>
      </c>
      <c r="I654">
        <v>676</v>
      </c>
      <c r="J654">
        <v>681</v>
      </c>
      <c r="K654">
        <v>670</v>
      </c>
      <c r="L654">
        <v>672</v>
      </c>
      <c r="M654">
        <v>697</v>
      </c>
      <c r="N654">
        <v>744</v>
      </c>
      <c r="O654" s="173">
        <f t="shared" si="143"/>
        <v>695.75</v>
      </c>
      <c r="P654" s="173">
        <f t="shared" si="147"/>
        <v>-9.0833333333333712</v>
      </c>
      <c r="Q654" s="177">
        <f t="shared" si="146"/>
        <v>-1.2887207377630699E-2</v>
      </c>
    </row>
    <row r="655" spans="1:17" x14ac:dyDescent="0.2">
      <c r="O655" s="173"/>
      <c r="P655" s="173"/>
      <c r="Q655" s="177"/>
    </row>
    <row r="656" spans="1:17" ht="25.5" x14ac:dyDescent="0.2">
      <c r="A656" s="175" t="s">
        <v>458</v>
      </c>
      <c r="B656" s="703" t="s">
        <v>433</v>
      </c>
      <c r="C656" s="704" t="s">
        <v>434</v>
      </c>
      <c r="D656" s="704" t="s">
        <v>435</v>
      </c>
      <c r="E656" s="704" t="s">
        <v>436</v>
      </c>
      <c r="F656" s="704" t="s">
        <v>437</v>
      </c>
      <c r="G656" s="704" t="s">
        <v>438</v>
      </c>
      <c r="H656" s="704" t="s">
        <v>439</v>
      </c>
      <c r="I656" s="704" t="s">
        <v>440</v>
      </c>
      <c r="J656" s="704" t="s">
        <v>441</v>
      </c>
      <c r="K656" s="704" t="s">
        <v>442</v>
      </c>
      <c r="L656" s="704" t="s">
        <v>443</v>
      </c>
      <c r="M656" s="704" t="s">
        <v>444</v>
      </c>
      <c r="N656" s="704" t="s">
        <v>445</v>
      </c>
    </row>
    <row r="657" spans="2:17" x14ac:dyDescent="0.2">
      <c r="B657" t="s">
        <v>449</v>
      </c>
      <c r="C657">
        <v>227</v>
      </c>
      <c r="D657">
        <v>238</v>
      </c>
      <c r="E657">
        <v>241</v>
      </c>
      <c r="F657">
        <v>237</v>
      </c>
      <c r="G657">
        <v>237</v>
      </c>
      <c r="H657">
        <v>245</v>
      </c>
      <c r="I657">
        <v>239</v>
      </c>
      <c r="J657">
        <v>232</v>
      </c>
      <c r="K657">
        <v>228</v>
      </c>
      <c r="L657">
        <v>226</v>
      </c>
      <c r="M657">
        <v>226</v>
      </c>
      <c r="N657">
        <v>238</v>
      </c>
      <c r="O657" s="173">
        <f t="shared" ref="O657:O671" si="148">SUM(C657:N657)/12</f>
        <v>234.5</v>
      </c>
      <c r="P657" s="173"/>
    </row>
    <row r="658" spans="2:17" x14ac:dyDescent="0.2">
      <c r="B658" t="s">
        <v>450</v>
      </c>
      <c r="C658">
        <v>227</v>
      </c>
      <c r="D658">
        <v>234</v>
      </c>
      <c r="E658">
        <v>235</v>
      </c>
      <c r="F658">
        <v>220</v>
      </c>
      <c r="G658">
        <v>231</v>
      </c>
      <c r="H658">
        <v>222</v>
      </c>
      <c r="I658">
        <v>209</v>
      </c>
      <c r="J658">
        <v>216</v>
      </c>
      <c r="K658">
        <v>219</v>
      </c>
      <c r="L658">
        <v>212</v>
      </c>
      <c r="M658">
        <v>211</v>
      </c>
      <c r="N658">
        <v>211</v>
      </c>
      <c r="O658" s="173">
        <f t="shared" si="148"/>
        <v>220.58333333333334</v>
      </c>
      <c r="P658" s="173">
        <f t="shared" ref="P658:P665" si="149">SUM(O658-O657)</f>
        <v>-13.916666666666657</v>
      </c>
      <c r="Q658" s="177">
        <f t="shared" ref="Q658:Q664" si="150">SUM(P658/O657)</f>
        <v>-5.9346126510305575E-2</v>
      </c>
    </row>
    <row r="659" spans="2:17" x14ac:dyDescent="0.2">
      <c r="B659" t="s">
        <v>451</v>
      </c>
      <c r="C659">
        <v>210</v>
      </c>
      <c r="D659">
        <v>212</v>
      </c>
      <c r="E659">
        <v>205</v>
      </c>
      <c r="F659">
        <v>205</v>
      </c>
      <c r="G659">
        <v>220</v>
      </c>
      <c r="H659">
        <v>221</v>
      </c>
      <c r="I659">
        <v>223</v>
      </c>
      <c r="J659">
        <v>227</v>
      </c>
      <c r="K659">
        <v>230</v>
      </c>
      <c r="L659">
        <v>204</v>
      </c>
      <c r="M659">
        <v>178</v>
      </c>
      <c r="N659">
        <v>152</v>
      </c>
      <c r="O659" s="173">
        <f t="shared" si="148"/>
        <v>207.25</v>
      </c>
      <c r="P659" s="173">
        <f t="shared" si="149"/>
        <v>-13.333333333333343</v>
      </c>
      <c r="Q659" s="177">
        <f t="shared" si="150"/>
        <v>-6.0445787684170797E-2</v>
      </c>
    </row>
    <row r="660" spans="2:17" x14ac:dyDescent="0.2">
      <c r="B660" t="s">
        <v>267</v>
      </c>
      <c r="C660">
        <v>257</v>
      </c>
      <c r="D660">
        <v>269</v>
      </c>
      <c r="E660">
        <v>265</v>
      </c>
      <c r="F660">
        <v>244</v>
      </c>
      <c r="G660">
        <v>244</v>
      </c>
      <c r="H660">
        <v>244</v>
      </c>
      <c r="I660">
        <v>244</v>
      </c>
      <c r="J660">
        <v>244</v>
      </c>
      <c r="K660">
        <v>244</v>
      </c>
      <c r="L660">
        <v>244</v>
      </c>
      <c r="M660">
        <v>244</v>
      </c>
      <c r="N660">
        <v>244</v>
      </c>
      <c r="O660" s="173">
        <f t="shared" si="148"/>
        <v>248.91666666666666</v>
      </c>
      <c r="P660" s="173">
        <f t="shared" si="149"/>
        <v>41.666666666666657</v>
      </c>
      <c r="Q660" s="177">
        <f t="shared" si="150"/>
        <v>0.20104543626859667</v>
      </c>
    </row>
    <row r="661" spans="2:17" x14ac:dyDescent="0.2">
      <c r="B661" t="s">
        <v>266</v>
      </c>
      <c r="C661">
        <v>239</v>
      </c>
      <c r="D661">
        <v>224</v>
      </c>
      <c r="E661">
        <v>226</v>
      </c>
      <c r="F661">
        <v>219</v>
      </c>
      <c r="G661">
        <v>227</v>
      </c>
      <c r="H661">
        <v>220</v>
      </c>
      <c r="I661">
        <v>214</v>
      </c>
      <c r="J661">
        <v>214</v>
      </c>
      <c r="K661">
        <v>205</v>
      </c>
      <c r="L661">
        <v>216</v>
      </c>
      <c r="M661">
        <v>210</v>
      </c>
      <c r="N661">
        <v>213</v>
      </c>
      <c r="O661" s="173">
        <f t="shared" si="148"/>
        <v>218.91666666666666</v>
      </c>
      <c r="P661" s="173">
        <f t="shared" si="149"/>
        <v>-30</v>
      </c>
      <c r="Q661" s="177">
        <f t="shared" si="150"/>
        <v>-0.12052226314027453</v>
      </c>
    </row>
    <row r="662" spans="2:17" x14ac:dyDescent="0.2">
      <c r="B662" t="s">
        <v>287</v>
      </c>
      <c r="C662">
        <v>214</v>
      </c>
      <c r="D662">
        <v>211</v>
      </c>
      <c r="E662">
        <v>207</v>
      </c>
      <c r="F662">
        <v>229</v>
      </c>
      <c r="G662">
        <v>243</v>
      </c>
      <c r="H662">
        <v>240</v>
      </c>
      <c r="I662">
        <v>243</v>
      </c>
      <c r="J662">
        <v>245</v>
      </c>
      <c r="K662">
        <v>245</v>
      </c>
      <c r="L662">
        <v>259</v>
      </c>
      <c r="M662">
        <v>261</v>
      </c>
      <c r="N662">
        <v>263</v>
      </c>
      <c r="O662" s="173">
        <f t="shared" si="148"/>
        <v>238.33333333333334</v>
      </c>
      <c r="P662" s="173">
        <f t="shared" si="149"/>
        <v>19.416666666666686</v>
      </c>
      <c r="Q662" s="177">
        <f t="shared" si="150"/>
        <v>8.8694328130947936E-2</v>
      </c>
    </row>
    <row r="663" spans="2:17" x14ac:dyDescent="0.2">
      <c r="B663" t="s">
        <v>297</v>
      </c>
      <c r="C663">
        <v>264</v>
      </c>
      <c r="D663">
        <v>263</v>
      </c>
      <c r="E663">
        <v>264</v>
      </c>
      <c r="F663">
        <v>259</v>
      </c>
      <c r="G663">
        <v>262</v>
      </c>
      <c r="H663">
        <v>259</v>
      </c>
      <c r="I663">
        <v>244</v>
      </c>
      <c r="J663">
        <v>246</v>
      </c>
      <c r="K663">
        <v>253</v>
      </c>
      <c r="L663">
        <v>249</v>
      </c>
      <c r="M663">
        <v>248</v>
      </c>
      <c r="N663">
        <v>256</v>
      </c>
      <c r="O663" s="173">
        <f t="shared" si="148"/>
        <v>255.58333333333334</v>
      </c>
      <c r="P663" s="173">
        <f t="shared" si="149"/>
        <v>17.25</v>
      </c>
      <c r="Q663" s="177">
        <f t="shared" si="150"/>
        <v>7.237762237762238E-2</v>
      </c>
    </row>
    <row r="664" spans="2:17" x14ac:dyDescent="0.2">
      <c r="B664" t="s">
        <v>300</v>
      </c>
      <c r="C664">
        <v>259</v>
      </c>
      <c r="D664">
        <v>269</v>
      </c>
      <c r="E664">
        <v>262</v>
      </c>
      <c r="F664">
        <v>281</v>
      </c>
      <c r="G664">
        <v>292</v>
      </c>
      <c r="H664">
        <v>287</v>
      </c>
      <c r="I664">
        <v>285</v>
      </c>
      <c r="J664">
        <v>271</v>
      </c>
      <c r="K664">
        <v>263</v>
      </c>
      <c r="L664">
        <v>304</v>
      </c>
      <c r="M664">
        <v>301</v>
      </c>
      <c r="N664">
        <v>256</v>
      </c>
      <c r="O664" s="173">
        <f t="shared" si="148"/>
        <v>277.5</v>
      </c>
      <c r="P664" s="173">
        <f t="shared" si="149"/>
        <v>21.916666666666657</v>
      </c>
      <c r="Q664" s="177">
        <f t="shared" si="150"/>
        <v>8.5751548744701617E-2</v>
      </c>
    </row>
    <row r="665" spans="2:17" x14ac:dyDescent="0.2">
      <c r="B665" t="s">
        <v>301</v>
      </c>
      <c r="C665">
        <v>263</v>
      </c>
      <c r="D665">
        <v>269</v>
      </c>
      <c r="E665">
        <v>260</v>
      </c>
      <c r="F665">
        <v>254</v>
      </c>
      <c r="G665">
        <v>247</v>
      </c>
      <c r="H665">
        <v>251</v>
      </c>
      <c r="I665">
        <v>244</v>
      </c>
      <c r="J665">
        <v>235</v>
      </c>
      <c r="K665">
        <v>233</v>
      </c>
      <c r="L665">
        <v>251</v>
      </c>
      <c r="M665">
        <v>278</v>
      </c>
      <c r="N665">
        <v>279</v>
      </c>
      <c r="O665" s="173">
        <f t="shared" si="148"/>
        <v>255.33333333333334</v>
      </c>
      <c r="P665" s="173">
        <f t="shared" si="149"/>
        <v>-22.166666666666657</v>
      </c>
      <c r="Q665" s="177">
        <f t="shared" ref="Q665:Q671" si="151">SUM(P665/O664)</f>
        <v>-7.987987987987985E-2</v>
      </c>
    </row>
    <row r="666" spans="2:17" x14ac:dyDescent="0.2">
      <c r="B666" t="s">
        <v>302</v>
      </c>
      <c r="C666">
        <v>271</v>
      </c>
      <c r="D666">
        <v>264</v>
      </c>
      <c r="E666">
        <v>264</v>
      </c>
      <c r="F666">
        <v>265</v>
      </c>
      <c r="G666">
        <v>260</v>
      </c>
      <c r="H666">
        <v>261</v>
      </c>
      <c r="I666">
        <v>266</v>
      </c>
      <c r="J666">
        <v>257</v>
      </c>
      <c r="K666">
        <v>261</v>
      </c>
      <c r="L666">
        <v>270</v>
      </c>
      <c r="M666">
        <v>273</v>
      </c>
      <c r="N666">
        <v>267</v>
      </c>
      <c r="O666" s="173">
        <f t="shared" si="148"/>
        <v>264.91666666666669</v>
      </c>
      <c r="P666" s="173">
        <f t="shared" ref="P666:P671" si="152">SUM(O666-O665)</f>
        <v>9.5833333333333428</v>
      </c>
      <c r="Q666" s="177">
        <f t="shared" si="151"/>
        <v>3.7532637075718051E-2</v>
      </c>
    </row>
    <row r="667" spans="2:17" x14ac:dyDescent="0.2">
      <c r="B667" t="s">
        <v>347</v>
      </c>
      <c r="C667">
        <v>267</v>
      </c>
      <c r="D667">
        <v>266</v>
      </c>
      <c r="E667">
        <v>268</v>
      </c>
      <c r="F667">
        <v>273</v>
      </c>
      <c r="G667">
        <v>266</v>
      </c>
      <c r="H667">
        <v>255</v>
      </c>
      <c r="I667">
        <v>256</v>
      </c>
      <c r="J667">
        <v>248</v>
      </c>
      <c r="K667">
        <v>253</v>
      </c>
      <c r="L667">
        <v>255</v>
      </c>
      <c r="M667">
        <v>251</v>
      </c>
      <c r="N667">
        <v>255</v>
      </c>
      <c r="O667" s="173">
        <f t="shared" si="148"/>
        <v>259.41666666666669</v>
      </c>
      <c r="P667" s="173">
        <f t="shared" si="152"/>
        <v>-5.5</v>
      </c>
      <c r="Q667" s="177">
        <f t="shared" si="151"/>
        <v>-2.0761245674740483E-2</v>
      </c>
    </row>
    <row r="668" spans="2:17" x14ac:dyDescent="0.2">
      <c r="B668" t="s">
        <v>370</v>
      </c>
      <c r="C668">
        <v>260</v>
      </c>
      <c r="D668">
        <v>250</v>
      </c>
      <c r="E668">
        <v>251</v>
      </c>
      <c r="F668">
        <v>257</v>
      </c>
      <c r="G668">
        <v>258</v>
      </c>
      <c r="H668">
        <v>252</v>
      </c>
      <c r="I668">
        <v>247</v>
      </c>
      <c r="J668">
        <v>244</v>
      </c>
      <c r="K668">
        <v>299</v>
      </c>
      <c r="L668">
        <v>242</v>
      </c>
      <c r="M668">
        <v>246</v>
      </c>
      <c r="N668">
        <v>247</v>
      </c>
      <c r="O668" s="173">
        <f t="shared" si="148"/>
        <v>254.41666666666666</v>
      </c>
      <c r="P668" s="173">
        <f t="shared" si="152"/>
        <v>-5.0000000000000284</v>
      </c>
      <c r="Q668" s="177">
        <f t="shared" si="151"/>
        <v>-1.9274012206874507E-2</v>
      </c>
    </row>
    <row r="669" spans="2:17" x14ac:dyDescent="0.2">
      <c r="B669" t="s">
        <v>452</v>
      </c>
      <c r="C669">
        <v>247</v>
      </c>
      <c r="D669">
        <v>250</v>
      </c>
      <c r="E669">
        <v>259</v>
      </c>
      <c r="F669">
        <v>259</v>
      </c>
      <c r="G669">
        <v>260</v>
      </c>
      <c r="H669">
        <v>269</v>
      </c>
      <c r="I669">
        <v>253</v>
      </c>
      <c r="J669">
        <v>246</v>
      </c>
      <c r="K669">
        <v>259</v>
      </c>
      <c r="L669">
        <v>253</v>
      </c>
      <c r="M669">
        <v>236</v>
      </c>
      <c r="N669">
        <v>227</v>
      </c>
      <c r="O669" s="173">
        <f t="shared" si="148"/>
        <v>251.5</v>
      </c>
      <c r="P669" s="173">
        <f t="shared" si="152"/>
        <v>-2.9166666666666572</v>
      </c>
      <c r="Q669" s="177">
        <f t="shared" si="151"/>
        <v>-1.1464133639043526E-2</v>
      </c>
    </row>
    <row r="670" spans="2:17" x14ac:dyDescent="0.2">
      <c r="B670" t="s">
        <v>487</v>
      </c>
      <c r="C670">
        <v>230</v>
      </c>
      <c r="D670">
        <v>228</v>
      </c>
      <c r="E670">
        <v>245</v>
      </c>
      <c r="F670">
        <v>241</v>
      </c>
      <c r="G670">
        <v>241</v>
      </c>
      <c r="H670">
        <v>233</v>
      </c>
      <c r="I670">
        <v>245</v>
      </c>
      <c r="J670">
        <v>265</v>
      </c>
      <c r="K670">
        <v>258</v>
      </c>
      <c r="L670">
        <v>261</v>
      </c>
      <c r="M670">
        <v>241</v>
      </c>
      <c r="N670">
        <v>231</v>
      </c>
      <c r="O670" s="173">
        <f t="shared" si="148"/>
        <v>243.25</v>
      </c>
      <c r="P670" s="173">
        <f t="shared" si="152"/>
        <v>-8.25</v>
      </c>
      <c r="Q670" s="177">
        <f t="shared" si="151"/>
        <v>-3.2803180914512925E-2</v>
      </c>
    </row>
    <row r="671" spans="2:17" x14ac:dyDescent="0.2">
      <c r="B671" t="s">
        <v>561</v>
      </c>
      <c r="C671">
        <v>265</v>
      </c>
      <c r="D671">
        <v>253</v>
      </c>
      <c r="E671">
        <v>234</v>
      </c>
      <c r="F671">
        <v>254</v>
      </c>
      <c r="G671">
        <v>242</v>
      </c>
      <c r="H671">
        <v>256</v>
      </c>
      <c r="I671">
        <v>262</v>
      </c>
      <c r="J671">
        <v>264</v>
      </c>
      <c r="K671">
        <v>253</v>
      </c>
      <c r="L671">
        <v>262</v>
      </c>
      <c r="M671">
        <v>274</v>
      </c>
      <c r="N671">
        <v>288</v>
      </c>
      <c r="O671" s="173">
        <f t="shared" si="148"/>
        <v>258.91666666666669</v>
      </c>
      <c r="P671" s="173">
        <f t="shared" si="152"/>
        <v>15.666666666666686</v>
      </c>
      <c r="Q671" s="177">
        <f t="shared" si="151"/>
        <v>6.4405618362452968E-2</v>
      </c>
    </row>
    <row r="672" spans="2:17" x14ac:dyDescent="0.2">
      <c r="O672" s="173"/>
      <c r="P672" s="173"/>
      <c r="Q672" s="177"/>
    </row>
    <row r="673" spans="1:17" x14ac:dyDescent="0.2">
      <c r="A673" s="178"/>
      <c r="B673" s="178"/>
      <c r="C673" s="178"/>
      <c r="D673" s="178"/>
      <c r="E673" s="178"/>
      <c r="F673" s="178"/>
      <c r="G673" s="178"/>
      <c r="H673" s="178"/>
      <c r="I673" s="178"/>
      <c r="J673" s="178"/>
      <c r="K673" s="178"/>
      <c r="L673" s="178"/>
      <c r="M673" s="178"/>
      <c r="N673" s="178"/>
      <c r="O673" s="178"/>
      <c r="P673" s="178"/>
      <c r="Q673" s="178"/>
    </row>
    <row r="674" spans="1:17" ht="25.5" x14ac:dyDescent="0.2">
      <c r="A674" s="175" t="s">
        <v>459</v>
      </c>
      <c r="B674" s="703" t="s">
        <v>433</v>
      </c>
      <c r="C674" s="704" t="s">
        <v>434</v>
      </c>
      <c r="D674" s="704" t="s">
        <v>435</v>
      </c>
      <c r="E674" s="704" t="s">
        <v>436</v>
      </c>
      <c r="F674" s="704" t="s">
        <v>437</v>
      </c>
      <c r="G674" s="704" t="s">
        <v>438</v>
      </c>
      <c r="H674" s="704" t="s">
        <v>439</v>
      </c>
      <c r="I674" s="704" t="s">
        <v>440</v>
      </c>
      <c r="J674" s="704" t="s">
        <v>441</v>
      </c>
      <c r="K674" s="704" t="s">
        <v>442</v>
      </c>
      <c r="L674" s="704" t="s">
        <v>443</v>
      </c>
      <c r="M674" s="704" t="s">
        <v>444</v>
      </c>
      <c r="N674" s="704" t="s">
        <v>445</v>
      </c>
    </row>
    <row r="675" spans="1:17" x14ac:dyDescent="0.2">
      <c r="B675" t="s">
        <v>449</v>
      </c>
      <c r="C675">
        <v>204</v>
      </c>
      <c r="D675">
        <v>210</v>
      </c>
      <c r="E675">
        <v>215</v>
      </c>
      <c r="F675">
        <v>213</v>
      </c>
      <c r="G675">
        <v>212</v>
      </c>
      <c r="H675">
        <v>207</v>
      </c>
      <c r="I675">
        <v>200</v>
      </c>
      <c r="J675">
        <v>199</v>
      </c>
      <c r="K675">
        <v>192</v>
      </c>
      <c r="L675">
        <v>192</v>
      </c>
      <c r="M675">
        <v>181</v>
      </c>
      <c r="N675">
        <v>189</v>
      </c>
      <c r="O675" s="173">
        <f t="shared" ref="O675:O689" si="153">SUM(C675:N675)/12</f>
        <v>201.16666666666666</v>
      </c>
      <c r="P675" s="173"/>
    </row>
    <row r="676" spans="1:17" x14ac:dyDescent="0.2">
      <c r="B676" t="s">
        <v>450</v>
      </c>
      <c r="C676">
        <v>191</v>
      </c>
      <c r="D676">
        <v>194</v>
      </c>
      <c r="E676">
        <v>194</v>
      </c>
      <c r="F676">
        <v>191</v>
      </c>
      <c r="G676">
        <v>191</v>
      </c>
      <c r="H676">
        <v>198</v>
      </c>
      <c r="I676">
        <v>185</v>
      </c>
      <c r="J676">
        <v>192</v>
      </c>
      <c r="K676">
        <v>188</v>
      </c>
      <c r="L676">
        <v>198</v>
      </c>
      <c r="M676">
        <v>203</v>
      </c>
      <c r="N676">
        <v>203</v>
      </c>
      <c r="O676" s="173">
        <f t="shared" si="153"/>
        <v>194</v>
      </c>
      <c r="P676" s="173">
        <f t="shared" ref="P676:P683" si="154">SUM(O676-O675)</f>
        <v>-7.1666666666666572</v>
      </c>
      <c r="Q676" s="177">
        <f t="shared" ref="Q676:Q682" si="155">SUM(P676/O675)</f>
        <v>-3.5625517812758863E-2</v>
      </c>
    </row>
    <row r="677" spans="1:17" x14ac:dyDescent="0.2">
      <c r="B677" t="s">
        <v>451</v>
      </c>
      <c r="C677">
        <v>201</v>
      </c>
      <c r="D677">
        <v>196</v>
      </c>
      <c r="E677">
        <v>198</v>
      </c>
      <c r="F677">
        <v>188</v>
      </c>
      <c r="G677">
        <v>188</v>
      </c>
      <c r="H677">
        <v>192</v>
      </c>
      <c r="I677">
        <v>189</v>
      </c>
      <c r="J677">
        <v>200</v>
      </c>
      <c r="K677">
        <v>219</v>
      </c>
      <c r="L677">
        <v>228</v>
      </c>
      <c r="M677">
        <v>234</v>
      </c>
      <c r="N677">
        <v>237</v>
      </c>
      <c r="O677" s="173">
        <f t="shared" si="153"/>
        <v>205.83333333333334</v>
      </c>
      <c r="P677" s="173">
        <f t="shared" si="154"/>
        <v>11.833333333333343</v>
      </c>
      <c r="Q677" s="177">
        <f t="shared" si="155"/>
        <v>6.0996563573883208E-2</v>
      </c>
    </row>
    <row r="678" spans="1:17" x14ac:dyDescent="0.2">
      <c r="B678" t="s">
        <v>267</v>
      </c>
      <c r="C678">
        <v>246</v>
      </c>
      <c r="D678">
        <v>242</v>
      </c>
      <c r="E678">
        <v>245</v>
      </c>
      <c r="F678">
        <v>245</v>
      </c>
      <c r="G678">
        <v>245</v>
      </c>
      <c r="H678">
        <v>245</v>
      </c>
      <c r="I678">
        <v>245</v>
      </c>
      <c r="J678">
        <v>245</v>
      </c>
      <c r="K678">
        <v>245</v>
      </c>
      <c r="L678">
        <v>245</v>
      </c>
      <c r="M678">
        <v>245</v>
      </c>
      <c r="N678">
        <v>245</v>
      </c>
      <c r="O678" s="173">
        <f t="shared" si="153"/>
        <v>244.83333333333334</v>
      </c>
      <c r="P678" s="173">
        <f t="shared" si="154"/>
        <v>39</v>
      </c>
      <c r="Q678" s="177">
        <f t="shared" si="155"/>
        <v>0.18947368421052629</v>
      </c>
    </row>
    <row r="679" spans="1:17" x14ac:dyDescent="0.2">
      <c r="B679" t="s">
        <v>266</v>
      </c>
      <c r="C679">
        <v>219</v>
      </c>
      <c r="D679">
        <v>239</v>
      </c>
      <c r="E679">
        <v>239</v>
      </c>
      <c r="F679">
        <v>242</v>
      </c>
      <c r="G679">
        <v>237</v>
      </c>
      <c r="H679">
        <v>248</v>
      </c>
      <c r="I679">
        <v>255</v>
      </c>
      <c r="J679">
        <v>262</v>
      </c>
      <c r="K679">
        <v>263</v>
      </c>
      <c r="L679">
        <v>274</v>
      </c>
      <c r="M679">
        <v>266</v>
      </c>
      <c r="N679">
        <v>278</v>
      </c>
      <c r="O679" s="173">
        <f t="shared" si="153"/>
        <v>251.83333333333334</v>
      </c>
      <c r="P679" s="173">
        <f t="shared" si="154"/>
        <v>7</v>
      </c>
      <c r="Q679" s="177">
        <f t="shared" si="155"/>
        <v>2.8590878148400271E-2</v>
      </c>
    </row>
    <row r="680" spans="1:17" x14ac:dyDescent="0.2">
      <c r="B680" t="s">
        <v>287</v>
      </c>
      <c r="C680">
        <v>278</v>
      </c>
      <c r="D680">
        <v>279</v>
      </c>
      <c r="E680">
        <v>277</v>
      </c>
      <c r="F680">
        <v>279</v>
      </c>
      <c r="G680">
        <v>282</v>
      </c>
      <c r="H680">
        <v>282</v>
      </c>
      <c r="I680">
        <v>287</v>
      </c>
      <c r="J680">
        <v>293</v>
      </c>
      <c r="K680">
        <v>299</v>
      </c>
      <c r="L680">
        <v>299</v>
      </c>
      <c r="M680">
        <v>316</v>
      </c>
      <c r="N680">
        <v>325</v>
      </c>
      <c r="O680" s="173">
        <f t="shared" si="153"/>
        <v>291.33333333333331</v>
      </c>
      <c r="P680" s="173">
        <f t="shared" si="154"/>
        <v>39.499999999999972</v>
      </c>
      <c r="Q680" s="177">
        <f t="shared" si="155"/>
        <v>0.15684976836532086</v>
      </c>
    </row>
    <row r="681" spans="1:17" x14ac:dyDescent="0.2">
      <c r="B681" t="s">
        <v>297</v>
      </c>
      <c r="C681">
        <v>335</v>
      </c>
      <c r="D681">
        <v>349</v>
      </c>
      <c r="E681">
        <v>352</v>
      </c>
      <c r="F681">
        <v>352</v>
      </c>
      <c r="G681">
        <v>348</v>
      </c>
      <c r="H681">
        <v>363</v>
      </c>
      <c r="I681">
        <v>362</v>
      </c>
      <c r="J681">
        <v>370</v>
      </c>
      <c r="K681">
        <v>376</v>
      </c>
      <c r="L681">
        <v>393</v>
      </c>
      <c r="M681">
        <v>401</v>
      </c>
      <c r="N681">
        <v>400</v>
      </c>
      <c r="O681" s="173">
        <f t="shared" si="153"/>
        <v>366.75</v>
      </c>
      <c r="P681" s="173">
        <f t="shared" si="154"/>
        <v>75.416666666666686</v>
      </c>
      <c r="Q681" s="177">
        <f t="shared" si="155"/>
        <v>0.25886727688787192</v>
      </c>
    </row>
    <row r="682" spans="1:17" x14ac:dyDescent="0.2">
      <c r="B682" t="s">
        <v>300</v>
      </c>
      <c r="C682">
        <v>397</v>
      </c>
      <c r="D682">
        <v>402</v>
      </c>
      <c r="E682">
        <v>398</v>
      </c>
      <c r="F682">
        <v>408</v>
      </c>
      <c r="G682">
        <v>409</v>
      </c>
      <c r="H682">
        <v>416</v>
      </c>
      <c r="I682">
        <v>415</v>
      </c>
      <c r="J682">
        <v>414</v>
      </c>
      <c r="K682">
        <v>405</v>
      </c>
      <c r="L682">
        <v>486</v>
      </c>
      <c r="M682">
        <v>472</v>
      </c>
      <c r="N682">
        <v>409</v>
      </c>
      <c r="O682" s="173">
        <f t="shared" si="153"/>
        <v>419.25</v>
      </c>
      <c r="P682" s="173">
        <f t="shared" si="154"/>
        <v>52.5</v>
      </c>
      <c r="Q682" s="177">
        <f t="shared" si="155"/>
        <v>0.14314928425357873</v>
      </c>
    </row>
    <row r="683" spans="1:17" x14ac:dyDescent="0.2">
      <c r="B683" t="s">
        <v>301</v>
      </c>
      <c r="C683">
        <v>426</v>
      </c>
      <c r="D683">
        <v>431</v>
      </c>
      <c r="E683">
        <v>506</v>
      </c>
      <c r="F683">
        <v>455</v>
      </c>
      <c r="G683">
        <v>489</v>
      </c>
      <c r="H683">
        <v>513</v>
      </c>
      <c r="I683">
        <v>514</v>
      </c>
      <c r="J683">
        <v>518</v>
      </c>
      <c r="K683">
        <v>505</v>
      </c>
      <c r="L683">
        <v>502</v>
      </c>
      <c r="M683">
        <v>516</v>
      </c>
      <c r="N683">
        <v>530</v>
      </c>
      <c r="O683" s="173">
        <f t="shared" si="153"/>
        <v>492.08333333333331</v>
      </c>
      <c r="P683" s="173">
        <f t="shared" si="154"/>
        <v>72.833333333333314</v>
      </c>
      <c r="Q683" s="177">
        <f t="shared" ref="Q683:Q689" si="156">SUM(P683/O682)</f>
        <v>0.17372291790896438</v>
      </c>
    </row>
    <row r="684" spans="1:17" x14ac:dyDescent="0.2">
      <c r="B684" t="s">
        <v>302</v>
      </c>
      <c r="C684">
        <v>482</v>
      </c>
      <c r="D684">
        <v>466</v>
      </c>
      <c r="E684">
        <v>463</v>
      </c>
      <c r="F684">
        <v>466</v>
      </c>
      <c r="G684">
        <v>455</v>
      </c>
      <c r="H684">
        <v>458</v>
      </c>
      <c r="I684">
        <v>448</v>
      </c>
      <c r="J684">
        <v>451</v>
      </c>
      <c r="K684">
        <v>454</v>
      </c>
      <c r="L684">
        <v>449</v>
      </c>
      <c r="M684">
        <v>443</v>
      </c>
      <c r="N684">
        <v>447</v>
      </c>
      <c r="O684" s="173">
        <f t="shared" si="153"/>
        <v>456.83333333333331</v>
      </c>
      <c r="P684" s="173">
        <f t="shared" ref="P684:P689" si="157">SUM(O684-O683)</f>
        <v>-35.25</v>
      </c>
      <c r="Q684" s="177">
        <f t="shared" si="156"/>
        <v>-7.1634208298052504E-2</v>
      </c>
    </row>
    <row r="685" spans="1:17" x14ac:dyDescent="0.2">
      <c r="B685" t="s">
        <v>347</v>
      </c>
      <c r="C685">
        <v>441</v>
      </c>
      <c r="D685">
        <v>439</v>
      </c>
      <c r="E685">
        <v>439</v>
      </c>
      <c r="F685">
        <v>426</v>
      </c>
      <c r="G685">
        <v>432</v>
      </c>
      <c r="H685">
        <v>465</v>
      </c>
      <c r="I685">
        <v>452</v>
      </c>
      <c r="J685">
        <v>441</v>
      </c>
      <c r="K685">
        <v>443</v>
      </c>
      <c r="L685">
        <v>462</v>
      </c>
      <c r="M685">
        <v>480</v>
      </c>
      <c r="N685">
        <v>467</v>
      </c>
      <c r="O685" s="173">
        <f t="shared" si="153"/>
        <v>448.91666666666669</v>
      </c>
      <c r="P685" s="173">
        <f t="shared" si="157"/>
        <v>-7.9166666666666288</v>
      </c>
      <c r="Q685" s="177">
        <f t="shared" si="156"/>
        <v>-1.7329441809558473E-2</v>
      </c>
    </row>
    <row r="686" spans="1:17" x14ac:dyDescent="0.2">
      <c r="B686" t="s">
        <v>370</v>
      </c>
      <c r="C686">
        <v>465</v>
      </c>
      <c r="D686">
        <v>456</v>
      </c>
      <c r="E686">
        <v>455</v>
      </c>
      <c r="F686">
        <v>464</v>
      </c>
      <c r="G686">
        <v>461</v>
      </c>
      <c r="H686">
        <v>470</v>
      </c>
      <c r="I686">
        <v>443</v>
      </c>
      <c r="J686">
        <v>469</v>
      </c>
      <c r="K686">
        <v>478</v>
      </c>
      <c r="L686">
        <v>471</v>
      </c>
      <c r="M686">
        <v>457</v>
      </c>
      <c r="N686">
        <v>468</v>
      </c>
      <c r="O686" s="173">
        <f t="shared" si="153"/>
        <v>463.08333333333331</v>
      </c>
      <c r="P686" s="173">
        <f t="shared" si="157"/>
        <v>14.166666666666629</v>
      </c>
      <c r="Q686" s="177">
        <f t="shared" si="156"/>
        <v>3.1557453127900419E-2</v>
      </c>
    </row>
    <row r="687" spans="1:17" x14ac:dyDescent="0.2">
      <c r="B687" t="s">
        <v>452</v>
      </c>
      <c r="C687">
        <v>486</v>
      </c>
      <c r="D687">
        <v>496</v>
      </c>
      <c r="E687">
        <v>489</v>
      </c>
      <c r="F687">
        <v>495</v>
      </c>
      <c r="G687">
        <v>495</v>
      </c>
      <c r="H687">
        <v>495</v>
      </c>
      <c r="I687">
        <v>495</v>
      </c>
      <c r="J687">
        <v>500</v>
      </c>
      <c r="K687">
        <v>502</v>
      </c>
      <c r="L687">
        <v>508</v>
      </c>
      <c r="M687">
        <v>497</v>
      </c>
      <c r="N687">
        <v>504</v>
      </c>
      <c r="O687" s="173">
        <f t="shared" si="153"/>
        <v>496.83333333333331</v>
      </c>
      <c r="P687" s="173">
        <f t="shared" si="157"/>
        <v>33.75</v>
      </c>
      <c r="Q687" s="177">
        <f t="shared" si="156"/>
        <v>7.2881050926759047E-2</v>
      </c>
    </row>
    <row r="688" spans="1:17" x14ac:dyDescent="0.2">
      <c r="B688" t="s">
        <v>487</v>
      </c>
      <c r="C688">
        <v>496</v>
      </c>
      <c r="D688">
        <v>494</v>
      </c>
      <c r="E688">
        <v>478</v>
      </c>
      <c r="F688">
        <v>497</v>
      </c>
      <c r="G688">
        <v>499</v>
      </c>
      <c r="H688">
        <v>494</v>
      </c>
      <c r="I688">
        <v>489</v>
      </c>
      <c r="J688">
        <v>495</v>
      </c>
      <c r="K688">
        <v>490</v>
      </c>
      <c r="L688">
        <v>488</v>
      </c>
      <c r="M688">
        <v>497</v>
      </c>
      <c r="N688">
        <v>488</v>
      </c>
      <c r="O688" s="173">
        <f t="shared" si="153"/>
        <v>492.08333333333331</v>
      </c>
      <c r="P688" s="173">
        <f t="shared" si="157"/>
        <v>-4.75</v>
      </c>
      <c r="Q688" s="177">
        <f t="shared" si="156"/>
        <v>-9.5605501509560559E-3</v>
      </c>
    </row>
    <row r="689" spans="1:17" x14ac:dyDescent="0.2">
      <c r="B689" t="s">
        <v>561</v>
      </c>
      <c r="C689">
        <v>487</v>
      </c>
      <c r="D689">
        <v>474</v>
      </c>
      <c r="E689">
        <v>466</v>
      </c>
      <c r="F689">
        <v>470</v>
      </c>
      <c r="G689">
        <v>464</v>
      </c>
      <c r="H689">
        <v>474</v>
      </c>
      <c r="I689">
        <v>469</v>
      </c>
      <c r="J689">
        <v>478</v>
      </c>
      <c r="K689">
        <v>472</v>
      </c>
      <c r="L689">
        <v>468</v>
      </c>
      <c r="M689">
        <v>474</v>
      </c>
      <c r="N689">
        <v>471</v>
      </c>
      <c r="O689" s="173">
        <f t="shared" si="153"/>
        <v>472.25</v>
      </c>
      <c r="P689" s="173">
        <f t="shared" si="157"/>
        <v>-19.833333333333314</v>
      </c>
      <c r="Q689" s="177">
        <f t="shared" si="156"/>
        <v>-4.0304826418289551E-2</v>
      </c>
    </row>
    <row r="690" spans="1:17" x14ac:dyDescent="0.2">
      <c r="O690" s="173"/>
      <c r="P690" s="173"/>
      <c r="Q690" s="177"/>
    </row>
    <row r="691" spans="1:17" ht="25.5" x14ac:dyDescent="0.2">
      <c r="A691" s="175" t="s">
        <v>460</v>
      </c>
      <c r="B691" s="703" t="s">
        <v>433</v>
      </c>
      <c r="C691" s="704" t="s">
        <v>434</v>
      </c>
      <c r="D691" s="704" t="s">
        <v>435</v>
      </c>
      <c r="E691" s="704" t="s">
        <v>436</v>
      </c>
      <c r="F691" s="704" t="s">
        <v>437</v>
      </c>
      <c r="G691" s="704" t="s">
        <v>438</v>
      </c>
      <c r="H691" s="704" t="s">
        <v>439</v>
      </c>
      <c r="I691" s="704" t="s">
        <v>440</v>
      </c>
      <c r="J691" s="704" t="s">
        <v>441</v>
      </c>
      <c r="K691" s="704" t="s">
        <v>442</v>
      </c>
      <c r="L691" s="704" t="s">
        <v>443</v>
      </c>
      <c r="M691" s="704" t="s">
        <v>444</v>
      </c>
      <c r="N691" s="704" t="s">
        <v>445</v>
      </c>
    </row>
    <row r="692" spans="1:17" x14ac:dyDescent="0.2">
      <c r="B692" t="s">
        <v>449</v>
      </c>
      <c r="C692">
        <v>173</v>
      </c>
      <c r="D692">
        <v>167</v>
      </c>
      <c r="E692">
        <v>163</v>
      </c>
      <c r="F692">
        <v>169</v>
      </c>
      <c r="G692">
        <v>161</v>
      </c>
      <c r="H692">
        <v>164</v>
      </c>
      <c r="I692">
        <v>156</v>
      </c>
      <c r="J692">
        <v>157</v>
      </c>
      <c r="K692">
        <v>148</v>
      </c>
      <c r="L692">
        <v>156</v>
      </c>
      <c r="M692">
        <v>171</v>
      </c>
      <c r="N692">
        <v>177</v>
      </c>
      <c r="O692" s="173">
        <f t="shared" ref="O692:O706" si="158">SUM(C692:N692)/12</f>
        <v>163.5</v>
      </c>
      <c r="P692" s="173"/>
    </row>
    <row r="693" spans="1:17" x14ac:dyDescent="0.2">
      <c r="B693" t="s">
        <v>450</v>
      </c>
      <c r="C693">
        <v>169</v>
      </c>
      <c r="D693">
        <v>160</v>
      </c>
      <c r="E693">
        <v>150</v>
      </c>
      <c r="F693">
        <v>143</v>
      </c>
      <c r="G693">
        <v>143</v>
      </c>
      <c r="H693">
        <v>140</v>
      </c>
      <c r="I693">
        <v>144</v>
      </c>
      <c r="J693">
        <v>152</v>
      </c>
      <c r="K693">
        <v>152</v>
      </c>
      <c r="L693">
        <v>143</v>
      </c>
      <c r="M693">
        <v>151</v>
      </c>
      <c r="N693">
        <v>152</v>
      </c>
      <c r="O693" s="173">
        <f t="shared" si="158"/>
        <v>149.91666666666666</v>
      </c>
      <c r="P693" s="173">
        <f t="shared" ref="P693:P700" si="159">SUM(O693-O692)</f>
        <v>-13.583333333333343</v>
      </c>
      <c r="Q693" s="177">
        <f t="shared" ref="Q693:Q699" si="160">SUM(P693/O692)</f>
        <v>-8.3078491335372123E-2</v>
      </c>
    </row>
    <row r="694" spans="1:17" x14ac:dyDescent="0.2">
      <c r="B694" t="s">
        <v>451</v>
      </c>
      <c r="C694">
        <v>144</v>
      </c>
      <c r="D694">
        <v>141</v>
      </c>
      <c r="E694">
        <v>140</v>
      </c>
      <c r="F694">
        <v>142</v>
      </c>
      <c r="G694">
        <v>138</v>
      </c>
      <c r="H694">
        <v>143</v>
      </c>
      <c r="I694">
        <v>143</v>
      </c>
      <c r="J694">
        <v>152</v>
      </c>
      <c r="K694">
        <v>157</v>
      </c>
      <c r="L694">
        <v>162</v>
      </c>
      <c r="M694">
        <v>167</v>
      </c>
      <c r="N694">
        <v>172</v>
      </c>
      <c r="O694" s="173">
        <f t="shared" si="158"/>
        <v>150.08333333333334</v>
      </c>
      <c r="P694" s="173">
        <f t="shared" si="159"/>
        <v>0.16666666666668561</v>
      </c>
      <c r="Q694" s="177">
        <f t="shared" si="160"/>
        <v>1.1117287381880085E-3</v>
      </c>
    </row>
    <row r="695" spans="1:17" x14ac:dyDescent="0.2">
      <c r="B695" t="s">
        <v>267</v>
      </c>
      <c r="C695">
        <v>175</v>
      </c>
      <c r="D695">
        <v>144</v>
      </c>
      <c r="E695">
        <v>144</v>
      </c>
      <c r="F695">
        <v>144</v>
      </c>
      <c r="G695">
        <v>153</v>
      </c>
      <c r="H695">
        <v>153</v>
      </c>
      <c r="I695">
        <v>153</v>
      </c>
      <c r="J695">
        <v>153</v>
      </c>
      <c r="K695">
        <v>153</v>
      </c>
      <c r="L695">
        <v>162</v>
      </c>
      <c r="M695">
        <v>167</v>
      </c>
      <c r="N695">
        <v>172</v>
      </c>
      <c r="O695" s="173">
        <f t="shared" si="158"/>
        <v>156.08333333333334</v>
      </c>
      <c r="P695" s="173">
        <f t="shared" si="159"/>
        <v>6</v>
      </c>
      <c r="Q695" s="177">
        <f t="shared" si="160"/>
        <v>3.9977790116601887E-2</v>
      </c>
    </row>
    <row r="696" spans="1:17" x14ac:dyDescent="0.2">
      <c r="B696" t="s">
        <v>266</v>
      </c>
      <c r="C696">
        <v>189</v>
      </c>
      <c r="D696">
        <v>147</v>
      </c>
      <c r="E696">
        <v>150</v>
      </c>
      <c r="F696">
        <v>149</v>
      </c>
      <c r="G696">
        <v>143</v>
      </c>
      <c r="H696">
        <v>144</v>
      </c>
      <c r="I696">
        <v>145</v>
      </c>
      <c r="J696">
        <v>150</v>
      </c>
      <c r="K696">
        <v>156</v>
      </c>
      <c r="L696">
        <v>156</v>
      </c>
      <c r="M696">
        <v>137</v>
      </c>
      <c r="N696">
        <v>137</v>
      </c>
      <c r="O696" s="173">
        <f t="shared" si="158"/>
        <v>150.25</v>
      </c>
      <c r="P696" s="173">
        <f t="shared" si="159"/>
        <v>-5.8333333333333428</v>
      </c>
      <c r="Q696" s="177">
        <f t="shared" si="160"/>
        <v>-3.7373198077949872E-2</v>
      </c>
    </row>
    <row r="697" spans="1:17" x14ac:dyDescent="0.2">
      <c r="B697" t="s">
        <v>287</v>
      </c>
      <c r="C697">
        <v>121</v>
      </c>
      <c r="D697">
        <v>120</v>
      </c>
      <c r="E697">
        <v>127</v>
      </c>
      <c r="F697">
        <v>130</v>
      </c>
      <c r="G697">
        <v>134</v>
      </c>
      <c r="H697">
        <v>143</v>
      </c>
      <c r="I697">
        <v>142</v>
      </c>
      <c r="J697">
        <v>138</v>
      </c>
      <c r="K697">
        <v>139</v>
      </c>
      <c r="L697">
        <v>146</v>
      </c>
      <c r="M697">
        <v>148</v>
      </c>
      <c r="N697">
        <v>147</v>
      </c>
      <c r="O697" s="173">
        <f t="shared" si="158"/>
        <v>136.25</v>
      </c>
      <c r="P697" s="173">
        <f t="shared" si="159"/>
        <v>-14</v>
      </c>
      <c r="Q697" s="177">
        <f t="shared" si="160"/>
        <v>-9.3178036605657238E-2</v>
      </c>
    </row>
    <row r="698" spans="1:17" x14ac:dyDescent="0.2">
      <c r="B698" t="s">
        <v>297</v>
      </c>
      <c r="C698">
        <v>146</v>
      </c>
      <c r="D698">
        <v>146</v>
      </c>
      <c r="E698">
        <v>146</v>
      </c>
      <c r="F698">
        <v>152</v>
      </c>
      <c r="G698">
        <v>150</v>
      </c>
      <c r="H698">
        <v>141</v>
      </c>
      <c r="I698">
        <v>136</v>
      </c>
      <c r="J698">
        <v>139</v>
      </c>
      <c r="K698">
        <v>141</v>
      </c>
      <c r="L698">
        <v>149</v>
      </c>
      <c r="M698">
        <v>155</v>
      </c>
      <c r="N698">
        <v>142</v>
      </c>
      <c r="O698" s="173">
        <f t="shared" si="158"/>
        <v>145.25</v>
      </c>
      <c r="P698" s="173">
        <f t="shared" si="159"/>
        <v>9</v>
      </c>
      <c r="Q698" s="177">
        <f t="shared" si="160"/>
        <v>6.6055045871559637E-2</v>
      </c>
    </row>
    <row r="699" spans="1:17" x14ac:dyDescent="0.2">
      <c r="B699" t="s">
        <v>300</v>
      </c>
      <c r="C699">
        <v>148</v>
      </c>
      <c r="D699">
        <v>149</v>
      </c>
      <c r="E699">
        <v>149</v>
      </c>
      <c r="F699">
        <v>151</v>
      </c>
      <c r="G699">
        <v>139</v>
      </c>
      <c r="H699">
        <v>141</v>
      </c>
      <c r="I699">
        <v>136</v>
      </c>
      <c r="J699">
        <v>148</v>
      </c>
      <c r="K699">
        <v>146</v>
      </c>
      <c r="L699">
        <v>210</v>
      </c>
      <c r="M699">
        <v>211</v>
      </c>
      <c r="N699">
        <v>152</v>
      </c>
      <c r="O699" s="173">
        <f t="shared" si="158"/>
        <v>156.66666666666666</v>
      </c>
      <c r="P699" s="173">
        <f t="shared" si="159"/>
        <v>11.416666666666657</v>
      </c>
      <c r="Q699" s="177">
        <f t="shared" si="160"/>
        <v>7.8600114744692987E-2</v>
      </c>
    </row>
    <row r="700" spans="1:17" x14ac:dyDescent="0.2">
      <c r="B700" t="s">
        <v>301</v>
      </c>
      <c r="C700">
        <v>146</v>
      </c>
      <c r="D700">
        <v>150</v>
      </c>
      <c r="E700">
        <v>146</v>
      </c>
      <c r="F700">
        <v>146</v>
      </c>
      <c r="G700">
        <v>114</v>
      </c>
      <c r="H700">
        <v>99</v>
      </c>
      <c r="I700">
        <v>169</v>
      </c>
      <c r="J700">
        <v>145</v>
      </c>
      <c r="K700">
        <v>145</v>
      </c>
      <c r="L700">
        <v>145</v>
      </c>
      <c r="M700">
        <v>139</v>
      </c>
      <c r="N700">
        <v>138</v>
      </c>
      <c r="O700" s="173">
        <f t="shared" si="158"/>
        <v>140.16666666666666</v>
      </c>
      <c r="P700" s="173">
        <f t="shared" si="159"/>
        <v>-16.5</v>
      </c>
      <c r="Q700" s="177">
        <f t="shared" ref="Q700:Q706" si="161">SUM(P700/O699)</f>
        <v>-0.10531914893617023</v>
      </c>
    </row>
    <row r="701" spans="1:17" x14ac:dyDescent="0.2">
      <c r="B701" t="s">
        <v>302</v>
      </c>
      <c r="C701">
        <v>133</v>
      </c>
      <c r="D701">
        <v>135</v>
      </c>
      <c r="E701">
        <v>136</v>
      </c>
      <c r="F701">
        <v>143</v>
      </c>
      <c r="G701">
        <v>140</v>
      </c>
      <c r="H701">
        <v>144</v>
      </c>
      <c r="I701">
        <v>145</v>
      </c>
      <c r="J701">
        <v>144</v>
      </c>
      <c r="K701">
        <v>166</v>
      </c>
      <c r="L701">
        <v>162</v>
      </c>
      <c r="M701">
        <v>166</v>
      </c>
      <c r="N701">
        <v>161</v>
      </c>
      <c r="O701" s="173">
        <f t="shared" si="158"/>
        <v>147.91666666666666</v>
      </c>
      <c r="P701" s="173">
        <f t="shared" ref="P701:P706" si="162">SUM(O701-O700)</f>
        <v>7.75</v>
      </c>
      <c r="Q701" s="177">
        <f t="shared" si="161"/>
        <v>5.5291319857312726E-2</v>
      </c>
    </row>
    <row r="702" spans="1:17" x14ac:dyDescent="0.2">
      <c r="B702" t="s">
        <v>347</v>
      </c>
      <c r="C702">
        <v>159</v>
      </c>
      <c r="D702">
        <v>157</v>
      </c>
      <c r="E702">
        <v>154</v>
      </c>
      <c r="F702">
        <v>156</v>
      </c>
      <c r="G702">
        <v>155</v>
      </c>
      <c r="H702">
        <v>151</v>
      </c>
      <c r="I702">
        <v>152</v>
      </c>
      <c r="J702">
        <v>148</v>
      </c>
      <c r="K702">
        <v>152</v>
      </c>
      <c r="L702">
        <v>155</v>
      </c>
      <c r="M702">
        <v>161</v>
      </c>
      <c r="N702">
        <v>156</v>
      </c>
      <c r="O702" s="173">
        <f t="shared" si="158"/>
        <v>154.66666666666666</v>
      </c>
      <c r="P702" s="173">
        <f t="shared" si="162"/>
        <v>6.75</v>
      </c>
      <c r="Q702" s="177">
        <f t="shared" si="161"/>
        <v>4.5633802816901409E-2</v>
      </c>
    </row>
    <row r="703" spans="1:17" x14ac:dyDescent="0.2">
      <c r="B703" t="s">
        <v>370</v>
      </c>
      <c r="C703">
        <v>150</v>
      </c>
      <c r="D703">
        <v>158</v>
      </c>
      <c r="E703">
        <v>160</v>
      </c>
      <c r="F703">
        <v>142</v>
      </c>
      <c r="G703">
        <v>141</v>
      </c>
      <c r="H703">
        <v>138</v>
      </c>
      <c r="I703">
        <v>139</v>
      </c>
      <c r="J703">
        <v>136</v>
      </c>
      <c r="K703">
        <v>134</v>
      </c>
      <c r="L703">
        <v>142</v>
      </c>
      <c r="M703">
        <v>143</v>
      </c>
      <c r="N703">
        <v>135</v>
      </c>
      <c r="O703" s="173">
        <f t="shared" si="158"/>
        <v>143.16666666666666</v>
      </c>
      <c r="P703" s="173">
        <f t="shared" si="162"/>
        <v>-11.5</v>
      </c>
      <c r="Q703" s="177">
        <f t="shared" si="161"/>
        <v>-7.4353448275862072E-2</v>
      </c>
    </row>
    <row r="704" spans="1:17" x14ac:dyDescent="0.2">
      <c r="B704" t="s">
        <v>452</v>
      </c>
      <c r="C704">
        <v>137</v>
      </c>
      <c r="D704">
        <v>145</v>
      </c>
      <c r="E704">
        <v>146</v>
      </c>
      <c r="F704">
        <v>150</v>
      </c>
      <c r="G704">
        <v>146</v>
      </c>
      <c r="H704">
        <v>138</v>
      </c>
      <c r="I704">
        <v>137</v>
      </c>
      <c r="J704">
        <v>135</v>
      </c>
      <c r="K704">
        <v>138</v>
      </c>
      <c r="L704">
        <v>141</v>
      </c>
      <c r="M704">
        <v>147</v>
      </c>
      <c r="N704">
        <v>140</v>
      </c>
      <c r="O704" s="173">
        <f t="shared" si="158"/>
        <v>141.66666666666666</v>
      </c>
      <c r="P704" s="173">
        <f t="shared" si="162"/>
        <v>-1.5</v>
      </c>
      <c r="Q704" s="177">
        <f t="shared" si="161"/>
        <v>-1.0477299185098952E-2</v>
      </c>
    </row>
    <row r="705" spans="1:17" x14ac:dyDescent="0.2">
      <c r="B705" t="s">
        <v>487</v>
      </c>
      <c r="C705">
        <v>140</v>
      </c>
      <c r="D705">
        <v>137</v>
      </c>
      <c r="E705">
        <v>119</v>
      </c>
      <c r="F705">
        <v>113</v>
      </c>
      <c r="G705">
        <v>111</v>
      </c>
      <c r="H705">
        <v>112</v>
      </c>
      <c r="I705">
        <v>117</v>
      </c>
      <c r="J705">
        <v>109</v>
      </c>
      <c r="K705">
        <v>106</v>
      </c>
      <c r="L705">
        <v>117</v>
      </c>
      <c r="M705">
        <v>122</v>
      </c>
      <c r="N705">
        <v>124</v>
      </c>
      <c r="O705" s="173">
        <f t="shared" si="158"/>
        <v>118.91666666666667</v>
      </c>
      <c r="P705" s="173">
        <f t="shared" si="162"/>
        <v>-22.749999999999986</v>
      </c>
      <c r="Q705" s="177">
        <f t="shared" si="161"/>
        <v>-0.16058823529411756</v>
      </c>
    </row>
    <row r="706" spans="1:17" x14ac:dyDescent="0.2">
      <c r="B706" t="s">
        <v>561</v>
      </c>
      <c r="C706">
        <v>138</v>
      </c>
      <c r="D706">
        <v>145</v>
      </c>
      <c r="E706">
        <v>142</v>
      </c>
      <c r="F706">
        <v>146</v>
      </c>
      <c r="G706">
        <v>148</v>
      </c>
      <c r="H706">
        <v>149</v>
      </c>
      <c r="I706">
        <v>150</v>
      </c>
      <c r="J706">
        <v>147</v>
      </c>
      <c r="K706">
        <v>152</v>
      </c>
      <c r="L706">
        <v>159</v>
      </c>
      <c r="M706">
        <v>160</v>
      </c>
      <c r="N706">
        <v>157</v>
      </c>
      <c r="O706" s="173">
        <f t="shared" si="158"/>
        <v>149.41666666666666</v>
      </c>
      <c r="P706" s="173">
        <f t="shared" si="162"/>
        <v>30.499999999999986</v>
      </c>
      <c r="Q706" s="177">
        <f t="shared" si="161"/>
        <v>0.25648213034337758</v>
      </c>
    </row>
    <row r="707" spans="1:17" x14ac:dyDescent="0.2">
      <c r="O707" s="173"/>
      <c r="P707" s="173"/>
      <c r="Q707" s="177"/>
    </row>
    <row r="708" spans="1:17" ht="25.5" x14ac:dyDescent="0.2">
      <c r="A708" s="175" t="s">
        <v>461</v>
      </c>
      <c r="B708" s="703" t="s">
        <v>433</v>
      </c>
      <c r="C708" s="704" t="s">
        <v>434</v>
      </c>
      <c r="D708" s="704" t="s">
        <v>435</v>
      </c>
      <c r="E708" s="704" t="s">
        <v>436</v>
      </c>
      <c r="F708" s="704" t="s">
        <v>437</v>
      </c>
      <c r="G708" s="704" t="s">
        <v>438</v>
      </c>
      <c r="H708" s="704" t="s">
        <v>439</v>
      </c>
      <c r="I708" s="704" t="s">
        <v>440</v>
      </c>
      <c r="J708" s="704" t="s">
        <v>441</v>
      </c>
      <c r="K708" s="704" t="s">
        <v>442</v>
      </c>
      <c r="L708" s="704" t="s">
        <v>443</v>
      </c>
      <c r="M708" s="704" t="s">
        <v>444</v>
      </c>
      <c r="N708" s="704" t="s">
        <v>445</v>
      </c>
    </row>
    <row r="709" spans="1:17" x14ac:dyDescent="0.2">
      <c r="B709" t="s">
        <v>449</v>
      </c>
      <c r="C709">
        <v>88</v>
      </c>
      <c r="D709">
        <v>88</v>
      </c>
      <c r="E709">
        <v>91</v>
      </c>
      <c r="F709">
        <v>89</v>
      </c>
      <c r="G709">
        <v>92</v>
      </c>
      <c r="H709">
        <v>87</v>
      </c>
      <c r="I709">
        <v>92</v>
      </c>
      <c r="J709">
        <v>98</v>
      </c>
      <c r="K709">
        <v>100</v>
      </c>
      <c r="L709">
        <v>101</v>
      </c>
      <c r="M709">
        <v>101</v>
      </c>
      <c r="N709">
        <v>103</v>
      </c>
      <c r="O709" s="173">
        <f t="shared" ref="O709:O717" si="163">SUM(C709:N709)/12</f>
        <v>94.166666666666671</v>
      </c>
      <c r="P709" s="173"/>
    </row>
    <row r="710" spans="1:17" x14ac:dyDescent="0.2">
      <c r="B710" t="s">
        <v>450</v>
      </c>
      <c r="C710">
        <v>99</v>
      </c>
      <c r="D710">
        <v>99</v>
      </c>
      <c r="E710">
        <v>93</v>
      </c>
      <c r="F710">
        <v>96</v>
      </c>
      <c r="G710">
        <v>87</v>
      </c>
      <c r="H710">
        <v>98</v>
      </c>
      <c r="I710">
        <v>92</v>
      </c>
      <c r="J710">
        <v>97</v>
      </c>
      <c r="K710">
        <v>96</v>
      </c>
      <c r="L710">
        <v>96</v>
      </c>
      <c r="M710">
        <v>99</v>
      </c>
      <c r="N710">
        <v>104</v>
      </c>
      <c r="O710" s="173">
        <f t="shared" si="163"/>
        <v>96.333333333333329</v>
      </c>
      <c r="P710" s="173">
        <f t="shared" ref="P710:P717" si="164">SUM(O710-O709)</f>
        <v>2.1666666666666572</v>
      </c>
      <c r="Q710" s="177">
        <f t="shared" ref="Q710:Q716" si="165">SUM(P710/O709)</f>
        <v>2.3008849557522023E-2</v>
      </c>
    </row>
    <row r="711" spans="1:17" x14ac:dyDescent="0.2">
      <c r="B711" t="s">
        <v>451</v>
      </c>
      <c r="C711">
        <v>103</v>
      </c>
      <c r="D711">
        <v>108</v>
      </c>
      <c r="E711">
        <v>99</v>
      </c>
      <c r="F711">
        <v>108</v>
      </c>
      <c r="G711">
        <v>104</v>
      </c>
      <c r="H711">
        <v>89</v>
      </c>
      <c r="I711">
        <v>81</v>
      </c>
      <c r="J711">
        <v>73</v>
      </c>
      <c r="K711">
        <v>71</v>
      </c>
      <c r="L711">
        <v>75</v>
      </c>
      <c r="M711">
        <v>110</v>
      </c>
      <c r="N711">
        <v>120</v>
      </c>
      <c r="O711" s="173">
        <f t="shared" si="163"/>
        <v>95.083333333333329</v>
      </c>
      <c r="P711" s="173">
        <f t="shared" si="164"/>
        <v>-1.25</v>
      </c>
      <c r="Q711" s="177">
        <f t="shared" si="165"/>
        <v>-1.2975778546712804E-2</v>
      </c>
    </row>
    <row r="712" spans="1:17" x14ac:dyDescent="0.2">
      <c r="B712" t="s">
        <v>267</v>
      </c>
      <c r="C712">
        <v>75</v>
      </c>
      <c r="D712">
        <v>134</v>
      </c>
      <c r="E712">
        <v>85</v>
      </c>
      <c r="F712">
        <v>85</v>
      </c>
      <c r="G712">
        <v>86</v>
      </c>
      <c r="H712">
        <v>89</v>
      </c>
      <c r="I712">
        <v>85</v>
      </c>
      <c r="J712">
        <v>85</v>
      </c>
      <c r="K712">
        <v>85</v>
      </c>
      <c r="L712">
        <v>85</v>
      </c>
      <c r="M712">
        <v>85</v>
      </c>
      <c r="N712">
        <v>85</v>
      </c>
      <c r="O712" s="173">
        <f t="shared" si="163"/>
        <v>88.666666666666671</v>
      </c>
      <c r="P712" s="173">
        <f t="shared" si="164"/>
        <v>-6.4166666666666572</v>
      </c>
      <c r="Q712" s="177">
        <f t="shared" si="165"/>
        <v>-6.7484662576687018E-2</v>
      </c>
    </row>
    <row r="713" spans="1:17" x14ac:dyDescent="0.2">
      <c r="B713" t="s">
        <v>266</v>
      </c>
      <c r="C713">
        <v>107</v>
      </c>
      <c r="D713">
        <v>90</v>
      </c>
      <c r="E713">
        <v>90</v>
      </c>
      <c r="F713">
        <v>91</v>
      </c>
      <c r="G713">
        <v>89</v>
      </c>
      <c r="H713">
        <v>89</v>
      </c>
      <c r="I713">
        <v>87</v>
      </c>
      <c r="J713">
        <v>83</v>
      </c>
      <c r="K713">
        <v>79</v>
      </c>
      <c r="L713">
        <v>83</v>
      </c>
      <c r="M713">
        <v>84</v>
      </c>
      <c r="N713">
        <v>86</v>
      </c>
      <c r="O713" s="173">
        <f t="shared" si="163"/>
        <v>88.166666666666671</v>
      </c>
      <c r="P713" s="173">
        <f t="shared" si="164"/>
        <v>-0.5</v>
      </c>
      <c r="Q713" s="177">
        <f t="shared" si="165"/>
        <v>-5.6390977443609019E-3</v>
      </c>
    </row>
    <row r="714" spans="1:17" x14ac:dyDescent="0.2">
      <c r="B714" t="s">
        <v>287</v>
      </c>
      <c r="C714">
        <v>94</v>
      </c>
      <c r="D714">
        <v>94</v>
      </c>
      <c r="E714">
        <v>95</v>
      </c>
      <c r="F714">
        <v>92</v>
      </c>
      <c r="G714">
        <v>92</v>
      </c>
      <c r="H714">
        <v>91</v>
      </c>
      <c r="I714">
        <v>93</v>
      </c>
      <c r="J714">
        <v>90</v>
      </c>
      <c r="K714">
        <v>87</v>
      </c>
      <c r="L714">
        <v>86</v>
      </c>
      <c r="M714">
        <v>86</v>
      </c>
      <c r="N714">
        <v>85</v>
      </c>
      <c r="O714" s="173">
        <f t="shared" si="163"/>
        <v>90.416666666666671</v>
      </c>
      <c r="P714" s="173">
        <f t="shared" si="164"/>
        <v>2.25</v>
      </c>
      <c r="Q714" s="177">
        <f t="shared" si="165"/>
        <v>2.5519848771266538E-2</v>
      </c>
    </row>
    <row r="715" spans="1:17" x14ac:dyDescent="0.2">
      <c r="B715" t="s">
        <v>297</v>
      </c>
      <c r="C715">
        <v>88</v>
      </c>
      <c r="D715">
        <v>90</v>
      </c>
      <c r="E715">
        <v>90</v>
      </c>
      <c r="F715">
        <v>93</v>
      </c>
      <c r="G715">
        <v>90</v>
      </c>
      <c r="H715">
        <v>89</v>
      </c>
      <c r="I715">
        <v>112</v>
      </c>
      <c r="J715">
        <v>108</v>
      </c>
      <c r="K715">
        <v>112</v>
      </c>
      <c r="L715">
        <v>113</v>
      </c>
      <c r="M715">
        <v>109</v>
      </c>
      <c r="N715">
        <v>108</v>
      </c>
      <c r="O715" s="173">
        <f t="shared" si="163"/>
        <v>100.16666666666667</v>
      </c>
      <c r="P715" s="173">
        <f t="shared" si="164"/>
        <v>9.75</v>
      </c>
      <c r="Q715" s="177">
        <f t="shared" si="165"/>
        <v>0.10783410138248847</v>
      </c>
    </row>
    <row r="716" spans="1:17" x14ac:dyDescent="0.2">
      <c r="B716" t="s">
        <v>300</v>
      </c>
      <c r="C716">
        <v>107</v>
      </c>
      <c r="D716">
        <v>106</v>
      </c>
      <c r="E716">
        <v>105</v>
      </c>
      <c r="F716">
        <v>96</v>
      </c>
      <c r="G716">
        <v>99</v>
      </c>
      <c r="H716">
        <v>101</v>
      </c>
      <c r="I716">
        <v>103</v>
      </c>
      <c r="J716">
        <v>103</v>
      </c>
      <c r="K716">
        <v>100</v>
      </c>
      <c r="L716">
        <v>113</v>
      </c>
      <c r="M716">
        <v>118</v>
      </c>
      <c r="N716">
        <v>104</v>
      </c>
      <c r="O716" s="173">
        <f t="shared" si="163"/>
        <v>104.58333333333333</v>
      </c>
      <c r="P716" s="173">
        <f t="shared" si="164"/>
        <v>4.4166666666666572</v>
      </c>
      <c r="Q716" s="177">
        <f t="shared" si="165"/>
        <v>4.4093178036605563E-2</v>
      </c>
    </row>
    <row r="717" spans="1:17" x14ac:dyDescent="0.2">
      <c r="B717" t="s">
        <v>301</v>
      </c>
      <c r="C717">
        <v>106</v>
      </c>
      <c r="D717">
        <v>102</v>
      </c>
      <c r="E717">
        <v>105</v>
      </c>
      <c r="F717">
        <v>103</v>
      </c>
      <c r="G717">
        <v>103</v>
      </c>
      <c r="H717">
        <v>103</v>
      </c>
      <c r="I717">
        <v>99</v>
      </c>
      <c r="J717">
        <v>98</v>
      </c>
      <c r="K717">
        <v>100</v>
      </c>
      <c r="L717">
        <v>101</v>
      </c>
      <c r="M717">
        <v>100</v>
      </c>
      <c r="N717">
        <v>103</v>
      </c>
      <c r="O717" s="173">
        <f t="shared" si="163"/>
        <v>101.91666666666667</v>
      </c>
      <c r="P717" s="173">
        <f t="shared" si="164"/>
        <v>-2.6666666666666572</v>
      </c>
      <c r="Q717" s="177">
        <f t="shared" ref="Q717:Q723" si="166">SUM(P717/O716)</f>
        <v>-2.5498007968127401E-2</v>
      </c>
    </row>
    <row r="718" spans="1:17" x14ac:dyDescent="0.2">
      <c r="B718" t="s">
        <v>302</v>
      </c>
      <c r="C718">
        <v>96</v>
      </c>
      <c r="D718">
        <v>95</v>
      </c>
      <c r="E718">
        <v>92</v>
      </c>
      <c r="F718">
        <v>93</v>
      </c>
      <c r="G718">
        <v>90</v>
      </c>
      <c r="H718">
        <v>90</v>
      </c>
      <c r="I718">
        <v>90</v>
      </c>
      <c r="J718">
        <v>90</v>
      </c>
      <c r="K718">
        <v>91</v>
      </c>
      <c r="L718">
        <v>90</v>
      </c>
      <c r="M718">
        <v>75</v>
      </c>
      <c r="N718">
        <v>74</v>
      </c>
      <c r="O718" s="173">
        <f>SUM(C718:N718)/12</f>
        <v>88.833333333333329</v>
      </c>
      <c r="P718" s="173">
        <f t="shared" ref="P718:P723" si="167">SUM(O718-O717)</f>
        <v>-13.083333333333343</v>
      </c>
      <c r="Q718" s="177">
        <f t="shared" si="166"/>
        <v>-0.12837285363859371</v>
      </c>
    </row>
    <row r="719" spans="1:17" x14ac:dyDescent="0.2">
      <c r="B719" t="s">
        <v>347</v>
      </c>
      <c r="C719">
        <v>73</v>
      </c>
      <c r="D719">
        <v>73</v>
      </c>
      <c r="E719">
        <v>68</v>
      </c>
      <c r="F719">
        <v>69</v>
      </c>
      <c r="G719">
        <v>70</v>
      </c>
      <c r="H719">
        <v>77</v>
      </c>
      <c r="I719">
        <v>71</v>
      </c>
      <c r="J719">
        <v>74</v>
      </c>
      <c r="K719">
        <v>74</v>
      </c>
      <c r="L719">
        <v>72</v>
      </c>
      <c r="N719">
        <v>93</v>
      </c>
      <c r="O719" s="173">
        <f>SUM(C719:N719)/11</f>
        <v>74</v>
      </c>
      <c r="P719" s="173">
        <f t="shared" si="167"/>
        <v>-14.833333333333329</v>
      </c>
      <c r="Q719" s="177">
        <f t="shared" si="166"/>
        <v>-0.16697936210131328</v>
      </c>
    </row>
    <row r="720" spans="1:17" x14ac:dyDescent="0.2">
      <c r="B720" t="s">
        <v>370</v>
      </c>
      <c r="C720">
        <v>95</v>
      </c>
      <c r="D720">
        <v>93</v>
      </c>
      <c r="E720">
        <v>89</v>
      </c>
      <c r="F720">
        <v>84</v>
      </c>
      <c r="G720">
        <v>84</v>
      </c>
      <c r="H720">
        <v>86</v>
      </c>
      <c r="I720">
        <v>87</v>
      </c>
      <c r="J720">
        <v>84</v>
      </c>
      <c r="K720">
        <v>86</v>
      </c>
      <c r="L720">
        <v>89</v>
      </c>
      <c r="M720">
        <v>91</v>
      </c>
      <c r="N720">
        <v>96</v>
      </c>
      <c r="O720" s="173">
        <f>SUM(C720:N720)/12</f>
        <v>88.666666666666671</v>
      </c>
      <c r="P720" s="173">
        <f t="shared" si="167"/>
        <v>14.666666666666671</v>
      </c>
      <c r="Q720" s="177">
        <f t="shared" si="166"/>
        <v>0.19819819819819826</v>
      </c>
    </row>
    <row r="721" spans="1:17" x14ac:dyDescent="0.2">
      <c r="B721" t="s">
        <v>452</v>
      </c>
      <c r="C721">
        <v>100</v>
      </c>
      <c r="D721">
        <v>99</v>
      </c>
      <c r="E721">
        <v>98</v>
      </c>
      <c r="F721">
        <v>99</v>
      </c>
      <c r="G721">
        <v>98</v>
      </c>
      <c r="H721">
        <v>99</v>
      </c>
      <c r="I721">
        <v>101</v>
      </c>
      <c r="J721">
        <v>102</v>
      </c>
      <c r="K721">
        <v>101</v>
      </c>
      <c r="L721">
        <v>102</v>
      </c>
      <c r="M721">
        <v>103</v>
      </c>
      <c r="N721">
        <v>107</v>
      </c>
      <c r="O721" s="173">
        <f>SUM(C721:N721)/12</f>
        <v>100.75</v>
      </c>
      <c r="P721" s="173">
        <f t="shared" si="167"/>
        <v>12.083333333333329</v>
      </c>
      <c r="Q721" s="177">
        <f t="shared" si="166"/>
        <v>0.13627819548872175</v>
      </c>
    </row>
    <row r="722" spans="1:17" x14ac:dyDescent="0.2">
      <c r="B722" t="s">
        <v>487</v>
      </c>
      <c r="C722">
        <v>108</v>
      </c>
      <c r="D722">
        <v>108</v>
      </c>
      <c r="E722">
        <v>109</v>
      </c>
      <c r="F722">
        <v>106</v>
      </c>
      <c r="G722">
        <v>102</v>
      </c>
      <c r="H722">
        <v>100</v>
      </c>
      <c r="I722">
        <v>97</v>
      </c>
      <c r="J722">
        <v>94</v>
      </c>
      <c r="K722">
        <v>98</v>
      </c>
      <c r="L722">
        <v>100</v>
      </c>
      <c r="M722">
        <v>105</v>
      </c>
      <c r="N722">
        <v>101</v>
      </c>
      <c r="O722" s="173">
        <f>SUM(C722:N722)/12</f>
        <v>102.33333333333333</v>
      </c>
      <c r="P722" s="173">
        <f t="shared" si="167"/>
        <v>1.5833333333333286</v>
      </c>
      <c r="Q722" s="177">
        <f t="shared" si="166"/>
        <v>1.5715467328370508E-2</v>
      </c>
    </row>
    <row r="723" spans="1:17" x14ac:dyDescent="0.2">
      <c r="B723" t="s">
        <v>561</v>
      </c>
      <c r="C723">
        <v>100</v>
      </c>
      <c r="D723">
        <v>100</v>
      </c>
      <c r="E723">
        <v>101</v>
      </c>
      <c r="F723">
        <v>94</v>
      </c>
      <c r="G723">
        <v>95</v>
      </c>
      <c r="H723">
        <v>102</v>
      </c>
      <c r="I723">
        <v>97</v>
      </c>
      <c r="J723">
        <v>96</v>
      </c>
      <c r="K723">
        <v>95</v>
      </c>
      <c r="L723">
        <v>97</v>
      </c>
      <c r="M723">
        <v>98</v>
      </c>
      <c r="N723">
        <v>97</v>
      </c>
      <c r="O723" s="173">
        <f>SUM(C723:N723)/12</f>
        <v>97.666666666666671</v>
      </c>
      <c r="P723" s="173">
        <f t="shared" si="167"/>
        <v>-4.6666666666666572</v>
      </c>
      <c r="Q723" s="177">
        <f t="shared" si="166"/>
        <v>-4.5602605863192092E-2</v>
      </c>
    </row>
    <row r="724" spans="1:17" x14ac:dyDescent="0.2">
      <c r="O724" s="173"/>
      <c r="P724" s="173"/>
      <c r="Q724" s="177"/>
    </row>
    <row r="725" spans="1:17" x14ac:dyDescent="0.2">
      <c r="A725" s="178"/>
      <c r="B725" s="178"/>
      <c r="C725" s="178"/>
      <c r="D725" s="178"/>
      <c r="E725" s="178"/>
      <c r="F725" s="178"/>
      <c r="G725" s="178"/>
      <c r="H725" s="178"/>
      <c r="I725" s="178"/>
      <c r="J725" s="178"/>
      <c r="K725" s="178"/>
      <c r="L725" s="178"/>
      <c r="M725" s="178"/>
      <c r="N725" s="178"/>
      <c r="O725" s="178"/>
      <c r="P725" s="178"/>
      <c r="Q725" s="178"/>
    </row>
    <row r="726" spans="1:17" ht="25.5" x14ac:dyDescent="0.2">
      <c r="A726" s="175" t="s">
        <v>462</v>
      </c>
      <c r="B726" s="703" t="s">
        <v>433</v>
      </c>
      <c r="C726" s="704" t="s">
        <v>434</v>
      </c>
      <c r="D726" s="704" t="s">
        <v>435</v>
      </c>
      <c r="E726" s="704" t="s">
        <v>436</v>
      </c>
      <c r="F726" s="704" t="s">
        <v>437</v>
      </c>
      <c r="G726" s="704" t="s">
        <v>438</v>
      </c>
      <c r="H726" s="704" t="s">
        <v>439</v>
      </c>
      <c r="I726" s="704" t="s">
        <v>440</v>
      </c>
      <c r="J726" s="704" t="s">
        <v>441</v>
      </c>
      <c r="K726" s="704" t="s">
        <v>442</v>
      </c>
      <c r="L726" s="704" t="s">
        <v>443</v>
      </c>
      <c r="M726" s="704" t="s">
        <v>444</v>
      </c>
      <c r="N726" s="704" t="s">
        <v>445</v>
      </c>
    </row>
    <row r="727" spans="1:17" x14ac:dyDescent="0.2">
      <c r="B727" t="s">
        <v>449</v>
      </c>
      <c r="C727">
        <v>69</v>
      </c>
      <c r="D727">
        <v>69</v>
      </c>
      <c r="E727">
        <v>69</v>
      </c>
      <c r="F727">
        <v>69</v>
      </c>
      <c r="G727">
        <v>56</v>
      </c>
      <c r="H727">
        <v>58</v>
      </c>
      <c r="I727">
        <v>57</v>
      </c>
      <c r="J727">
        <v>58</v>
      </c>
      <c r="K727">
        <v>56</v>
      </c>
      <c r="L727">
        <v>62</v>
      </c>
      <c r="M727">
        <v>57</v>
      </c>
      <c r="N727">
        <v>58</v>
      </c>
      <c r="O727" s="173">
        <f t="shared" ref="O727:O741" si="168">SUM(C727:N727)/12</f>
        <v>61.5</v>
      </c>
      <c r="P727" s="173"/>
    </row>
    <row r="728" spans="1:17" x14ac:dyDescent="0.2">
      <c r="B728" t="s">
        <v>450</v>
      </c>
      <c r="C728">
        <v>52</v>
      </c>
      <c r="D728">
        <v>56</v>
      </c>
      <c r="E728">
        <v>51</v>
      </c>
      <c r="F728">
        <v>57</v>
      </c>
      <c r="G728">
        <v>60</v>
      </c>
      <c r="H728">
        <v>58</v>
      </c>
      <c r="I728">
        <v>62</v>
      </c>
      <c r="J728">
        <v>63</v>
      </c>
      <c r="K728">
        <v>59</v>
      </c>
      <c r="L728">
        <v>59</v>
      </c>
      <c r="M728">
        <v>62</v>
      </c>
      <c r="N728">
        <v>60</v>
      </c>
      <c r="O728" s="173">
        <f t="shared" si="168"/>
        <v>58.25</v>
      </c>
      <c r="P728" s="173">
        <f t="shared" ref="P728:P735" si="169">SUM(O728-O727)</f>
        <v>-3.25</v>
      </c>
      <c r="Q728" s="177">
        <f t="shared" ref="Q728:Q734" si="170">SUM(P728/O727)</f>
        <v>-5.2845528455284556E-2</v>
      </c>
    </row>
    <row r="729" spans="1:17" x14ac:dyDescent="0.2">
      <c r="B729" t="s">
        <v>451</v>
      </c>
      <c r="C729">
        <v>60</v>
      </c>
      <c r="D729">
        <v>55</v>
      </c>
      <c r="E729">
        <v>57</v>
      </c>
      <c r="F729">
        <v>55</v>
      </c>
      <c r="G729">
        <v>55</v>
      </c>
      <c r="H729">
        <v>52</v>
      </c>
      <c r="I729">
        <v>60</v>
      </c>
      <c r="J729">
        <v>72</v>
      </c>
      <c r="K729">
        <v>77</v>
      </c>
      <c r="L729">
        <v>82</v>
      </c>
      <c r="M729">
        <v>87</v>
      </c>
      <c r="N729">
        <v>92</v>
      </c>
      <c r="O729" s="173">
        <f t="shared" si="168"/>
        <v>67</v>
      </c>
      <c r="P729" s="173">
        <f t="shared" si="169"/>
        <v>8.75</v>
      </c>
      <c r="Q729" s="177">
        <f t="shared" si="170"/>
        <v>0.15021459227467812</v>
      </c>
    </row>
    <row r="730" spans="1:17" x14ac:dyDescent="0.2">
      <c r="B730" t="s">
        <v>267</v>
      </c>
      <c r="C730">
        <v>87</v>
      </c>
      <c r="D730">
        <v>86</v>
      </c>
      <c r="E730">
        <v>88</v>
      </c>
      <c r="F730">
        <v>86</v>
      </c>
      <c r="G730">
        <v>86</v>
      </c>
      <c r="H730">
        <v>86</v>
      </c>
      <c r="I730">
        <v>86</v>
      </c>
      <c r="J730">
        <v>86</v>
      </c>
      <c r="K730">
        <v>86</v>
      </c>
      <c r="L730">
        <v>86</v>
      </c>
      <c r="M730">
        <v>86</v>
      </c>
      <c r="N730">
        <v>86</v>
      </c>
      <c r="O730" s="173">
        <f t="shared" si="168"/>
        <v>86.25</v>
      </c>
      <c r="P730" s="173">
        <f t="shared" si="169"/>
        <v>19.25</v>
      </c>
      <c r="Q730" s="177">
        <f t="shared" si="170"/>
        <v>0.28731343283582089</v>
      </c>
    </row>
    <row r="731" spans="1:17" x14ac:dyDescent="0.2">
      <c r="B731" t="s">
        <v>266</v>
      </c>
      <c r="C731">
        <v>93</v>
      </c>
      <c r="D731">
        <v>80</v>
      </c>
      <c r="E731">
        <v>78</v>
      </c>
      <c r="F731">
        <v>78</v>
      </c>
      <c r="G731">
        <v>84</v>
      </c>
      <c r="H731">
        <v>90</v>
      </c>
      <c r="I731">
        <v>88</v>
      </c>
      <c r="J731">
        <v>92</v>
      </c>
      <c r="K731">
        <v>94</v>
      </c>
      <c r="L731">
        <v>84</v>
      </c>
      <c r="M731">
        <v>84</v>
      </c>
      <c r="N731">
        <v>85</v>
      </c>
      <c r="O731" s="173">
        <f t="shared" si="168"/>
        <v>85.833333333333329</v>
      </c>
      <c r="P731" s="173">
        <f t="shared" si="169"/>
        <v>-0.4166666666666714</v>
      </c>
      <c r="Q731" s="177">
        <f t="shared" si="170"/>
        <v>-4.8309178743961905E-3</v>
      </c>
    </row>
    <row r="732" spans="1:17" x14ac:dyDescent="0.2">
      <c r="B732" t="s">
        <v>287</v>
      </c>
      <c r="C732">
        <v>80</v>
      </c>
      <c r="D732">
        <v>84</v>
      </c>
      <c r="E732">
        <v>85</v>
      </c>
      <c r="F732">
        <v>88</v>
      </c>
      <c r="G732">
        <v>90</v>
      </c>
      <c r="H732">
        <v>95</v>
      </c>
      <c r="I732">
        <v>101</v>
      </c>
      <c r="J732">
        <v>94</v>
      </c>
      <c r="K732">
        <v>90</v>
      </c>
      <c r="L732">
        <v>93</v>
      </c>
      <c r="M732">
        <v>101</v>
      </c>
      <c r="N732">
        <v>107</v>
      </c>
      <c r="O732" s="173">
        <f t="shared" si="168"/>
        <v>92.333333333333329</v>
      </c>
      <c r="P732" s="173">
        <f t="shared" si="169"/>
        <v>6.5</v>
      </c>
      <c r="Q732" s="177">
        <f t="shared" si="170"/>
        <v>7.5728155339805828E-2</v>
      </c>
    </row>
    <row r="733" spans="1:17" x14ac:dyDescent="0.2">
      <c r="B733" t="s">
        <v>297</v>
      </c>
      <c r="C733">
        <v>112</v>
      </c>
      <c r="D733">
        <v>110</v>
      </c>
      <c r="E733">
        <v>108</v>
      </c>
      <c r="F733">
        <v>113</v>
      </c>
      <c r="G733">
        <v>112</v>
      </c>
      <c r="H733">
        <v>108</v>
      </c>
      <c r="I733">
        <v>107</v>
      </c>
      <c r="J733">
        <v>123</v>
      </c>
      <c r="K733">
        <v>114</v>
      </c>
      <c r="L733">
        <v>116</v>
      </c>
      <c r="M733">
        <v>117</v>
      </c>
      <c r="N733">
        <v>121</v>
      </c>
      <c r="O733" s="173">
        <f t="shared" si="168"/>
        <v>113.41666666666667</v>
      </c>
      <c r="P733" s="173">
        <f t="shared" si="169"/>
        <v>21.083333333333343</v>
      </c>
      <c r="Q733" s="177">
        <f t="shared" si="170"/>
        <v>0.22833935018050552</v>
      </c>
    </row>
    <row r="734" spans="1:17" x14ac:dyDescent="0.2">
      <c r="B734" t="s">
        <v>300</v>
      </c>
      <c r="C734">
        <v>121</v>
      </c>
      <c r="D734">
        <v>122</v>
      </c>
      <c r="E734">
        <v>122</v>
      </c>
      <c r="F734">
        <v>126</v>
      </c>
      <c r="G734">
        <v>124</v>
      </c>
      <c r="H734">
        <v>122</v>
      </c>
      <c r="I734">
        <v>124</v>
      </c>
      <c r="J734">
        <v>122</v>
      </c>
      <c r="K734">
        <v>121</v>
      </c>
      <c r="L734">
        <v>115</v>
      </c>
      <c r="M734">
        <v>114</v>
      </c>
      <c r="N734">
        <v>121</v>
      </c>
      <c r="O734" s="173">
        <f t="shared" si="168"/>
        <v>121.16666666666667</v>
      </c>
      <c r="P734" s="173">
        <f t="shared" si="169"/>
        <v>7.75</v>
      </c>
      <c r="Q734" s="177">
        <f t="shared" si="170"/>
        <v>6.8332108743570902E-2</v>
      </c>
    </row>
    <row r="735" spans="1:17" x14ac:dyDescent="0.2">
      <c r="B735" t="s">
        <v>301</v>
      </c>
      <c r="C735">
        <v>99</v>
      </c>
      <c r="D735">
        <v>100</v>
      </c>
      <c r="E735">
        <v>107</v>
      </c>
      <c r="F735">
        <v>104</v>
      </c>
      <c r="G735">
        <v>103</v>
      </c>
      <c r="H735">
        <v>100</v>
      </c>
      <c r="I735">
        <v>101</v>
      </c>
      <c r="J735">
        <v>98</v>
      </c>
      <c r="K735">
        <v>92</v>
      </c>
      <c r="L735">
        <v>85</v>
      </c>
      <c r="M735">
        <v>92</v>
      </c>
      <c r="N735">
        <v>88</v>
      </c>
      <c r="O735" s="173">
        <f t="shared" si="168"/>
        <v>97.416666666666671</v>
      </c>
      <c r="P735" s="173">
        <f t="shared" si="169"/>
        <v>-23.75</v>
      </c>
      <c r="Q735" s="177">
        <f t="shared" ref="Q735:Q741" si="171">SUM(P735/O734)</f>
        <v>-0.19601100412654746</v>
      </c>
    </row>
    <row r="736" spans="1:17" x14ac:dyDescent="0.2">
      <c r="B736" t="s">
        <v>302</v>
      </c>
      <c r="C736">
        <v>79</v>
      </c>
      <c r="D736">
        <v>82</v>
      </c>
      <c r="E736">
        <v>82</v>
      </c>
      <c r="F736">
        <v>78</v>
      </c>
      <c r="G736">
        <v>79</v>
      </c>
      <c r="H736">
        <v>83</v>
      </c>
      <c r="I736">
        <v>84</v>
      </c>
      <c r="J736">
        <v>90</v>
      </c>
      <c r="K736">
        <v>95</v>
      </c>
      <c r="L736">
        <v>94</v>
      </c>
      <c r="M736">
        <v>94</v>
      </c>
      <c r="N736">
        <v>72</v>
      </c>
      <c r="O736" s="173">
        <f t="shared" si="168"/>
        <v>84.333333333333329</v>
      </c>
      <c r="P736" s="173">
        <f t="shared" ref="P736:P741" si="172">SUM(O736-O735)</f>
        <v>-13.083333333333343</v>
      </c>
      <c r="Q736" s="177">
        <f t="shared" si="171"/>
        <v>-0.13430282292557752</v>
      </c>
    </row>
    <row r="737" spans="1:17" x14ac:dyDescent="0.2">
      <c r="B737" t="s">
        <v>347</v>
      </c>
      <c r="C737">
        <v>84</v>
      </c>
      <c r="D737">
        <v>87</v>
      </c>
      <c r="E737">
        <v>92</v>
      </c>
      <c r="F737">
        <v>97</v>
      </c>
      <c r="G737">
        <v>101</v>
      </c>
      <c r="H737">
        <v>100</v>
      </c>
      <c r="I737">
        <v>85</v>
      </c>
      <c r="J737">
        <v>86</v>
      </c>
      <c r="K737">
        <v>90</v>
      </c>
      <c r="L737">
        <v>89</v>
      </c>
      <c r="M737">
        <v>83</v>
      </c>
      <c r="N737">
        <v>82</v>
      </c>
      <c r="O737" s="173">
        <f t="shared" si="168"/>
        <v>89.666666666666671</v>
      </c>
      <c r="P737" s="173">
        <f t="shared" si="172"/>
        <v>5.3333333333333428</v>
      </c>
      <c r="Q737" s="177">
        <f t="shared" si="171"/>
        <v>6.324110671936771E-2</v>
      </c>
    </row>
    <row r="738" spans="1:17" x14ac:dyDescent="0.2">
      <c r="B738" t="s">
        <v>370</v>
      </c>
      <c r="C738">
        <v>87</v>
      </c>
      <c r="D738">
        <v>86</v>
      </c>
      <c r="E738">
        <v>87</v>
      </c>
      <c r="F738">
        <v>77</v>
      </c>
      <c r="G738">
        <v>76</v>
      </c>
      <c r="H738">
        <v>73</v>
      </c>
      <c r="I738">
        <v>69</v>
      </c>
      <c r="J738">
        <v>75</v>
      </c>
      <c r="K738">
        <v>74</v>
      </c>
      <c r="L738">
        <v>74</v>
      </c>
      <c r="M738">
        <v>72</v>
      </c>
      <c r="N738">
        <v>73</v>
      </c>
      <c r="O738" s="173">
        <f t="shared" si="168"/>
        <v>76.916666666666671</v>
      </c>
      <c r="P738" s="173">
        <f t="shared" si="172"/>
        <v>-12.75</v>
      </c>
      <c r="Q738" s="177">
        <f t="shared" si="171"/>
        <v>-0.14219330855018586</v>
      </c>
    </row>
    <row r="739" spans="1:17" x14ac:dyDescent="0.2">
      <c r="B739" t="s">
        <v>452</v>
      </c>
      <c r="C739">
        <v>74</v>
      </c>
      <c r="D739">
        <v>71</v>
      </c>
      <c r="E739">
        <v>77</v>
      </c>
      <c r="F739">
        <v>76</v>
      </c>
      <c r="G739">
        <v>78</v>
      </c>
      <c r="H739">
        <v>71</v>
      </c>
      <c r="I739">
        <v>69</v>
      </c>
      <c r="J739">
        <v>64</v>
      </c>
      <c r="K739">
        <v>62</v>
      </c>
      <c r="L739">
        <v>55</v>
      </c>
      <c r="M739">
        <v>55</v>
      </c>
      <c r="N739">
        <v>54</v>
      </c>
      <c r="O739" s="173">
        <f t="shared" si="168"/>
        <v>67.166666666666671</v>
      </c>
      <c r="P739" s="173">
        <f t="shared" si="172"/>
        <v>-9.75</v>
      </c>
      <c r="Q739" s="177">
        <f t="shared" si="171"/>
        <v>-0.12676056338028169</v>
      </c>
    </row>
    <row r="740" spans="1:17" x14ac:dyDescent="0.2">
      <c r="B740" t="s">
        <v>487</v>
      </c>
      <c r="C740">
        <v>59</v>
      </c>
      <c r="D740">
        <v>57</v>
      </c>
      <c r="E740">
        <v>54</v>
      </c>
      <c r="F740">
        <v>53</v>
      </c>
      <c r="G740">
        <v>56</v>
      </c>
      <c r="H740">
        <v>62</v>
      </c>
      <c r="I740">
        <v>55</v>
      </c>
      <c r="J740">
        <v>50</v>
      </c>
      <c r="K740">
        <v>49</v>
      </c>
      <c r="L740">
        <v>51</v>
      </c>
      <c r="M740">
        <v>52</v>
      </c>
      <c r="N740">
        <v>50</v>
      </c>
      <c r="O740" s="173">
        <f t="shared" si="168"/>
        <v>54</v>
      </c>
      <c r="P740" s="173">
        <f t="shared" si="172"/>
        <v>-13.166666666666671</v>
      </c>
      <c r="Q740" s="177">
        <f t="shared" si="171"/>
        <v>-0.19602977667493801</v>
      </c>
    </row>
    <row r="741" spans="1:17" x14ac:dyDescent="0.2">
      <c r="B741" t="s">
        <v>561</v>
      </c>
      <c r="C741">
        <v>54</v>
      </c>
      <c r="D741">
        <v>57</v>
      </c>
      <c r="E741">
        <v>63</v>
      </c>
      <c r="F741">
        <v>64</v>
      </c>
      <c r="G741">
        <v>67</v>
      </c>
      <c r="H741">
        <v>65</v>
      </c>
      <c r="I741">
        <v>65</v>
      </c>
      <c r="J741">
        <v>65</v>
      </c>
      <c r="K741">
        <v>67</v>
      </c>
      <c r="L741">
        <v>66</v>
      </c>
      <c r="M741">
        <v>66</v>
      </c>
      <c r="N741">
        <v>69</v>
      </c>
      <c r="O741" s="173">
        <f t="shared" si="168"/>
        <v>64</v>
      </c>
      <c r="P741" s="173">
        <f t="shared" si="172"/>
        <v>10</v>
      </c>
      <c r="Q741" s="177">
        <f t="shared" si="171"/>
        <v>0.18518518518518517</v>
      </c>
    </row>
    <row r="742" spans="1:17" x14ac:dyDescent="0.2">
      <c r="O742" s="173"/>
      <c r="P742" s="173"/>
      <c r="Q742" s="177"/>
    </row>
    <row r="743" spans="1:17" ht="25.5" x14ac:dyDescent="0.2">
      <c r="A743" s="175" t="s">
        <v>463</v>
      </c>
      <c r="B743" s="703" t="s">
        <v>433</v>
      </c>
      <c r="C743" s="704" t="s">
        <v>434</v>
      </c>
      <c r="D743" s="704" t="s">
        <v>435</v>
      </c>
      <c r="E743" s="704" t="s">
        <v>436</v>
      </c>
      <c r="F743" s="704" t="s">
        <v>437</v>
      </c>
      <c r="G743" s="704" t="s">
        <v>438</v>
      </c>
      <c r="H743" s="704" t="s">
        <v>439</v>
      </c>
      <c r="I743" s="704" t="s">
        <v>440</v>
      </c>
      <c r="J743" s="704" t="s">
        <v>441</v>
      </c>
      <c r="K743" s="704" t="s">
        <v>442</v>
      </c>
      <c r="L743" s="704" t="s">
        <v>443</v>
      </c>
      <c r="M743" s="704" t="s">
        <v>444</v>
      </c>
      <c r="N743" s="704" t="s">
        <v>445</v>
      </c>
    </row>
    <row r="744" spans="1:17" x14ac:dyDescent="0.2">
      <c r="B744" t="s">
        <v>449</v>
      </c>
      <c r="C744">
        <v>92</v>
      </c>
      <c r="D744">
        <v>91</v>
      </c>
      <c r="E744">
        <v>97</v>
      </c>
      <c r="F744">
        <v>94</v>
      </c>
      <c r="G744">
        <v>87</v>
      </c>
      <c r="H744">
        <v>85</v>
      </c>
      <c r="I744">
        <v>91</v>
      </c>
      <c r="J744">
        <v>89</v>
      </c>
      <c r="K744">
        <v>92</v>
      </c>
      <c r="L744">
        <v>92</v>
      </c>
      <c r="M744">
        <v>94</v>
      </c>
      <c r="N744">
        <v>92</v>
      </c>
      <c r="O744" s="173">
        <f t="shared" ref="O744:O758" si="173">SUM(C744:N744)/12</f>
        <v>91.333333333333329</v>
      </c>
      <c r="P744" s="173"/>
    </row>
    <row r="745" spans="1:17" x14ac:dyDescent="0.2">
      <c r="B745" t="s">
        <v>450</v>
      </c>
      <c r="C745">
        <v>90</v>
      </c>
      <c r="D745">
        <v>98</v>
      </c>
      <c r="E745">
        <v>89</v>
      </c>
      <c r="F745">
        <v>84</v>
      </c>
      <c r="G745">
        <v>84</v>
      </c>
      <c r="H745">
        <v>78</v>
      </c>
      <c r="I745">
        <v>83</v>
      </c>
      <c r="J745">
        <v>87</v>
      </c>
      <c r="K745">
        <v>81</v>
      </c>
      <c r="L745">
        <v>81</v>
      </c>
      <c r="M745">
        <v>77</v>
      </c>
      <c r="N745">
        <v>79</v>
      </c>
      <c r="O745" s="173">
        <f t="shared" si="173"/>
        <v>84.25</v>
      </c>
      <c r="P745" s="173">
        <f t="shared" ref="P745:P752" si="174">SUM(O745-O744)</f>
        <v>-7.0833333333333286</v>
      </c>
      <c r="Q745" s="177">
        <f t="shared" ref="Q745:Q751" si="175">SUM(P745/O744)</f>
        <v>-7.7554744525547392E-2</v>
      </c>
    </row>
    <row r="746" spans="1:17" x14ac:dyDescent="0.2">
      <c r="B746" t="s">
        <v>451</v>
      </c>
      <c r="C746">
        <v>81</v>
      </c>
      <c r="D746">
        <v>78</v>
      </c>
      <c r="E746">
        <v>73</v>
      </c>
      <c r="F746">
        <v>77</v>
      </c>
      <c r="G746">
        <v>86</v>
      </c>
      <c r="H746">
        <v>96</v>
      </c>
      <c r="I746">
        <v>84</v>
      </c>
      <c r="J746">
        <v>72</v>
      </c>
      <c r="K746">
        <v>74</v>
      </c>
      <c r="L746">
        <v>76</v>
      </c>
      <c r="M746">
        <v>78</v>
      </c>
      <c r="N746">
        <v>88</v>
      </c>
      <c r="O746" s="173">
        <f t="shared" si="173"/>
        <v>80.25</v>
      </c>
      <c r="P746" s="173">
        <f t="shared" si="174"/>
        <v>-4</v>
      </c>
      <c r="Q746" s="177">
        <f t="shared" si="175"/>
        <v>-4.7477744807121663E-2</v>
      </c>
    </row>
    <row r="747" spans="1:17" x14ac:dyDescent="0.2">
      <c r="B747" t="s">
        <v>267</v>
      </c>
      <c r="C747">
        <v>98</v>
      </c>
      <c r="D747">
        <v>98</v>
      </c>
      <c r="E747">
        <v>100</v>
      </c>
      <c r="F747">
        <v>93</v>
      </c>
      <c r="G747">
        <v>93</v>
      </c>
      <c r="H747">
        <v>93</v>
      </c>
      <c r="I747">
        <v>93</v>
      </c>
      <c r="J747">
        <v>93</v>
      </c>
      <c r="K747">
        <v>93</v>
      </c>
      <c r="L747">
        <v>93</v>
      </c>
      <c r="M747">
        <v>93</v>
      </c>
      <c r="N747">
        <v>93</v>
      </c>
      <c r="O747" s="173">
        <f t="shared" si="173"/>
        <v>94.416666666666671</v>
      </c>
      <c r="P747" s="173">
        <f t="shared" si="174"/>
        <v>14.166666666666671</v>
      </c>
      <c r="Q747" s="177">
        <f t="shared" si="175"/>
        <v>0.17653167185877472</v>
      </c>
    </row>
    <row r="748" spans="1:17" x14ac:dyDescent="0.2">
      <c r="B748" t="s">
        <v>266</v>
      </c>
      <c r="C748">
        <v>106</v>
      </c>
      <c r="D748">
        <v>90</v>
      </c>
      <c r="E748">
        <v>91</v>
      </c>
      <c r="F748">
        <v>91</v>
      </c>
      <c r="G748">
        <v>87</v>
      </c>
      <c r="H748">
        <v>80</v>
      </c>
      <c r="I748">
        <v>76</v>
      </c>
      <c r="J748">
        <v>78</v>
      </c>
      <c r="K748">
        <v>83</v>
      </c>
      <c r="L748">
        <v>92</v>
      </c>
      <c r="M748">
        <v>99</v>
      </c>
      <c r="N748">
        <v>101</v>
      </c>
      <c r="O748" s="173">
        <f t="shared" si="173"/>
        <v>89.5</v>
      </c>
      <c r="P748" s="173">
        <f t="shared" si="174"/>
        <v>-4.9166666666666714</v>
      </c>
      <c r="Q748" s="177">
        <f t="shared" si="175"/>
        <v>-5.2074139452780277E-2</v>
      </c>
    </row>
    <row r="749" spans="1:17" x14ac:dyDescent="0.2">
      <c r="B749" t="s">
        <v>287</v>
      </c>
      <c r="C749">
        <v>93</v>
      </c>
      <c r="D749">
        <v>90</v>
      </c>
      <c r="E749">
        <v>91</v>
      </c>
      <c r="F749">
        <v>94</v>
      </c>
      <c r="G749">
        <v>91</v>
      </c>
      <c r="H749">
        <v>91</v>
      </c>
      <c r="I749">
        <v>93</v>
      </c>
      <c r="J749">
        <v>90</v>
      </c>
      <c r="K749">
        <v>83</v>
      </c>
      <c r="L749">
        <v>84</v>
      </c>
      <c r="M749">
        <v>79</v>
      </c>
      <c r="N749">
        <v>77</v>
      </c>
      <c r="O749" s="173">
        <f t="shared" si="173"/>
        <v>88</v>
      </c>
      <c r="P749" s="173">
        <f t="shared" si="174"/>
        <v>-1.5</v>
      </c>
      <c r="Q749" s="177">
        <f t="shared" si="175"/>
        <v>-1.6759776536312849E-2</v>
      </c>
    </row>
    <row r="750" spans="1:17" x14ac:dyDescent="0.2">
      <c r="B750" t="s">
        <v>297</v>
      </c>
      <c r="C750">
        <v>79</v>
      </c>
      <c r="D750">
        <v>78</v>
      </c>
      <c r="E750">
        <v>74</v>
      </c>
      <c r="F750">
        <v>69</v>
      </c>
      <c r="G750">
        <v>66</v>
      </c>
      <c r="H750">
        <v>62</v>
      </c>
      <c r="I750">
        <v>59</v>
      </c>
      <c r="J750">
        <v>64</v>
      </c>
      <c r="K750">
        <v>59</v>
      </c>
      <c r="L750">
        <v>55</v>
      </c>
      <c r="M750">
        <v>61</v>
      </c>
      <c r="N750">
        <v>64</v>
      </c>
      <c r="O750" s="173">
        <f t="shared" si="173"/>
        <v>65.833333333333329</v>
      </c>
      <c r="P750" s="173">
        <f t="shared" si="174"/>
        <v>-22.166666666666671</v>
      </c>
      <c r="Q750" s="177">
        <f t="shared" si="175"/>
        <v>-0.25189393939393945</v>
      </c>
    </row>
    <row r="751" spans="1:17" x14ac:dyDescent="0.2">
      <c r="B751" t="s">
        <v>300</v>
      </c>
      <c r="C751">
        <v>68</v>
      </c>
      <c r="D751">
        <v>67</v>
      </c>
      <c r="E751">
        <v>71</v>
      </c>
      <c r="F751">
        <v>72</v>
      </c>
      <c r="G751">
        <v>81</v>
      </c>
      <c r="H751">
        <v>85</v>
      </c>
      <c r="I751">
        <v>85</v>
      </c>
      <c r="J751">
        <v>85</v>
      </c>
      <c r="K751">
        <v>73</v>
      </c>
      <c r="L751">
        <v>82</v>
      </c>
      <c r="M751">
        <v>78</v>
      </c>
      <c r="N751">
        <v>80</v>
      </c>
      <c r="O751" s="173">
        <f t="shared" si="173"/>
        <v>77.25</v>
      </c>
      <c r="P751" s="173">
        <f t="shared" si="174"/>
        <v>11.416666666666671</v>
      </c>
      <c r="Q751" s="177">
        <f t="shared" si="175"/>
        <v>0.17341772151898743</v>
      </c>
    </row>
    <row r="752" spans="1:17" x14ac:dyDescent="0.2">
      <c r="B752" t="s">
        <v>301</v>
      </c>
      <c r="C752">
        <v>77</v>
      </c>
      <c r="D752">
        <v>75</v>
      </c>
      <c r="E752">
        <v>74</v>
      </c>
      <c r="F752">
        <v>75</v>
      </c>
      <c r="G752">
        <v>75</v>
      </c>
      <c r="H752">
        <v>77</v>
      </c>
      <c r="I752">
        <v>81</v>
      </c>
      <c r="J752">
        <v>79</v>
      </c>
      <c r="K752">
        <v>79</v>
      </c>
      <c r="L752">
        <v>79</v>
      </c>
      <c r="M752">
        <v>80</v>
      </c>
      <c r="N752">
        <v>76</v>
      </c>
      <c r="O752" s="173">
        <f t="shared" si="173"/>
        <v>77.25</v>
      </c>
      <c r="P752" s="173">
        <f t="shared" si="174"/>
        <v>0</v>
      </c>
      <c r="Q752" s="177">
        <f t="shared" ref="Q752:Q758" si="176">SUM(P752/O751)</f>
        <v>0</v>
      </c>
    </row>
    <row r="753" spans="1:17" x14ac:dyDescent="0.2">
      <c r="B753" t="s">
        <v>302</v>
      </c>
      <c r="C753">
        <v>68</v>
      </c>
      <c r="D753">
        <v>66</v>
      </c>
      <c r="E753">
        <v>65</v>
      </c>
      <c r="F753">
        <v>61</v>
      </c>
      <c r="G753">
        <v>59</v>
      </c>
      <c r="H753">
        <v>57</v>
      </c>
      <c r="I753">
        <v>55</v>
      </c>
      <c r="J753">
        <v>56</v>
      </c>
      <c r="K753">
        <v>58</v>
      </c>
      <c r="L753">
        <v>60</v>
      </c>
      <c r="M753">
        <v>61</v>
      </c>
      <c r="N753">
        <v>62</v>
      </c>
      <c r="O753" s="173">
        <f t="shared" si="173"/>
        <v>60.666666666666664</v>
      </c>
      <c r="P753" s="173">
        <f t="shared" ref="P753:P758" si="177">SUM(O753-O752)</f>
        <v>-16.583333333333336</v>
      </c>
      <c r="Q753" s="177">
        <f t="shared" si="176"/>
        <v>-0.21467098166127296</v>
      </c>
    </row>
    <row r="754" spans="1:17" x14ac:dyDescent="0.2">
      <c r="B754" t="s">
        <v>347</v>
      </c>
      <c r="C754">
        <v>58</v>
      </c>
      <c r="D754">
        <v>59</v>
      </c>
      <c r="E754">
        <v>55</v>
      </c>
      <c r="F754">
        <v>68</v>
      </c>
      <c r="G754">
        <v>62</v>
      </c>
      <c r="H754">
        <v>58</v>
      </c>
      <c r="I754">
        <v>55</v>
      </c>
      <c r="J754">
        <v>58</v>
      </c>
      <c r="K754">
        <v>59</v>
      </c>
      <c r="L754">
        <v>57</v>
      </c>
      <c r="M754">
        <v>52</v>
      </c>
      <c r="N754">
        <v>54</v>
      </c>
      <c r="O754" s="173">
        <f t="shared" si="173"/>
        <v>57.916666666666664</v>
      </c>
      <c r="P754" s="173">
        <f t="shared" si="177"/>
        <v>-2.75</v>
      </c>
      <c r="Q754" s="177">
        <f t="shared" si="176"/>
        <v>-4.5329670329670328E-2</v>
      </c>
    </row>
    <row r="755" spans="1:17" x14ac:dyDescent="0.2">
      <c r="B755" t="s">
        <v>370</v>
      </c>
      <c r="C755">
        <v>55</v>
      </c>
      <c r="D755">
        <v>55</v>
      </c>
      <c r="E755">
        <v>49</v>
      </c>
      <c r="F755">
        <v>51</v>
      </c>
      <c r="G755">
        <v>53</v>
      </c>
      <c r="H755">
        <v>57</v>
      </c>
      <c r="I755">
        <v>63</v>
      </c>
      <c r="J755">
        <v>65</v>
      </c>
      <c r="K755">
        <v>65</v>
      </c>
      <c r="L755">
        <v>61</v>
      </c>
      <c r="M755">
        <v>66</v>
      </c>
      <c r="N755">
        <v>63</v>
      </c>
      <c r="O755" s="173">
        <f t="shared" si="173"/>
        <v>58.583333333333336</v>
      </c>
      <c r="P755" s="173">
        <f t="shared" si="177"/>
        <v>0.6666666666666714</v>
      </c>
      <c r="Q755" s="177">
        <f t="shared" si="176"/>
        <v>1.1510791366906557E-2</v>
      </c>
    </row>
    <row r="756" spans="1:17" x14ac:dyDescent="0.2">
      <c r="B756" t="s">
        <v>452</v>
      </c>
      <c r="C756">
        <v>63</v>
      </c>
      <c r="D756">
        <v>66</v>
      </c>
      <c r="E756">
        <v>66</v>
      </c>
      <c r="F756">
        <v>59</v>
      </c>
      <c r="G756">
        <v>69</v>
      </c>
      <c r="H756">
        <v>72</v>
      </c>
      <c r="I756">
        <v>76</v>
      </c>
      <c r="J756">
        <v>75</v>
      </c>
      <c r="K756">
        <v>81</v>
      </c>
      <c r="L756">
        <v>82</v>
      </c>
      <c r="M756">
        <v>70</v>
      </c>
      <c r="N756">
        <v>80</v>
      </c>
      <c r="O756" s="173">
        <f t="shared" si="173"/>
        <v>71.583333333333329</v>
      </c>
      <c r="P756" s="173">
        <f t="shared" si="177"/>
        <v>12.999999999999993</v>
      </c>
      <c r="Q756" s="177">
        <f t="shared" si="176"/>
        <v>0.22190611664295862</v>
      </c>
    </row>
    <row r="757" spans="1:17" x14ac:dyDescent="0.2">
      <c r="B757" t="s">
        <v>487</v>
      </c>
      <c r="C757">
        <v>72</v>
      </c>
      <c r="D757">
        <v>71</v>
      </c>
      <c r="E757">
        <v>74</v>
      </c>
      <c r="F757">
        <v>75</v>
      </c>
      <c r="G757">
        <v>69</v>
      </c>
      <c r="H757">
        <v>74</v>
      </c>
      <c r="I757">
        <v>72</v>
      </c>
      <c r="J757">
        <v>74</v>
      </c>
      <c r="K757">
        <v>79</v>
      </c>
      <c r="L757">
        <v>82</v>
      </c>
      <c r="M757">
        <v>87</v>
      </c>
      <c r="N757">
        <v>87</v>
      </c>
      <c r="O757" s="173">
        <f t="shared" si="173"/>
        <v>76.333333333333329</v>
      </c>
      <c r="P757" s="173">
        <f t="shared" si="177"/>
        <v>4.75</v>
      </c>
      <c r="Q757" s="177">
        <f t="shared" si="176"/>
        <v>6.6356228172293363E-2</v>
      </c>
    </row>
    <row r="758" spans="1:17" x14ac:dyDescent="0.2">
      <c r="B758" t="s">
        <v>561</v>
      </c>
      <c r="C758">
        <v>94</v>
      </c>
      <c r="D758">
        <v>94</v>
      </c>
      <c r="E758">
        <v>101</v>
      </c>
      <c r="F758">
        <v>108</v>
      </c>
      <c r="G758">
        <v>108</v>
      </c>
      <c r="H758">
        <v>107</v>
      </c>
      <c r="I758">
        <v>98</v>
      </c>
      <c r="J758">
        <v>97</v>
      </c>
      <c r="K758">
        <v>96</v>
      </c>
      <c r="L758">
        <v>98</v>
      </c>
      <c r="M758">
        <v>100</v>
      </c>
      <c r="N758">
        <v>101</v>
      </c>
      <c r="O758" s="173">
        <f t="shared" si="173"/>
        <v>100.16666666666667</v>
      </c>
      <c r="P758" s="173">
        <f t="shared" si="177"/>
        <v>23.833333333333343</v>
      </c>
      <c r="Q758" s="177">
        <f t="shared" si="176"/>
        <v>0.31222707423580798</v>
      </c>
    </row>
    <row r="759" spans="1:17" x14ac:dyDescent="0.2">
      <c r="O759" s="173"/>
      <c r="P759" s="173"/>
      <c r="Q759" s="177"/>
    </row>
    <row r="760" spans="1:17" ht="25.5" x14ac:dyDescent="0.2">
      <c r="A760" s="175" t="s">
        <v>464</v>
      </c>
      <c r="B760" s="703" t="s">
        <v>433</v>
      </c>
      <c r="C760" s="704" t="s">
        <v>434</v>
      </c>
      <c r="D760" s="704" t="s">
        <v>435</v>
      </c>
      <c r="E760" s="704" t="s">
        <v>436</v>
      </c>
      <c r="F760" s="704" t="s">
        <v>437</v>
      </c>
      <c r="G760" s="704" t="s">
        <v>438</v>
      </c>
      <c r="H760" s="704" t="s">
        <v>439</v>
      </c>
      <c r="I760" s="704" t="s">
        <v>440</v>
      </c>
      <c r="J760" s="704" t="s">
        <v>441</v>
      </c>
      <c r="K760" s="704" t="s">
        <v>442</v>
      </c>
      <c r="L760" s="704" t="s">
        <v>443</v>
      </c>
      <c r="M760" s="704" t="s">
        <v>444</v>
      </c>
      <c r="N760" s="704" t="s">
        <v>445</v>
      </c>
    </row>
    <row r="761" spans="1:17" x14ac:dyDescent="0.2">
      <c r="B761" t="s">
        <v>449</v>
      </c>
      <c r="C761">
        <v>438</v>
      </c>
      <c r="D761">
        <v>444</v>
      </c>
      <c r="E761">
        <v>446</v>
      </c>
      <c r="F761">
        <v>441</v>
      </c>
      <c r="G761">
        <v>444</v>
      </c>
      <c r="H761">
        <v>449</v>
      </c>
      <c r="I761">
        <v>447</v>
      </c>
      <c r="J761">
        <v>460</v>
      </c>
      <c r="K761">
        <v>465</v>
      </c>
      <c r="L761">
        <v>463</v>
      </c>
      <c r="M761">
        <v>469</v>
      </c>
      <c r="N761">
        <v>478</v>
      </c>
      <c r="O761" s="173">
        <f t="shared" ref="O761:O775" si="178">SUM(C761:N761)/12</f>
        <v>453.66666666666669</v>
      </c>
      <c r="P761" s="173"/>
    </row>
    <row r="762" spans="1:17" x14ac:dyDescent="0.2">
      <c r="B762" t="s">
        <v>450</v>
      </c>
      <c r="C762">
        <v>474</v>
      </c>
      <c r="D762">
        <v>481</v>
      </c>
      <c r="E762">
        <v>491</v>
      </c>
      <c r="F762">
        <v>478</v>
      </c>
      <c r="G762">
        <v>472</v>
      </c>
      <c r="H762">
        <v>477</v>
      </c>
      <c r="I762">
        <v>476</v>
      </c>
      <c r="J762">
        <v>470</v>
      </c>
      <c r="K762">
        <v>467</v>
      </c>
      <c r="L762">
        <v>480</v>
      </c>
      <c r="M762">
        <v>461</v>
      </c>
      <c r="N762">
        <v>449</v>
      </c>
      <c r="O762" s="173">
        <f t="shared" si="178"/>
        <v>473</v>
      </c>
      <c r="P762" s="173">
        <f t="shared" ref="P762:P769" si="179">SUM(O762-O761)</f>
        <v>19.333333333333314</v>
      </c>
      <c r="Q762" s="177">
        <f t="shared" ref="Q762:Q768" si="180">SUM(P762/O761)</f>
        <v>4.261572373254955E-2</v>
      </c>
    </row>
    <row r="763" spans="1:17" x14ac:dyDescent="0.2">
      <c r="B763" t="s">
        <v>451</v>
      </c>
      <c r="C763">
        <v>463</v>
      </c>
      <c r="D763">
        <v>474</v>
      </c>
      <c r="E763">
        <v>480</v>
      </c>
      <c r="F763">
        <v>457</v>
      </c>
      <c r="G763">
        <v>459</v>
      </c>
      <c r="H763">
        <v>469</v>
      </c>
      <c r="I763">
        <v>460</v>
      </c>
      <c r="J763">
        <v>446</v>
      </c>
      <c r="K763">
        <v>457</v>
      </c>
      <c r="L763">
        <v>468</v>
      </c>
      <c r="M763">
        <v>479</v>
      </c>
      <c r="N763">
        <v>490</v>
      </c>
      <c r="O763" s="173">
        <f t="shared" si="178"/>
        <v>466.83333333333331</v>
      </c>
      <c r="P763" s="173">
        <f t="shared" si="179"/>
        <v>-6.1666666666666856</v>
      </c>
      <c r="Q763" s="177">
        <f t="shared" si="180"/>
        <v>-1.3037350246652613E-2</v>
      </c>
    </row>
    <row r="764" spans="1:17" x14ac:dyDescent="0.2">
      <c r="B764" t="s">
        <v>267</v>
      </c>
      <c r="C764">
        <v>537</v>
      </c>
      <c r="D764">
        <v>544</v>
      </c>
      <c r="E764">
        <v>514</v>
      </c>
      <c r="F764">
        <v>562</v>
      </c>
      <c r="G764">
        <v>557</v>
      </c>
      <c r="H764">
        <v>551</v>
      </c>
      <c r="I764">
        <v>545</v>
      </c>
      <c r="J764">
        <v>538</v>
      </c>
      <c r="K764">
        <v>525</v>
      </c>
      <c r="L764">
        <v>518</v>
      </c>
      <c r="M764">
        <v>502</v>
      </c>
      <c r="N764">
        <v>506</v>
      </c>
      <c r="O764" s="173">
        <f t="shared" si="178"/>
        <v>533.25</v>
      </c>
      <c r="P764" s="173">
        <f t="shared" si="179"/>
        <v>66.416666666666686</v>
      </c>
      <c r="Q764" s="177">
        <f t="shared" si="180"/>
        <v>0.14227061763655841</v>
      </c>
    </row>
    <row r="765" spans="1:17" x14ac:dyDescent="0.2">
      <c r="B765" t="s">
        <v>266</v>
      </c>
      <c r="C765">
        <v>519</v>
      </c>
      <c r="D765">
        <v>507</v>
      </c>
      <c r="E765">
        <v>516</v>
      </c>
      <c r="F765">
        <v>509</v>
      </c>
      <c r="G765">
        <v>495</v>
      </c>
      <c r="H765">
        <v>503</v>
      </c>
      <c r="I765">
        <v>484</v>
      </c>
      <c r="J765">
        <v>484</v>
      </c>
      <c r="K765">
        <v>477</v>
      </c>
      <c r="L765">
        <v>470</v>
      </c>
      <c r="M765">
        <v>474</v>
      </c>
      <c r="N765">
        <v>464</v>
      </c>
      <c r="O765" s="173">
        <f t="shared" si="178"/>
        <v>491.83333333333331</v>
      </c>
      <c r="P765" s="173">
        <f t="shared" si="179"/>
        <v>-41.416666666666686</v>
      </c>
      <c r="Q765" s="177">
        <f t="shared" si="180"/>
        <v>-7.7668385685263353E-2</v>
      </c>
    </row>
    <row r="766" spans="1:17" x14ac:dyDescent="0.2">
      <c r="B766" t="s">
        <v>287</v>
      </c>
      <c r="C766">
        <v>472</v>
      </c>
      <c r="D766">
        <v>489</v>
      </c>
      <c r="E766">
        <v>468</v>
      </c>
      <c r="F766">
        <v>461</v>
      </c>
      <c r="G766">
        <v>460</v>
      </c>
      <c r="H766">
        <v>449</v>
      </c>
      <c r="I766">
        <v>436</v>
      </c>
      <c r="J766">
        <v>442</v>
      </c>
      <c r="K766">
        <v>445</v>
      </c>
      <c r="L766">
        <v>458</v>
      </c>
      <c r="M766">
        <v>472</v>
      </c>
      <c r="N766">
        <v>480</v>
      </c>
      <c r="O766" s="173">
        <f t="shared" si="178"/>
        <v>461</v>
      </c>
      <c r="P766" s="173">
        <f t="shared" si="179"/>
        <v>-30.833333333333314</v>
      </c>
      <c r="Q766" s="177">
        <f t="shared" si="180"/>
        <v>-6.2690613351406271E-2</v>
      </c>
    </row>
    <row r="767" spans="1:17" x14ac:dyDescent="0.2">
      <c r="B767" t="s">
        <v>297</v>
      </c>
      <c r="C767">
        <v>478</v>
      </c>
      <c r="D767">
        <v>478</v>
      </c>
      <c r="E767">
        <v>474</v>
      </c>
      <c r="F767">
        <v>493</v>
      </c>
      <c r="G767">
        <v>488</v>
      </c>
      <c r="H767">
        <v>495</v>
      </c>
      <c r="I767">
        <v>507</v>
      </c>
      <c r="J767">
        <v>499</v>
      </c>
      <c r="K767">
        <v>500</v>
      </c>
      <c r="L767">
        <v>518</v>
      </c>
      <c r="M767">
        <v>540</v>
      </c>
      <c r="N767">
        <v>551</v>
      </c>
      <c r="O767" s="173">
        <f t="shared" si="178"/>
        <v>501.75</v>
      </c>
      <c r="P767" s="173">
        <f t="shared" si="179"/>
        <v>40.75</v>
      </c>
      <c r="Q767" s="177">
        <f t="shared" si="180"/>
        <v>8.8394793926247286E-2</v>
      </c>
    </row>
    <row r="768" spans="1:17" x14ac:dyDescent="0.2">
      <c r="B768" t="s">
        <v>300</v>
      </c>
      <c r="C768">
        <v>551</v>
      </c>
      <c r="D768">
        <v>536</v>
      </c>
      <c r="E768">
        <v>521</v>
      </c>
      <c r="F768">
        <v>522</v>
      </c>
      <c r="G768">
        <v>527</v>
      </c>
      <c r="H768">
        <v>545</v>
      </c>
      <c r="I768">
        <v>548</v>
      </c>
      <c r="J768">
        <v>549</v>
      </c>
      <c r="K768">
        <v>549</v>
      </c>
      <c r="L768">
        <v>650</v>
      </c>
      <c r="M768">
        <v>666</v>
      </c>
      <c r="N768">
        <v>591</v>
      </c>
      <c r="O768" s="173">
        <f t="shared" si="178"/>
        <v>562.91666666666663</v>
      </c>
      <c r="P768" s="173">
        <f t="shared" si="179"/>
        <v>61.166666666666629</v>
      </c>
      <c r="Q768" s="177">
        <f t="shared" si="180"/>
        <v>0.12190666002325187</v>
      </c>
    </row>
    <row r="769" spans="1:17" x14ac:dyDescent="0.2">
      <c r="B769" t="s">
        <v>301</v>
      </c>
      <c r="C769">
        <v>596</v>
      </c>
      <c r="D769">
        <v>617</v>
      </c>
      <c r="E769">
        <v>722</v>
      </c>
      <c r="F769">
        <v>657</v>
      </c>
      <c r="G769">
        <v>723</v>
      </c>
      <c r="H769">
        <v>717</v>
      </c>
      <c r="I769">
        <v>729</v>
      </c>
      <c r="J769">
        <v>730</v>
      </c>
      <c r="K769">
        <v>721</v>
      </c>
      <c r="L769">
        <v>721</v>
      </c>
      <c r="M769">
        <v>754</v>
      </c>
      <c r="N769">
        <v>770</v>
      </c>
      <c r="O769" s="173">
        <f t="shared" si="178"/>
        <v>704.75</v>
      </c>
      <c r="P769" s="173">
        <f t="shared" si="179"/>
        <v>141.83333333333337</v>
      </c>
      <c r="Q769" s="177">
        <f t="shared" ref="Q769:Q775" si="181">SUM(P769/O768)</f>
        <v>0.25196150999259814</v>
      </c>
    </row>
    <row r="770" spans="1:17" x14ac:dyDescent="0.2">
      <c r="B770" t="s">
        <v>302</v>
      </c>
      <c r="C770">
        <v>711</v>
      </c>
      <c r="D770">
        <v>710</v>
      </c>
      <c r="E770">
        <v>721</v>
      </c>
      <c r="F770">
        <v>726</v>
      </c>
      <c r="G770">
        <v>736</v>
      </c>
      <c r="H770">
        <v>731</v>
      </c>
      <c r="I770">
        <v>722</v>
      </c>
      <c r="J770">
        <v>719</v>
      </c>
      <c r="K770">
        <v>722</v>
      </c>
      <c r="L770">
        <v>750</v>
      </c>
      <c r="M770">
        <v>759</v>
      </c>
      <c r="N770">
        <v>764</v>
      </c>
      <c r="O770" s="173">
        <f t="shared" si="178"/>
        <v>730.91666666666663</v>
      </c>
      <c r="P770" s="173">
        <f t="shared" ref="P770:P775" si="182">SUM(O770-O769)</f>
        <v>26.166666666666629</v>
      </c>
      <c r="Q770" s="177">
        <f t="shared" si="181"/>
        <v>3.7129005557526254E-2</v>
      </c>
    </row>
    <row r="771" spans="1:17" x14ac:dyDescent="0.2">
      <c r="B771" t="s">
        <v>347</v>
      </c>
      <c r="C771">
        <v>750</v>
      </c>
      <c r="D771">
        <v>743</v>
      </c>
      <c r="E771">
        <v>732</v>
      </c>
      <c r="F771">
        <v>728</v>
      </c>
      <c r="G771">
        <v>713</v>
      </c>
      <c r="H771">
        <v>774</v>
      </c>
      <c r="I771">
        <v>746</v>
      </c>
      <c r="J771">
        <v>760</v>
      </c>
      <c r="K771">
        <v>768</v>
      </c>
      <c r="L771">
        <v>783</v>
      </c>
      <c r="M771">
        <v>769</v>
      </c>
      <c r="N771">
        <v>766</v>
      </c>
      <c r="O771" s="173">
        <f t="shared" si="178"/>
        <v>752.66666666666663</v>
      </c>
      <c r="P771" s="173">
        <f t="shared" si="182"/>
        <v>21.75</v>
      </c>
      <c r="Q771" s="177">
        <f t="shared" si="181"/>
        <v>2.9757154258351386E-2</v>
      </c>
    </row>
    <row r="772" spans="1:17" x14ac:dyDescent="0.2">
      <c r="B772" t="s">
        <v>370</v>
      </c>
      <c r="C772">
        <v>793</v>
      </c>
      <c r="D772">
        <v>763</v>
      </c>
      <c r="E772">
        <v>771</v>
      </c>
      <c r="F772">
        <v>782</v>
      </c>
      <c r="G772">
        <v>756</v>
      </c>
      <c r="H772">
        <v>768</v>
      </c>
      <c r="I772">
        <v>763</v>
      </c>
      <c r="J772">
        <v>762</v>
      </c>
      <c r="K772">
        <v>773</v>
      </c>
      <c r="L772">
        <v>776</v>
      </c>
      <c r="M772">
        <v>743</v>
      </c>
      <c r="N772">
        <v>744</v>
      </c>
      <c r="O772" s="173">
        <f t="shared" si="178"/>
        <v>766.16666666666663</v>
      </c>
      <c r="P772" s="173">
        <f t="shared" si="182"/>
        <v>13.5</v>
      </c>
      <c r="Q772" s="177">
        <f t="shared" si="181"/>
        <v>1.7936226749335697E-2</v>
      </c>
    </row>
    <row r="773" spans="1:17" x14ac:dyDescent="0.2">
      <c r="B773" t="s">
        <v>452</v>
      </c>
      <c r="C773">
        <v>746</v>
      </c>
      <c r="D773">
        <v>738</v>
      </c>
      <c r="E773">
        <v>726</v>
      </c>
      <c r="F773">
        <v>723</v>
      </c>
      <c r="G773">
        <v>723</v>
      </c>
      <c r="H773">
        <v>711</v>
      </c>
      <c r="I773">
        <v>722</v>
      </c>
      <c r="J773">
        <v>715</v>
      </c>
      <c r="K773">
        <v>701</v>
      </c>
      <c r="L773">
        <v>696</v>
      </c>
      <c r="M773">
        <v>716</v>
      </c>
      <c r="N773">
        <v>722</v>
      </c>
      <c r="O773" s="173">
        <f t="shared" si="178"/>
        <v>719.91666666666663</v>
      </c>
      <c r="P773" s="173">
        <f t="shared" si="182"/>
        <v>-46.25</v>
      </c>
      <c r="Q773" s="177">
        <f t="shared" si="181"/>
        <v>-6.0365455731999133E-2</v>
      </c>
    </row>
    <row r="774" spans="1:17" x14ac:dyDescent="0.2">
      <c r="B774" t="s">
        <v>487</v>
      </c>
      <c r="C774">
        <v>720</v>
      </c>
      <c r="D774">
        <v>754</v>
      </c>
      <c r="E774">
        <v>702</v>
      </c>
      <c r="F774">
        <v>720</v>
      </c>
      <c r="G774">
        <v>705</v>
      </c>
      <c r="H774">
        <v>715</v>
      </c>
      <c r="I774">
        <v>712</v>
      </c>
      <c r="J774">
        <v>720</v>
      </c>
      <c r="K774">
        <v>712</v>
      </c>
      <c r="L774">
        <v>709</v>
      </c>
      <c r="M774">
        <v>704</v>
      </c>
      <c r="N774">
        <v>720</v>
      </c>
      <c r="O774" s="173">
        <f t="shared" si="178"/>
        <v>716.08333333333337</v>
      </c>
      <c r="P774" s="173">
        <f t="shared" si="182"/>
        <v>-3.8333333333332575</v>
      </c>
      <c r="Q774" s="177">
        <f t="shared" si="181"/>
        <v>-5.3246903576801823E-3</v>
      </c>
    </row>
    <row r="775" spans="1:17" x14ac:dyDescent="0.2">
      <c r="B775" t="s">
        <v>561</v>
      </c>
      <c r="C775">
        <v>726</v>
      </c>
      <c r="D775">
        <v>712</v>
      </c>
      <c r="E775">
        <v>724</v>
      </c>
      <c r="F775">
        <v>708</v>
      </c>
      <c r="G775">
        <v>701</v>
      </c>
      <c r="H775">
        <v>715</v>
      </c>
      <c r="I775">
        <v>708</v>
      </c>
      <c r="J775">
        <v>702</v>
      </c>
      <c r="K775">
        <v>695</v>
      </c>
      <c r="L775">
        <v>713</v>
      </c>
      <c r="M775">
        <v>720</v>
      </c>
      <c r="N775">
        <v>732</v>
      </c>
      <c r="O775" s="173">
        <f t="shared" si="178"/>
        <v>713</v>
      </c>
      <c r="P775" s="173">
        <f t="shared" si="182"/>
        <v>-3.0833333333333712</v>
      </c>
      <c r="Q775" s="177">
        <f t="shared" si="181"/>
        <v>-4.3058303270104101E-3</v>
      </c>
    </row>
    <row r="776" spans="1:17" x14ac:dyDescent="0.2">
      <c r="O776" s="173"/>
      <c r="P776" s="173"/>
      <c r="Q776" s="177"/>
    </row>
    <row r="777" spans="1:17" x14ac:dyDescent="0.2">
      <c r="A777" s="178"/>
      <c r="B777" s="178"/>
      <c r="C777" s="178"/>
      <c r="D777" s="178"/>
      <c r="E777" s="178"/>
      <c r="F777" s="178"/>
      <c r="G777" s="178"/>
      <c r="H777" s="178"/>
      <c r="I777" s="178"/>
      <c r="J777" s="178"/>
      <c r="K777" s="178"/>
      <c r="L777" s="178"/>
      <c r="M777" s="178"/>
      <c r="N777" s="178"/>
      <c r="O777" s="178"/>
      <c r="P777" s="178"/>
      <c r="Q777" s="178"/>
    </row>
    <row r="778" spans="1:17" ht="25.5" x14ac:dyDescent="0.2">
      <c r="A778" s="175" t="s">
        <v>465</v>
      </c>
      <c r="B778" s="703" t="s">
        <v>433</v>
      </c>
      <c r="C778" s="704" t="s">
        <v>434</v>
      </c>
      <c r="D778" s="704" t="s">
        <v>435</v>
      </c>
      <c r="E778" s="704" t="s">
        <v>436</v>
      </c>
      <c r="F778" s="704" t="s">
        <v>437</v>
      </c>
      <c r="G778" s="704" t="s">
        <v>438</v>
      </c>
      <c r="H778" s="704" t="s">
        <v>439</v>
      </c>
      <c r="I778" s="704" t="s">
        <v>440</v>
      </c>
      <c r="J778" s="704" t="s">
        <v>441</v>
      </c>
      <c r="K778" s="704" t="s">
        <v>442</v>
      </c>
      <c r="L778" s="704" t="s">
        <v>443</v>
      </c>
      <c r="M778" s="704" t="s">
        <v>444</v>
      </c>
      <c r="N778" s="704" t="s">
        <v>445</v>
      </c>
    </row>
    <row r="779" spans="1:17" x14ac:dyDescent="0.2">
      <c r="B779" t="s">
        <v>449</v>
      </c>
      <c r="C779">
        <v>51</v>
      </c>
      <c r="D779">
        <v>44</v>
      </c>
      <c r="E779">
        <v>43</v>
      </c>
      <c r="F779">
        <v>39</v>
      </c>
      <c r="G779">
        <v>39</v>
      </c>
      <c r="H779">
        <v>39</v>
      </c>
      <c r="I779">
        <v>43</v>
      </c>
      <c r="J779">
        <v>41</v>
      </c>
      <c r="K779">
        <v>42</v>
      </c>
      <c r="L779">
        <v>42</v>
      </c>
      <c r="M779">
        <v>43</v>
      </c>
      <c r="N779">
        <v>40</v>
      </c>
      <c r="O779" s="173">
        <f t="shared" ref="O779:O793" si="183">SUM(C779:N779)/12</f>
        <v>42.166666666666664</v>
      </c>
      <c r="P779" s="173"/>
    </row>
    <row r="780" spans="1:17" x14ac:dyDescent="0.2">
      <c r="B780" t="s">
        <v>450</v>
      </c>
      <c r="C780">
        <v>43</v>
      </c>
      <c r="D780">
        <v>47</v>
      </c>
      <c r="E780">
        <v>47</v>
      </c>
      <c r="F780">
        <v>51</v>
      </c>
      <c r="G780">
        <v>46</v>
      </c>
      <c r="H780">
        <v>44</v>
      </c>
      <c r="I780">
        <v>48</v>
      </c>
      <c r="J780">
        <v>41</v>
      </c>
      <c r="K780">
        <v>47</v>
      </c>
      <c r="L780">
        <v>44</v>
      </c>
      <c r="M780">
        <v>43</v>
      </c>
      <c r="N780">
        <v>46</v>
      </c>
      <c r="O780" s="173">
        <f t="shared" si="183"/>
        <v>45.583333333333336</v>
      </c>
      <c r="P780" s="173">
        <f t="shared" ref="P780:P787" si="184">SUM(O780-O779)</f>
        <v>3.4166666666666714</v>
      </c>
      <c r="Q780" s="177">
        <f t="shared" ref="Q780:Q786" si="185">SUM(P780/O779)</f>
        <v>8.1027667984189838E-2</v>
      </c>
    </row>
    <row r="781" spans="1:17" x14ac:dyDescent="0.2">
      <c r="B781" t="s">
        <v>451</v>
      </c>
      <c r="C781">
        <v>45</v>
      </c>
      <c r="D781">
        <v>49</v>
      </c>
      <c r="E781">
        <v>48</v>
      </c>
      <c r="F781">
        <v>51</v>
      </c>
      <c r="G781">
        <v>51</v>
      </c>
      <c r="H781">
        <v>46</v>
      </c>
      <c r="I781">
        <v>49</v>
      </c>
      <c r="J781">
        <v>45</v>
      </c>
      <c r="K781">
        <v>46</v>
      </c>
      <c r="L781">
        <v>47</v>
      </c>
      <c r="M781">
        <v>48</v>
      </c>
      <c r="N781">
        <v>49</v>
      </c>
      <c r="O781" s="173">
        <f t="shared" si="183"/>
        <v>47.833333333333336</v>
      </c>
      <c r="P781" s="173">
        <f t="shared" si="184"/>
        <v>2.25</v>
      </c>
      <c r="Q781" s="177">
        <f t="shared" si="185"/>
        <v>4.9360146252285186E-2</v>
      </c>
    </row>
    <row r="782" spans="1:17" x14ac:dyDescent="0.2">
      <c r="B782" t="s">
        <v>267</v>
      </c>
      <c r="C782">
        <v>35</v>
      </c>
      <c r="D782">
        <v>35</v>
      </c>
      <c r="E782">
        <v>36</v>
      </c>
      <c r="F782">
        <v>39</v>
      </c>
      <c r="G782">
        <v>39</v>
      </c>
      <c r="H782">
        <v>43</v>
      </c>
      <c r="I782">
        <v>47</v>
      </c>
      <c r="J782">
        <v>45</v>
      </c>
      <c r="K782">
        <v>47</v>
      </c>
      <c r="L782">
        <v>51</v>
      </c>
      <c r="M782">
        <v>47</v>
      </c>
      <c r="N782">
        <v>45</v>
      </c>
      <c r="O782" s="173">
        <f t="shared" si="183"/>
        <v>42.416666666666664</v>
      </c>
      <c r="P782" s="173">
        <f t="shared" si="184"/>
        <v>-5.4166666666666714</v>
      </c>
      <c r="Q782" s="177">
        <f t="shared" si="185"/>
        <v>-0.113240418118467</v>
      </c>
    </row>
    <row r="783" spans="1:17" x14ac:dyDescent="0.2">
      <c r="B783" t="s">
        <v>266</v>
      </c>
      <c r="C783">
        <v>55</v>
      </c>
      <c r="D783">
        <v>51</v>
      </c>
      <c r="E783">
        <v>49</v>
      </c>
      <c r="F783">
        <v>51</v>
      </c>
      <c r="G783">
        <v>52</v>
      </c>
      <c r="H783">
        <v>54</v>
      </c>
      <c r="I783">
        <v>55</v>
      </c>
      <c r="J783">
        <v>55</v>
      </c>
      <c r="K783">
        <v>42</v>
      </c>
      <c r="L783">
        <v>38</v>
      </c>
      <c r="M783">
        <v>85</v>
      </c>
      <c r="N783">
        <v>81</v>
      </c>
      <c r="O783" s="173">
        <f t="shared" si="183"/>
        <v>55.666666666666664</v>
      </c>
      <c r="P783" s="173">
        <f t="shared" si="184"/>
        <v>13.25</v>
      </c>
      <c r="Q783" s="177">
        <f t="shared" si="185"/>
        <v>0.31237721021611004</v>
      </c>
    </row>
    <row r="784" spans="1:17" x14ac:dyDescent="0.2">
      <c r="B784" t="s">
        <v>287</v>
      </c>
      <c r="C784">
        <v>81</v>
      </c>
      <c r="D784">
        <v>81</v>
      </c>
      <c r="E784">
        <v>74</v>
      </c>
      <c r="F784">
        <v>79</v>
      </c>
      <c r="G784">
        <v>77</v>
      </c>
      <c r="H784">
        <v>77</v>
      </c>
      <c r="I784">
        <v>74</v>
      </c>
      <c r="J784">
        <v>74</v>
      </c>
      <c r="K784">
        <v>74</v>
      </c>
      <c r="L784">
        <v>75</v>
      </c>
      <c r="M784">
        <v>75</v>
      </c>
      <c r="N784">
        <v>76</v>
      </c>
      <c r="O784" s="173">
        <f t="shared" si="183"/>
        <v>76.416666666666671</v>
      </c>
      <c r="P784" s="173">
        <f t="shared" si="184"/>
        <v>20.750000000000007</v>
      </c>
      <c r="Q784" s="177">
        <f t="shared" si="185"/>
        <v>0.37275449101796421</v>
      </c>
    </row>
    <row r="785" spans="1:18" x14ac:dyDescent="0.2">
      <c r="B785" t="s">
        <v>297</v>
      </c>
      <c r="C785">
        <v>78</v>
      </c>
      <c r="D785">
        <v>76</v>
      </c>
      <c r="E785">
        <v>80</v>
      </c>
      <c r="F785">
        <v>81</v>
      </c>
      <c r="G785">
        <v>77</v>
      </c>
      <c r="H785">
        <v>76</v>
      </c>
      <c r="I785">
        <v>74</v>
      </c>
      <c r="J785">
        <v>76</v>
      </c>
      <c r="K785">
        <v>71</v>
      </c>
      <c r="L785">
        <v>71</v>
      </c>
      <c r="M785">
        <v>74</v>
      </c>
      <c r="N785">
        <v>75</v>
      </c>
      <c r="O785" s="173">
        <f t="shared" si="183"/>
        <v>75.75</v>
      </c>
      <c r="P785" s="173">
        <f t="shared" si="184"/>
        <v>-0.6666666666666714</v>
      </c>
      <c r="Q785" s="177">
        <f t="shared" si="185"/>
        <v>-8.7241003271538234E-3</v>
      </c>
    </row>
    <row r="786" spans="1:18" x14ac:dyDescent="0.2">
      <c r="B786" t="s">
        <v>300</v>
      </c>
      <c r="C786">
        <v>75</v>
      </c>
      <c r="D786">
        <v>74</v>
      </c>
      <c r="E786">
        <v>73</v>
      </c>
      <c r="F786">
        <v>72</v>
      </c>
      <c r="G786">
        <v>75</v>
      </c>
      <c r="H786">
        <v>74</v>
      </c>
      <c r="I786">
        <v>73</v>
      </c>
      <c r="J786">
        <v>73</v>
      </c>
      <c r="K786">
        <v>71</v>
      </c>
      <c r="L786">
        <v>84</v>
      </c>
      <c r="M786">
        <v>79</v>
      </c>
      <c r="N786">
        <v>74</v>
      </c>
      <c r="O786" s="173">
        <f t="shared" si="183"/>
        <v>74.75</v>
      </c>
      <c r="P786" s="173">
        <f t="shared" si="184"/>
        <v>-1</v>
      </c>
      <c r="Q786" s="177">
        <f t="shared" si="185"/>
        <v>-1.3201320132013201E-2</v>
      </c>
      <c r="R786" s="177"/>
    </row>
    <row r="787" spans="1:18" x14ac:dyDescent="0.2">
      <c r="B787" t="s">
        <v>301</v>
      </c>
      <c r="C787">
        <v>70</v>
      </c>
      <c r="D787">
        <v>68</v>
      </c>
      <c r="E787">
        <v>80</v>
      </c>
      <c r="F787">
        <v>73</v>
      </c>
      <c r="G787">
        <v>82</v>
      </c>
      <c r="H787">
        <v>81</v>
      </c>
      <c r="I787">
        <v>83</v>
      </c>
      <c r="J787">
        <v>80</v>
      </c>
      <c r="K787">
        <v>78</v>
      </c>
      <c r="L787">
        <v>78</v>
      </c>
      <c r="M787">
        <v>78</v>
      </c>
      <c r="N787">
        <v>86</v>
      </c>
      <c r="O787" s="173">
        <f t="shared" si="183"/>
        <v>78.083333333333329</v>
      </c>
      <c r="P787" s="173">
        <f t="shared" si="184"/>
        <v>3.3333333333333286</v>
      </c>
      <c r="Q787" s="177">
        <f t="shared" ref="Q787:Q793" si="186">SUM(P787/O786)</f>
        <v>4.4593088071348874E-2</v>
      </c>
    </row>
    <row r="788" spans="1:18" x14ac:dyDescent="0.2">
      <c r="B788" t="s">
        <v>302</v>
      </c>
      <c r="C788">
        <v>75</v>
      </c>
      <c r="D788">
        <v>74</v>
      </c>
      <c r="E788">
        <v>79</v>
      </c>
      <c r="F788">
        <v>77</v>
      </c>
      <c r="G788">
        <v>75</v>
      </c>
      <c r="H788">
        <v>66</v>
      </c>
      <c r="I788">
        <v>64</v>
      </c>
      <c r="J788">
        <v>64</v>
      </c>
      <c r="K788">
        <v>47</v>
      </c>
      <c r="L788">
        <v>47</v>
      </c>
      <c r="M788">
        <v>45</v>
      </c>
      <c r="N788">
        <v>47</v>
      </c>
      <c r="O788" s="173">
        <f t="shared" si="183"/>
        <v>63.333333333333336</v>
      </c>
      <c r="P788" s="173">
        <f t="shared" ref="P788:P793" si="187">SUM(O788-O787)</f>
        <v>-14.749999999999993</v>
      </c>
      <c r="Q788" s="177">
        <f t="shared" si="186"/>
        <v>-0.18890074706510132</v>
      </c>
    </row>
    <row r="789" spans="1:18" x14ac:dyDescent="0.2">
      <c r="B789" t="s">
        <v>347</v>
      </c>
      <c r="C789">
        <v>42</v>
      </c>
      <c r="D789">
        <v>43</v>
      </c>
      <c r="E789">
        <v>41</v>
      </c>
      <c r="F789">
        <v>41</v>
      </c>
      <c r="G789">
        <v>38</v>
      </c>
      <c r="H789">
        <v>54</v>
      </c>
      <c r="I789">
        <v>60</v>
      </c>
      <c r="J789">
        <v>53</v>
      </c>
      <c r="K789">
        <v>57</v>
      </c>
      <c r="L789">
        <v>45</v>
      </c>
      <c r="M789">
        <v>48</v>
      </c>
      <c r="N789">
        <v>49</v>
      </c>
      <c r="O789" s="173">
        <f t="shared" si="183"/>
        <v>47.583333333333336</v>
      </c>
      <c r="P789" s="173">
        <f t="shared" si="187"/>
        <v>-15.75</v>
      </c>
      <c r="Q789" s="177">
        <f t="shared" si="186"/>
        <v>-0.24868421052631579</v>
      </c>
    </row>
    <row r="790" spans="1:18" x14ac:dyDescent="0.2">
      <c r="B790" t="s">
        <v>370</v>
      </c>
      <c r="C790">
        <v>49</v>
      </c>
      <c r="D790">
        <v>51</v>
      </c>
      <c r="E790">
        <v>45</v>
      </c>
      <c r="F790">
        <v>54</v>
      </c>
      <c r="G790">
        <v>56</v>
      </c>
      <c r="H790">
        <v>56</v>
      </c>
      <c r="I790">
        <v>53</v>
      </c>
      <c r="J790">
        <v>50</v>
      </c>
      <c r="K790">
        <v>47</v>
      </c>
      <c r="L790">
        <v>44</v>
      </c>
      <c r="M790">
        <v>44</v>
      </c>
      <c r="N790">
        <v>52</v>
      </c>
      <c r="O790" s="173">
        <f t="shared" si="183"/>
        <v>50.083333333333336</v>
      </c>
      <c r="P790" s="173">
        <f>SUM(O790-O789)</f>
        <v>2.5</v>
      </c>
      <c r="Q790" s="177">
        <f>SUM(P790/O789)</f>
        <v>5.2539404553415062E-2</v>
      </c>
    </row>
    <row r="791" spans="1:18" x14ac:dyDescent="0.2">
      <c r="B791" t="s">
        <v>452</v>
      </c>
      <c r="C791">
        <v>54</v>
      </c>
      <c r="D791">
        <v>54</v>
      </c>
      <c r="E791">
        <v>51</v>
      </c>
      <c r="F791">
        <v>57</v>
      </c>
      <c r="G791">
        <v>56</v>
      </c>
      <c r="H791">
        <v>64</v>
      </c>
      <c r="I791">
        <v>66</v>
      </c>
      <c r="J791">
        <v>65</v>
      </c>
      <c r="K791">
        <v>65</v>
      </c>
      <c r="L791">
        <v>65</v>
      </c>
      <c r="M791">
        <v>72</v>
      </c>
      <c r="N791">
        <v>63</v>
      </c>
      <c r="O791" s="173">
        <f t="shared" si="183"/>
        <v>61</v>
      </c>
      <c r="P791" s="173">
        <f t="shared" si="187"/>
        <v>10.916666666666664</v>
      </c>
      <c r="Q791" s="177">
        <f t="shared" si="186"/>
        <v>0.21797004991680527</v>
      </c>
    </row>
    <row r="792" spans="1:18" x14ac:dyDescent="0.2">
      <c r="B792" t="s">
        <v>487</v>
      </c>
      <c r="C792">
        <v>67</v>
      </c>
      <c r="D792">
        <v>65</v>
      </c>
      <c r="E792">
        <v>65</v>
      </c>
      <c r="F792">
        <v>61</v>
      </c>
      <c r="G792">
        <v>59</v>
      </c>
      <c r="H792">
        <v>58</v>
      </c>
      <c r="I792">
        <v>53</v>
      </c>
      <c r="J792">
        <v>56</v>
      </c>
      <c r="K792">
        <v>57</v>
      </c>
      <c r="L792">
        <v>57</v>
      </c>
      <c r="M792">
        <v>52</v>
      </c>
      <c r="N792">
        <v>58</v>
      </c>
      <c r="O792" s="173">
        <f t="shared" si="183"/>
        <v>59</v>
      </c>
      <c r="P792" s="173">
        <f t="shared" si="187"/>
        <v>-2</v>
      </c>
      <c r="Q792" s="177">
        <f t="shared" si="186"/>
        <v>-3.2786885245901641E-2</v>
      </c>
    </row>
    <row r="793" spans="1:18" x14ac:dyDescent="0.2">
      <c r="B793" t="s">
        <v>561</v>
      </c>
      <c r="C793">
        <v>55</v>
      </c>
      <c r="D793">
        <v>43</v>
      </c>
      <c r="E793">
        <v>45</v>
      </c>
      <c r="F793">
        <v>45</v>
      </c>
      <c r="G793">
        <v>40</v>
      </c>
      <c r="H793">
        <v>45</v>
      </c>
      <c r="I793">
        <v>45</v>
      </c>
      <c r="J793">
        <v>49</v>
      </c>
      <c r="K793">
        <v>53</v>
      </c>
      <c r="L793">
        <v>50</v>
      </c>
      <c r="M793">
        <v>51</v>
      </c>
      <c r="N793">
        <v>50</v>
      </c>
      <c r="O793" s="173">
        <f t="shared" si="183"/>
        <v>47.583333333333336</v>
      </c>
      <c r="P793" s="173">
        <f t="shared" si="187"/>
        <v>-11.416666666666664</v>
      </c>
      <c r="Q793" s="177">
        <f t="shared" si="186"/>
        <v>-0.19350282485875703</v>
      </c>
    </row>
    <row r="794" spans="1:18" x14ac:dyDescent="0.2">
      <c r="O794" s="173"/>
      <c r="P794" s="173"/>
      <c r="Q794" s="177"/>
    </row>
    <row r="795" spans="1:18" ht="24.75" customHeight="1" x14ac:dyDescent="0.2">
      <c r="A795" s="644" t="s">
        <v>466</v>
      </c>
      <c r="B795" s="704" t="s">
        <v>433</v>
      </c>
      <c r="C795" s="704" t="s">
        <v>434</v>
      </c>
      <c r="D795" s="704" t="s">
        <v>435</v>
      </c>
      <c r="E795" s="704" t="s">
        <v>436</v>
      </c>
      <c r="F795" s="704" t="s">
        <v>437</v>
      </c>
      <c r="G795" s="704" t="s">
        <v>438</v>
      </c>
      <c r="H795" s="704" t="s">
        <v>439</v>
      </c>
      <c r="I795" s="704" t="s">
        <v>440</v>
      </c>
      <c r="J795" s="704" t="s">
        <v>441</v>
      </c>
      <c r="K795" s="704" t="s">
        <v>442</v>
      </c>
      <c r="L795" s="704" t="s">
        <v>443</v>
      </c>
      <c r="M795" s="704" t="s">
        <v>444</v>
      </c>
      <c r="N795" s="704" t="s">
        <v>445</v>
      </c>
    </row>
    <row r="796" spans="1:18" x14ac:dyDescent="0.2">
      <c r="B796" t="s">
        <v>347</v>
      </c>
      <c r="H796">
        <v>120</v>
      </c>
      <c r="I796">
        <v>96</v>
      </c>
      <c r="J796">
        <v>123</v>
      </c>
      <c r="K796">
        <v>105</v>
      </c>
      <c r="L796">
        <v>122</v>
      </c>
      <c r="M796">
        <v>118</v>
      </c>
      <c r="N796">
        <v>118</v>
      </c>
      <c r="O796" s="173">
        <f>SUM(C796:N796)/7</f>
        <v>114.57142857142857</v>
      </c>
      <c r="P796" s="173"/>
      <c r="Q796" s="177"/>
    </row>
    <row r="797" spans="1:18" x14ac:dyDescent="0.2">
      <c r="B797" t="s">
        <v>370</v>
      </c>
      <c r="C797">
        <v>108</v>
      </c>
      <c r="D797">
        <v>110</v>
      </c>
      <c r="E797">
        <v>105</v>
      </c>
      <c r="F797">
        <v>102</v>
      </c>
      <c r="G797">
        <v>121</v>
      </c>
      <c r="H797">
        <v>133</v>
      </c>
      <c r="I797">
        <v>137</v>
      </c>
      <c r="J797">
        <v>129</v>
      </c>
      <c r="K797">
        <v>137</v>
      </c>
      <c r="L797">
        <v>140</v>
      </c>
      <c r="M797">
        <v>134</v>
      </c>
      <c r="N797">
        <v>128</v>
      </c>
      <c r="O797" s="173">
        <f>SUM(C797:N797)/12</f>
        <v>123.66666666666667</v>
      </c>
      <c r="P797" s="173">
        <f>SUM(O797-O796)</f>
        <v>9.095238095238102</v>
      </c>
      <c r="Q797" s="177">
        <f>SUM(P797/O796)</f>
        <v>7.9384871155444778E-2</v>
      </c>
    </row>
    <row r="798" spans="1:18" x14ac:dyDescent="0.2">
      <c r="B798" t="s">
        <v>452</v>
      </c>
      <c r="C798">
        <v>109</v>
      </c>
      <c r="D798">
        <v>111</v>
      </c>
      <c r="E798">
        <v>117</v>
      </c>
      <c r="F798">
        <v>117</v>
      </c>
      <c r="G798">
        <v>122</v>
      </c>
      <c r="H798">
        <v>122</v>
      </c>
      <c r="I798">
        <v>140</v>
      </c>
      <c r="J798">
        <v>138</v>
      </c>
      <c r="K798">
        <v>138</v>
      </c>
      <c r="L798">
        <v>107</v>
      </c>
      <c r="M798">
        <v>109</v>
      </c>
      <c r="N798">
        <v>128</v>
      </c>
      <c r="O798" s="173">
        <f>SUM(C798:N798)/12</f>
        <v>121.5</v>
      </c>
      <c r="P798" s="173">
        <f>SUM(O798-O797)</f>
        <v>-2.1666666666666714</v>
      </c>
      <c r="Q798" s="177">
        <f>SUM(P798/O797)</f>
        <v>-1.7520215633423219E-2</v>
      </c>
    </row>
    <row r="799" spans="1:18" x14ac:dyDescent="0.2">
      <c r="B799" t="s">
        <v>487</v>
      </c>
      <c r="C799">
        <v>109</v>
      </c>
      <c r="D799">
        <v>116</v>
      </c>
      <c r="E799">
        <v>125</v>
      </c>
      <c r="F799">
        <v>113</v>
      </c>
      <c r="G799">
        <v>99</v>
      </c>
      <c r="H799">
        <v>98</v>
      </c>
      <c r="I799">
        <v>107</v>
      </c>
      <c r="J799">
        <v>113</v>
      </c>
      <c r="K799">
        <v>118</v>
      </c>
      <c r="L799">
        <v>105</v>
      </c>
      <c r="M799">
        <v>107</v>
      </c>
      <c r="N799">
        <v>110</v>
      </c>
      <c r="O799" s="173">
        <f>SUM(C799:N799)/12</f>
        <v>110</v>
      </c>
      <c r="P799" s="173">
        <f>SUM(O799-O798)</f>
        <v>-11.5</v>
      </c>
      <c r="Q799" s="177">
        <f>SUM(P799/O798)</f>
        <v>-9.4650205761316872E-2</v>
      </c>
    </row>
    <row r="800" spans="1:18" x14ac:dyDescent="0.2">
      <c r="B800" t="s">
        <v>561</v>
      </c>
      <c r="C800">
        <v>111</v>
      </c>
      <c r="D800">
        <v>102</v>
      </c>
      <c r="E800">
        <v>122</v>
      </c>
      <c r="F800">
        <v>144</v>
      </c>
      <c r="G800">
        <v>154</v>
      </c>
      <c r="H800">
        <v>164</v>
      </c>
      <c r="I800">
        <v>164</v>
      </c>
      <c r="J800">
        <v>169</v>
      </c>
      <c r="K800">
        <v>164</v>
      </c>
      <c r="L800">
        <v>165</v>
      </c>
      <c r="M800">
        <v>161</v>
      </c>
      <c r="N800">
        <v>142</v>
      </c>
      <c r="O800" s="173">
        <f>SUM(C800:N800)/12</f>
        <v>146.83333333333334</v>
      </c>
      <c r="P800" s="173">
        <f>SUM(O800-O799)</f>
        <v>36.833333333333343</v>
      </c>
      <c r="Q800" s="177">
        <f>SUM(P800/O799)</f>
        <v>0.33484848484848495</v>
      </c>
    </row>
    <row r="804" spans="1:18" x14ac:dyDescent="0.2">
      <c r="A804" s="178"/>
      <c r="B804" s="178"/>
      <c r="C804" s="178"/>
      <c r="D804" s="178"/>
      <c r="E804" s="178"/>
      <c r="F804" s="178"/>
      <c r="G804" s="178"/>
      <c r="H804" s="178"/>
      <c r="I804" s="178"/>
      <c r="J804" s="178"/>
      <c r="K804" s="178"/>
      <c r="L804" s="178"/>
      <c r="M804" s="178"/>
      <c r="N804" s="178"/>
      <c r="O804" s="178"/>
      <c r="P804" s="178"/>
      <c r="Q804" s="178"/>
      <c r="R804" s="178"/>
    </row>
    <row r="805" spans="1:18" ht="38.25" x14ac:dyDescent="0.2">
      <c r="A805" s="707" t="s">
        <v>467</v>
      </c>
      <c r="B805" s="703" t="s">
        <v>433</v>
      </c>
      <c r="C805" s="704" t="s">
        <v>434</v>
      </c>
      <c r="D805" s="704" t="s">
        <v>435</v>
      </c>
      <c r="E805" s="704" t="s">
        <v>436</v>
      </c>
      <c r="F805" s="704" t="s">
        <v>437</v>
      </c>
      <c r="G805" s="704" t="s">
        <v>438</v>
      </c>
      <c r="H805" s="704" t="s">
        <v>439</v>
      </c>
      <c r="I805" s="704" t="s">
        <v>440</v>
      </c>
      <c r="J805" s="704" t="s">
        <v>441</v>
      </c>
      <c r="K805" s="704" t="s">
        <v>442</v>
      </c>
      <c r="L805" s="704" t="s">
        <v>443</v>
      </c>
      <c r="M805" s="704" t="s">
        <v>444</v>
      </c>
      <c r="N805" s="704" t="s">
        <v>445</v>
      </c>
      <c r="O805" s="174" t="s">
        <v>446</v>
      </c>
      <c r="P805" s="710" t="s">
        <v>447</v>
      </c>
      <c r="Q805" s="710" t="s">
        <v>448</v>
      </c>
      <c r="R805" s="710" t="s">
        <v>468</v>
      </c>
    </row>
    <row r="806" spans="1:18" x14ac:dyDescent="0.2">
      <c r="A806" s="706" t="s">
        <v>486</v>
      </c>
      <c r="B806" t="s">
        <v>449</v>
      </c>
      <c r="C806">
        <f t="shared" ref="C806:N818" si="188">SUM(C571,C588,C605,C623,C640,C657,C675,C692,C709,C727,C744,C761,C779)</f>
        <v>4476</v>
      </c>
      <c r="D806">
        <f t="shared" si="188"/>
        <v>4483</v>
      </c>
      <c r="E806">
        <f t="shared" si="188"/>
        <v>4465</v>
      </c>
      <c r="F806">
        <f t="shared" si="188"/>
        <v>4430</v>
      </c>
      <c r="G806">
        <f t="shared" si="188"/>
        <v>4464</v>
      </c>
      <c r="H806">
        <f t="shared" si="188"/>
        <v>4489</v>
      </c>
      <c r="I806">
        <f t="shared" si="188"/>
        <v>4483</v>
      </c>
      <c r="J806">
        <f t="shared" si="188"/>
        <v>4518</v>
      </c>
      <c r="K806">
        <f t="shared" si="188"/>
        <v>4524</v>
      </c>
      <c r="L806">
        <f t="shared" si="188"/>
        <v>4527</v>
      </c>
      <c r="M806">
        <f t="shared" si="188"/>
        <v>4496</v>
      </c>
      <c r="N806">
        <f t="shared" si="188"/>
        <v>4561</v>
      </c>
      <c r="O806">
        <f t="shared" ref="O806:O814" si="189">SUM(C806:N806)/12</f>
        <v>4493</v>
      </c>
      <c r="P806" s="711"/>
      <c r="Q806" s="711"/>
      <c r="R806" s="711"/>
    </row>
    <row r="807" spans="1:18" x14ac:dyDescent="0.2">
      <c r="B807" t="s">
        <v>450</v>
      </c>
      <c r="C807">
        <f t="shared" si="188"/>
        <v>4520</v>
      </c>
      <c r="D807">
        <f t="shared" si="188"/>
        <v>4564</v>
      </c>
      <c r="E807">
        <f t="shared" si="188"/>
        <v>4554</v>
      </c>
      <c r="F807">
        <f t="shared" si="188"/>
        <v>4570</v>
      </c>
      <c r="G807">
        <f t="shared" si="188"/>
        <v>4539</v>
      </c>
      <c r="H807">
        <f t="shared" si="188"/>
        <v>4559</v>
      </c>
      <c r="I807">
        <f t="shared" si="188"/>
        <v>4522</v>
      </c>
      <c r="J807">
        <f t="shared" si="188"/>
        <v>4548</v>
      </c>
      <c r="K807">
        <f t="shared" si="188"/>
        <v>4510</v>
      </c>
      <c r="L807">
        <f t="shared" si="188"/>
        <v>4548</v>
      </c>
      <c r="M807">
        <f t="shared" si="188"/>
        <v>4537</v>
      </c>
      <c r="N807">
        <f t="shared" si="188"/>
        <v>4525</v>
      </c>
      <c r="O807" s="173">
        <f t="shared" si="189"/>
        <v>4541.333333333333</v>
      </c>
      <c r="P807" s="712">
        <f t="shared" ref="P807:P813" si="190">SUM(O807-N806)</f>
        <v>-19.66666666666697</v>
      </c>
      <c r="Q807" s="713">
        <f t="shared" ref="Q807:Q820" si="191">SUM(P807/O806)</f>
        <v>-4.3771793159730621E-3</v>
      </c>
      <c r="R807" s="711"/>
    </row>
    <row r="808" spans="1:18" x14ac:dyDescent="0.2">
      <c r="B808" t="s">
        <v>451</v>
      </c>
      <c r="C808">
        <f t="shared" si="188"/>
        <v>4558</v>
      </c>
      <c r="D808">
        <f t="shared" si="188"/>
        <v>4615</v>
      </c>
      <c r="E808">
        <f t="shared" si="188"/>
        <v>4607</v>
      </c>
      <c r="F808">
        <f t="shared" si="188"/>
        <v>4575</v>
      </c>
      <c r="G808">
        <f t="shared" si="188"/>
        <v>4575</v>
      </c>
      <c r="H808">
        <f t="shared" si="188"/>
        <v>4624</v>
      </c>
      <c r="I808">
        <f t="shared" si="188"/>
        <v>4604</v>
      </c>
      <c r="J808">
        <f t="shared" si="188"/>
        <v>4666</v>
      </c>
      <c r="K808">
        <f t="shared" si="188"/>
        <v>4736</v>
      </c>
      <c r="L808">
        <f t="shared" si="188"/>
        <v>4774</v>
      </c>
      <c r="M808">
        <f t="shared" si="188"/>
        <v>4832</v>
      </c>
      <c r="N808">
        <f t="shared" si="188"/>
        <v>4872</v>
      </c>
      <c r="O808" s="173">
        <f t="shared" si="189"/>
        <v>4669.833333333333</v>
      </c>
      <c r="P808" s="712">
        <f t="shared" si="190"/>
        <v>144.83333333333303</v>
      </c>
      <c r="Q808" s="713">
        <f t="shared" si="191"/>
        <v>3.1892248972401581E-2</v>
      </c>
      <c r="R808" s="713">
        <f>SUM(Q807:Q808)</f>
        <v>2.7515069656428519E-2</v>
      </c>
    </row>
    <row r="809" spans="1:18" x14ac:dyDescent="0.2">
      <c r="B809" t="s">
        <v>267</v>
      </c>
      <c r="C809">
        <f t="shared" si="188"/>
        <v>4823</v>
      </c>
      <c r="D809">
        <f t="shared" si="188"/>
        <v>4949</v>
      </c>
      <c r="E809">
        <f t="shared" si="188"/>
        <v>4738</v>
      </c>
      <c r="F809">
        <f t="shared" si="188"/>
        <v>4753</v>
      </c>
      <c r="G809">
        <f t="shared" si="188"/>
        <v>4796</v>
      </c>
      <c r="H809">
        <f t="shared" si="188"/>
        <v>4795</v>
      </c>
      <c r="I809">
        <f t="shared" si="188"/>
        <v>4787</v>
      </c>
      <c r="J809">
        <f t="shared" si="188"/>
        <v>4789</v>
      </c>
      <c r="K809">
        <f t="shared" si="188"/>
        <v>4682</v>
      </c>
      <c r="L809">
        <f t="shared" si="188"/>
        <v>4694</v>
      </c>
      <c r="M809">
        <f t="shared" si="188"/>
        <v>4685</v>
      </c>
      <c r="N809">
        <f t="shared" si="188"/>
        <v>4723</v>
      </c>
      <c r="O809" s="173">
        <f t="shared" si="189"/>
        <v>4767.833333333333</v>
      </c>
      <c r="P809" s="712">
        <f t="shared" si="190"/>
        <v>-104.16666666666697</v>
      </c>
      <c r="Q809" s="713">
        <f t="shared" si="191"/>
        <v>-2.2306292158892245E-2</v>
      </c>
      <c r="R809" s="713">
        <f>SUM(Q807:Q809)</f>
        <v>5.2087774975362738E-3</v>
      </c>
    </row>
    <row r="810" spans="1:18" x14ac:dyDescent="0.2">
      <c r="B810" t="s">
        <v>266</v>
      </c>
      <c r="C810">
        <f t="shared" si="188"/>
        <v>4934</v>
      </c>
      <c r="D810">
        <f t="shared" si="188"/>
        <v>4681</v>
      </c>
      <c r="E810">
        <f t="shared" si="188"/>
        <v>4701</v>
      </c>
      <c r="F810">
        <f t="shared" si="188"/>
        <v>4713</v>
      </c>
      <c r="G810">
        <f t="shared" si="188"/>
        <v>4644</v>
      </c>
      <c r="H810">
        <f t="shared" si="188"/>
        <v>4760</v>
      </c>
      <c r="I810">
        <f t="shared" si="188"/>
        <v>4760</v>
      </c>
      <c r="J810">
        <f t="shared" si="188"/>
        <v>4753</v>
      </c>
      <c r="K810">
        <f t="shared" si="188"/>
        <v>4744</v>
      </c>
      <c r="L810">
        <f t="shared" si="188"/>
        <v>4764</v>
      </c>
      <c r="M810">
        <f t="shared" si="188"/>
        <v>4810</v>
      </c>
      <c r="N810">
        <f t="shared" si="188"/>
        <v>4804</v>
      </c>
      <c r="O810" s="173">
        <f t="shared" si="189"/>
        <v>4755.666666666667</v>
      </c>
      <c r="P810" s="712">
        <f t="shared" si="190"/>
        <v>32.66666666666697</v>
      </c>
      <c r="Q810" s="713">
        <f t="shared" si="191"/>
        <v>6.8514699199497264E-3</v>
      </c>
      <c r="R810" s="713">
        <f>SUM(Q807:Q810)</f>
        <v>1.2060247417486E-2</v>
      </c>
    </row>
    <row r="811" spans="1:18" x14ac:dyDescent="0.2">
      <c r="B811" t="s">
        <v>287</v>
      </c>
      <c r="C811">
        <f t="shared" si="188"/>
        <v>4780</v>
      </c>
      <c r="D811">
        <f t="shared" si="188"/>
        <v>4815</v>
      </c>
      <c r="E811">
        <f t="shared" si="188"/>
        <v>4843</v>
      </c>
      <c r="F811">
        <f t="shared" si="188"/>
        <v>4851</v>
      </c>
      <c r="G811">
        <f t="shared" si="188"/>
        <v>4883</v>
      </c>
      <c r="H811">
        <f t="shared" si="188"/>
        <v>4792</v>
      </c>
      <c r="I811">
        <f t="shared" si="188"/>
        <v>4842</v>
      </c>
      <c r="J811">
        <f t="shared" si="188"/>
        <v>4977</v>
      </c>
      <c r="K811">
        <f t="shared" si="188"/>
        <v>4949</v>
      </c>
      <c r="L811">
        <f t="shared" si="188"/>
        <v>4956</v>
      </c>
      <c r="M811">
        <f t="shared" si="188"/>
        <v>5017</v>
      </c>
      <c r="N811">
        <f t="shared" si="188"/>
        <v>4991</v>
      </c>
      <c r="O811" s="173">
        <f t="shared" si="189"/>
        <v>4891.333333333333</v>
      </c>
      <c r="P811" s="712">
        <f t="shared" si="190"/>
        <v>87.33333333333303</v>
      </c>
      <c r="Q811" s="713">
        <f t="shared" si="191"/>
        <v>1.8364056914558006E-2</v>
      </c>
      <c r="R811" s="713">
        <f>SUM(Q807:Q811)</f>
        <v>3.0424304332044006E-2</v>
      </c>
    </row>
    <row r="812" spans="1:18" x14ac:dyDescent="0.2">
      <c r="B812" t="s">
        <v>297</v>
      </c>
      <c r="C812">
        <f t="shared" si="188"/>
        <v>5030</v>
      </c>
      <c r="D812">
        <f t="shared" si="188"/>
        <v>5070</v>
      </c>
      <c r="E812">
        <f t="shared" si="188"/>
        <v>5041</v>
      </c>
      <c r="F812">
        <f t="shared" si="188"/>
        <v>5085</v>
      </c>
      <c r="G812">
        <f t="shared" si="188"/>
        <v>5067</v>
      </c>
      <c r="H812">
        <f t="shared" si="188"/>
        <v>5102</v>
      </c>
      <c r="I812">
        <f t="shared" si="188"/>
        <v>5086</v>
      </c>
      <c r="J812">
        <f t="shared" si="188"/>
        <v>5164</v>
      </c>
      <c r="K812">
        <f t="shared" si="188"/>
        <v>5141</v>
      </c>
      <c r="L812">
        <f t="shared" si="188"/>
        <v>5196</v>
      </c>
      <c r="M812">
        <f t="shared" si="188"/>
        <v>5262</v>
      </c>
      <c r="N812">
        <f t="shared" si="188"/>
        <v>5272</v>
      </c>
      <c r="O812" s="173">
        <f t="shared" si="189"/>
        <v>5126.333333333333</v>
      </c>
      <c r="P812" s="712">
        <f t="shared" si="190"/>
        <v>135.33333333333303</v>
      </c>
      <c r="Q812" s="713">
        <f t="shared" si="191"/>
        <v>2.7667984189723261E-2</v>
      </c>
      <c r="R812" s="713">
        <f>SUM(Q807:Q812)</f>
        <v>5.8092288521767267E-2</v>
      </c>
    </row>
    <row r="813" spans="1:18" x14ac:dyDescent="0.2">
      <c r="B813" t="s">
        <v>300</v>
      </c>
      <c r="C813">
        <f t="shared" si="188"/>
        <v>5300</v>
      </c>
      <c r="D813">
        <f t="shared" si="188"/>
        <v>5270</v>
      </c>
      <c r="E813">
        <f t="shared" si="188"/>
        <v>5214</v>
      </c>
      <c r="F813">
        <f t="shared" si="188"/>
        <v>5280</v>
      </c>
      <c r="G813">
        <f t="shared" si="188"/>
        <v>5289</v>
      </c>
      <c r="H813">
        <f t="shared" si="188"/>
        <v>5344</v>
      </c>
      <c r="I813">
        <f t="shared" si="188"/>
        <v>5315</v>
      </c>
      <c r="J813">
        <f t="shared" si="188"/>
        <v>5326</v>
      </c>
      <c r="K813">
        <f t="shared" si="188"/>
        <v>5260</v>
      </c>
      <c r="L813">
        <f t="shared" si="188"/>
        <v>5801</v>
      </c>
      <c r="M813">
        <f t="shared" si="188"/>
        <v>5765</v>
      </c>
      <c r="N813">
        <f t="shared" si="188"/>
        <v>5296</v>
      </c>
      <c r="O813" s="173">
        <f t="shared" si="189"/>
        <v>5371.666666666667</v>
      </c>
      <c r="P813" s="712">
        <f t="shared" si="190"/>
        <v>99.66666666666697</v>
      </c>
      <c r="Q813" s="713">
        <f t="shared" si="191"/>
        <v>1.9442096365173349E-2</v>
      </c>
      <c r="R813" s="713">
        <f t="shared" ref="R813:R818" si="192">SUM(Q807:Q813)</f>
        <v>7.7534384886940616E-2</v>
      </c>
    </row>
    <row r="814" spans="1:18" x14ac:dyDescent="0.2">
      <c r="B814" t="s">
        <v>301</v>
      </c>
      <c r="C814">
        <f t="shared" si="188"/>
        <v>5324</v>
      </c>
      <c r="D814">
        <f t="shared" si="188"/>
        <v>5413</v>
      </c>
      <c r="E814">
        <f t="shared" si="188"/>
        <v>5738</v>
      </c>
      <c r="F814">
        <f t="shared" si="188"/>
        <v>5475</v>
      </c>
      <c r="G814">
        <f t="shared" si="188"/>
        <v>5231</v>
      </c>
      <c r="H814">
        <f t="shared" si="188"/>
        <v>5265</v>
      </c>
      <c r="I814">
        <f t="shared" si="188"/>
        <v>5442</v>
      </c>
      <c r="J814">
        <f t="shared" si="188"/>
        <v>5402</v>
      </c>
      <c r="K814">
        <f t="shared" si="188"/>
        <v>5364</v>
      </c>
      <c r="L814">
        <f t="shared" si="188"/>
        <v>5409</v>
      </c>
      <c r="M814">
        <f t="shared" si="188"/>
        <v>5790</v>
      </c>
      <c r="N814">
        <f t="shared" si="188"/>
        <v>5890</v>
      </c>
      <c r="O814" s="173">
        <f t="shared" si="189"/>
        <v>5478.583333333333</v>
      </c>
      <c r="P814" s="712">
        <f t="shared" ref="P814:P819" si="193">SUM(O814-O813)</f>
        <v>106.91666666666606</v>
      </c>
      <c r="Q814" s="713">
        <f t="shared" si="191"/>
        <v>1.9903816320198459E-2</v>
      </c>
      <c r="R814" s="713">
        <f t="shared" si="192"/>
        <v>0.10181538052311213</v>
      </c>
    </row>
    <row r="815" spans="1:18" x14ac:dyDescent="0.2">
      <c r="B815" t="s">
        <v>302</v>
      </c>
      <c r="C815">
        <f t="shared" si="188"/>
        <v>5636</v>
      </c>
      <c r="D815">
        <f t="shared" si="188"/>
        <v>5620</v>
      </c>
      <c r="E815">
        <f t="shared" si="188"/>
        <v>5623</v>
      </c>
      <c r="F815">
        <f t="shared" si="188"/>
        <v>5600</v>
      </c>
      <c r="G815">
        <f t="shared" si="188"/>
        <v>5642</v>
      </c>
      <c r="H815">
        <f t="shared" si="188"/>
        <v>5678</v>
      </c>
      <c r="I815">
        <f t="shared" si="188"/>
        <v>5668</v>
      </c>
      <c r="J815">
        <f t="shared" si="188"/>
        <v>5682</v>
      </c>
      <c r="K815">
        <f t="shared" si="188"/>
        <v>5707</v>
      </c>
      <c r="L815">
        <f t="shared" si="188"/>
        <v>5751</v>
      </c>
      <c r="M815">
        <f t="shared" si="188"/>
        <v>5791</v>
      </c>
      <c r="N815">
        <f t="shared" si="188"/>
        <v>5813</v>
      </c>
      <c r="O815" s="173">
        <f>SUM(C815:N815)/12</f>
        <v>5684.25</v>
      </c>
      <c r="P815" s="712">
        <f t="shared" si="193"/>
        <v>205.66666666666697</v>
      </c>
      <c r="Q815" s="713">
        <f t="shared" si="191"/>
        <v>3.7540118339595148E-2</v>
      </c>
      <c r="R815" s="713">
        <f t="shared" si="192"/>
        <v>0.1074632498903057</v>
      </c>
    </row>
    <row r="816" spans="1:18" x14ac:dyDescent="0.2">
      <c r="B816" t="s">
        <v>347</v>
      </c>
      <c r="C816">
        <f t="shared" si="188"/>
        <v>5792</v>
      </c>
      <c r="D816">
        <f t="shared" si="188"/>
        <v>5837</v>
      </c>
      <c r="E816">
        <f t="shared" si="188"/>
        <v>5783</v>
      </c>
      <c r="F816">
        <f t="shared" si="188"/>
        <v>5776</v>
      </c>
      <c r="G816">
        <f t="shared" si="188"/>
        <v>5691</v>
      </c>
      <c r="H816">
        <f t="shared" si="188"/>
        <v>5868</v>
      </c>
      <c r="I816">
        <f t="shared" si="188"/>
        <v>5812</v>
      </c>
      <c r="J816">
        <f t="shared" si="188"/>
        <v>5855</v>
      </c>
      <c r="K816">
        <f t="shared" si="188"/>
        <v>5867</v>
      </c>
      <c r="L816">
        <f t="shared" si="188"/>
        <v>5881</v>
      </c>
      <c r="M816">
        <f t="shared" si="188"/>
        <v>5824</v>
      </c>
      <c r="N816">
        <f t="shared" si="188"/>
        <v>5846</v>
      </c>
      <c r="O816" s="173">
        <f>SUM(C816:N816)/12</f>
        <v>5819.333333333333</v>
      </c>
      <c r="P816" s="712">
        <f t="shared" si="193"/>
        <v>135.08333333333303</v>
      </c>
      <c r="Q816" s="713">
        <f t="shared" si="191"/>
        <v>2.3764495462608618E-2</v>
      </c>
      <c r="R816" s="713">
        <f t="shared" si="192"/>
        <v>0.15353403751180655</v>
      </c>
    </row>
    <row r="817" spans="1:18" x14ac:dyDescent="0.2">
      <c r="B817" t="s">
        <v>370</v>
      </c>
      <c r="C817">
        <f t="shared" si="188"/>
        <v>5909</v>
      </c>
      <c r="D817">
        <f t="shared" si="188"/>
        <v>5921</v>
      </c>
      <c r="E817">
        <f t="shared" si="188"/>
        <v>5881</v>
      </c>
      <c r="F817">
        <f t="shared" si="188"/>
        <v>5938</v>
      </c>
      <c r="G817">
        <f t="shared" si="188"/>
        <v>5963</v>
      </c>
      <c r="H817">
        <f t="shared" si="188"/>
        <v>5986</v>
      </c>
      <c r="I817">
        <f t="shared" si="188"/>
        <v>5927</v>
      </c>
      <c r="J817">
        <f t="shared" si="188"/>
        <v>5974</v>
      </c>
      <c r="K817">
        <f t="shared" si="188"/>
        <v>6009</v>
      </c>
      <c r="L817">
        <f t="shared" si="188"/>
        <v>6021</v>
      </c>
      <c r="M817">
        <f t="shared" si="188"/>
        <v>5978</v>
      </c>
      <c r="N817">
        <f t="shared" si="188"/>
        <v>5883</v>
      </c>
      <c r="O817" s="173">
        <f>SUM(C817:N817)/12</f>
        <v>5949.166666666667</v>
      </c>
      <c r="P817" s="712">
        <f t="shared" si="193"/>
        <v>129.83333333333394</v>
      </c>
      <c r="Q817" s="713">
        <f t="shared" si="191"/>
        <v>2.2310688509565919E-2</v>
      </c>
      <c r="R817" s="713">
        <f t="shared" si="192"/>
        <v>0.16899325610142274</v>
      </c>
    </row>
    <row r="818" spans="1:18" x14ac:dyDescent="0.2">
      <c r="B818" t="s">
        <v>469</v>
      </c>
      <c r="C818">
        <f t="shared" si="188"/>
        <v>5999</v>
      </c>
      <c r="D818">
        <f t="shared" si="188"/>
        <v>6010</v>
      </c>
      <c r="E818">
        <f t="shared" si="188"/>
        <v>6006</v>
      </c>
      <c r="F818">
        <f t="shared" si="188"/>
        <v>6022</v>
      </c>
      <c r="G818">
        <f t="shared" si="188"/>
        <v>6027</v>
      </c>
      <c r="H818">
        <f t="shared" si="188"/>
        <v>6072</v>
      </c>
      <c r="I818">
        <f t="shared" si="188"/>
        <v>6094</v>
      </c>
      <c r="J818">
        <f t="shared" si="188"/>
        <v>6090</v>
      </c>
      <c r="K818">
        <f t="shared" si="188"/>
        <v>6044</v>
      </c>
      <c r="L818">
        <f t="shared" si="188"/>
        <v>6053</v>
      </c>
      <c r="M818">
        <f t="shared" si="188"/>
        <v>6097</v>
      </c>
      <c r="N818">
        <f t="shared" si="188"/>
        <v>6122</v>
      </c>
      <c r="O818" s="173">
        <f>SUM(C818:N818)/12</f>
        <v>6053</v>
      </c>
      <c r="P818" s="712">
        <f t="shared" si="193"/>
        <v>103.83333333333303</v>
      </c>
      <c r="Q818" s="713">
        <f t="shared" si="191"/>
        <v>1.7453424849418635E-2</v>
      </c>
      <c r="R818" s="713">
        <f t="shared" si="192"/>
        <v>0.16808262403628338</v>
      </c>
    </row>
    <row r="819" spans="1:18" x14ac:dyDescent="0.2">
      <c r="B819" t="s">
        <v>487</v>
      </c>
      <c r="C819">
        <f t="shared" ref="C819:O820" si="194">SUM(C584,C601,C618,C636,C653,C670,C688,C705,C722,C740,C757,C774,C792,C799)</f>
        <v>6219</v>
      </c>
      <c r="D819">
        <f t="shared" si="194"/>
        <v>6195</v>
      </c>
      <c r="E819">
        <f t="shared" si="194"/>
        <v>6211</v>
      </c>
      <c r="F819">
        <f t="shared" si="194"/>
        <v>6268</v>
      </c>
      <c r="G819">
        <f t="shared" si="194"/>
        <v>6289</v>
      </c>
      <c r="H819">
        <f t="shared" si="194"/>
        <v>6246</v>
      </c>
      <c r="I819">
        <f t="shared" si="194"/>
        <v>6283</v>
      </c>
      <c r="J819">
        <f t="shared" si="194"/>
        <v>6294</v>
      </c>
      <c r="K819">
        <f t="shared" si="194"/>
        <v>6169</v>
      </c>
      <c r="L819">
        <f t="shared" si="194"/>
        <v>6109</v>
      </c>
      <c r="M819">
        <f t="shared" si="194"/>
        <v>6183</v>
      </c>
      <c r="N819">
        <f t="shared" si="194"/>
        <v>6197</v>
      </c>
      <c r="O819" s="173">
        <f t="shared" si="194"/>
        <v>6221.9166666666652</v>
      </c>
      <c r="P819" s="712">
        <f t="shared" si="193"/>
        <v>168.91666666666515</v>
      </c>
      <c r="Q819" s="713">
        <f t="shared" si="191"/>
        <v>2.7906272371826392E-2</v>
      </c>
      <c r="R819" s="713">
        <f>SUM(Q813:Q819)</f>
        <v>0.16832091221838652</v>
      </c>
    </row>
    <row r="820" spans="1:18" s="531" customFormat="1" x14ac:dyDescent="0.2">
      <c r="B820" s="716" t="s">
        <v>561</v>
      </c>
      <c r="C820" s="716">
        <f t="shared" si="194"/>
        <v>6254</v>
      </c>
      <c r="D820" s="716">
        <f t="shared" si="194"/>
        <v>6195</v>
      </c>
      <c r="E820" s="716">
        <f t="shared" si="194"/>
        <v>6259</v>
      </c>
      <c r="F820" s="716">
        <f t="shared" si="194"/>
        <v>6210</v>
      </c>
      <c r="G820" s="716">
        <f t="shared" si="194"/>
        <v>6164</v>
      </c>
      <c r="H820" s="716">
        <f t="shared" si="194"/>
        <v>6214</v>
      </c>
      <c r="I820" s="716">
        <f t="shared" si="194"/>
        <v>6176</v>
      </c>
      <c r="J820" s="716">
        <f t="shared" si="194"/>
        <v>6172</v>
      </c>
      <c r="K820" s="716">
        <f t="shared" si="194"/>
        <v>6086</v>
      </c>
      <c r="L820" s="716">
        <f t="shared" si="194"/>
        <v>6077</v>
      </c>
      <c r="M820" s="716">
        <f t="shared" si="194"/>
        <v>6086</v>
      </c>
      <c r="N820" s="716">
        <f t="shared" si="194"/>
        <v>6159</v>
      </c>
      <c r="O820" s="717">
        <f t="shared" si="194"/>
        <v>6171.0000000000009</v>
      </c>
      <c r="P820" s="714">
        <f>SUM(O820-O819)</f>
        <v>-50.916666666664241</v>
      </c>
      <c r="Q820" s="715">
        <f t="shared" si="191"/>
        <v>-8.1834375795236062E-3</v>
      </c>
      <c r="R820" s="715">
        <f>SUM(Q814:Q820)</f>
        <v>0.14069537827368955</v>
      </c>
    </row>
    <row r="821" spans="1:18" s="531" customFormat="1" x14ac:dyDescent="0.2">
      <c r="P821" s="708"/>
      <c r="Q821" s="709"/>
      <c r="R821" s="709"/>
    </row>
    <row r="822" spans="1:18" x14ac:dyDescent="0.2">
      <c r="A822" s="557" t="s">
        <v>585</v>
      </c>
      <c r="P822" s="173"/>
      <c r="Q822" s="177"/>
      <c r="R822" s="177"/>
    </row>
    <row r="824" spans="1:18" x14ac:dyDescent="0.2">
      <c r="A824" s="640"/>
      <c r="B824" s="640"/>
      <c r="C824" s="640"/>
      <c r="D824" s="640"/>
      <c r="E824" s="640"/>
      <c r="F824" s="640"/>
      <c r="G824" s="640"/>
      <c r="H824" s="640"/>
      <c r="I824" s="640"/>
      <c r="J824" s="640"/>
      <c r="K824" s="640"/>
      <c r="L824" s="640"/>
      <c r="M824" s="640"/>
      <c r="N824" s="640"/>
      <c r="O824" s="640"/>
      <c r="P824" s="640"/>
      <c r="Q824" s="640"/>
      <c r="R824" s="640"/>
    </row>
    <row r="825" spans="1:18" ht="38.25" x14ac:dyDescent="0.2">
      <c r="A825" s="175" t="s">
        <v>432</v>
      </c>
      <c r="B825" s="641" t="s">
        <v>433</v>
      </c>
      <c r="C825" s="642" t="s">
        <v>434</v>
      </c>
      <c r="D825" s="642" t="s">
        <v>435</v>
      </c>
      <c r="E825" s="642" t="s">
        <v>436</v>
      </c>
      <c r="F825" s="642" t="s">
        <v>437</v>
      </c>
      <c r="G825" s="642" t="s">
        <v>438</v>
      </c>
      <c r="H825" s="642" t="s">
        <v>439</v>
      </c>
      <c r="I825" s="642" t="s">
        <v>440</v>
      </c>
      <c r="J825" s="642" t="s">
        <v>441</v>
      </c>
      <c r="K825" s="642" t="s">
        <v>442</v>
      </c>
      <c r="L825" s="642" t="s">
        <v>443</v>
      </c>
      <c r="M825" s="642" t="s">
        <v>444</v>
      </c>
      <c r="N825" s="642" t="s">
        <v>445</v>
      </c>
      <c r="O825" s="174" t="s">
        <v>446</v>
      </c>
      <c r="P825" s="643" t="s">
        <v>447</v>
      </c>
      <c r="Q825" s="643" t="s">
        <v>448</v>
      </c>
    </row>
    <row r="826" spans="1:18" x14ac:dyDescent="0.2">
      <c r="B826" t="s">
        <v>449</v>
      </c>
      <c r="C826">
        <v>1998</v>
      </c>
      <c r="D826">
        <v>2016</v>
      </c>
      <c r="E826">
        <v>1984</v>
      </c>
      <c r="F826">
        <v>2010</v>
      </c>
      <c r="G826">
        <v>2067</v>
      </c>
      <c r="H826">
        <v>2078</v>
      </c>
      <c r="I826">
        <v>2078</v>
      </c>
      <c r="J826">
        <v>2085</v>
      </c>
      <c r="K826">
        <v>2134</v>
      </c>
      <c r="L826">
        <v>2136</v>
      </c>
      <c r="M826">
        <v>2135</v>
      </c>
      <c r="N826">
        <v>2143</v>
      </c>
      <c r="O826">
        <f>SUM(C826:N826)/12</f>
        <v>2072</v>
      </c>
    </row>
    <row r="827" spans="1:18" x14ac:dyDescent="0.2">
      <c r="B827" t="s">
        <v>450</v>
      </c>
      <c r="C827">
        <v>2155</v>
      </c>
      <c r="D827">
        <v>2157</v>
      </c>
      <c r="E827">
        <v>2172</v>
      </c>
      <c r="F827">
        <v>2180</v>
      </c>
      <c r="G827">
        <v>2183</v>
      </c>
      <c r="H827">
        <v>2205</v>
      </c>
      <c r="I827">
        <v>2192</v>
      </c>
      <c r="J827">
        <v>2191</v>
      </c>
      <c r="K827">
        <v>2183</v>
      </c>
      <c r="L827">
        <v>2183</v>
      </c>
      <c r="M827">
        <v>2191</v>
      </c>
      <c r="N827">
        <v>2189</v>
      </c>
      <c r="O827" s="173">
        <f t="shared" ref="O827:O834" si="195">SUM(C827:N827)/12</f>
        <v>2181.75</v>
      </c>
      <c r="P827" s="173">
        <f t="shared" ref="P827:P835" si="196">SUM(O827-O826)</f>
        <v>109.75</v>
      </c>
      <c r="Q827" s="177">
        <f>SUM(P827/O826)</f>
        <v>5.2968146718146716E-2</v>
      </c>
    </row>
    <row r="828" spans="1:18" x14ac:dyDescent="0.2">
      <c r="B828" t="s">
        <v>451</v>
      </c>
      <c r="C828">
        <v>2201</v>
      </c>
      <c r="D828">
        <v>2233</v>
      </c>
      <c r="E828">
        <v>2235</v>
      </c>
      <c r="F828">
        <v>2252</v>
      </c>
      <c r="G828">
        <v>2259</v>
      </c>
      <c r="H828">
        <v>2271</v>
      </c>
      <c r="I828">
        <v>2271</v>
      </c>
      <c r="J828">
        <v>2307</v>
      </c>
      <c r="K828">
        <v>2319</v>
      </c>
      <c r="L828">
        <v>2331</v>
      </c>
      <c r="M828">
        <v>2343</v>
      </c>
      <c r="N828">
        <v>2355</v>
      </c>
      <c r="O828" s="173">
        <f t="shared" si="195"/>
        <v>2281.4166666666665</v>
      </c>
      <c r="P828" s="173">
        <f t="shared" si="196"/>
        <v>99.666666666666515</v>
      </c>
      <c r="Q828" s="177">
        <f t="shared" ref="Q828:Q833" si="197">SUM(P828/O827)</f>
        <v>4.5681983117527906E-2</v>
      </c>
    </row>
    <row r="829" spans="1:18" x14ac:dyDescent="0.2">
      <c r="B829" t="s">
        <v>267</v>
      </c>
      <c r="C829">
        <v>2324</v>
      </c>
      <c r="D829">
        <v>2433</v>
      </c>
      <c r="E829">
        <v>2266</v>
      </c>
      <c r="F829">
        <v>2266</v>
      </c>
      <c r="G829">
        <v>2306</v>
      </c>
      <c r="H829">
        <v>2306</v>
      </c>
      <c r="I829">
        <v>2306</v>
      </c>
      <c r="J829">
        <v>2334</v>
      </c>
      <c r="K829">
        <v>2230</v>
      </c>
      <c r="L829">
        <v>2230</v>
      </c>
      <c r="M829">
        <v>2230</v>
      </c>
      <c r="N829">
        <v>2230</v>
      </c>
      <c r="O829" s="173">
        <f t="shared" si="195"/>
        <v>2288.4166666666665</v>
      </c>
      <c r="P829" s="173">
        <f t="shared" si="196"/>
        <v>7</v>
      </c>
      <c r="Q829" s="177">
        <f t="shared" si="197"/>
        <v>3.0682689849143444E-3</v>
      </c>
    </row>
    <row r="830" spans="1:18" x14ac:dyDescent="0.2">
      <c r="B830" t="s">
        <v>266</v>
      </c>
      <c r="C830">
        <v>2408</v>
      </c>
      <c r="D830">
        <v>2335</v>
      </c>
      <c r="E830">
        <v>2353</v>
      </c>
      <c r="F830">
        <v>2353</v>
      </c>
      <c r="G830">
        <v>2311</v>
      </c>
      <c r="H830">
        <v>2367</v>
      </c>
      <c r="I830">
        <v>2367</v>
      </c>
      <c r="J830">
        <v>2352</v>
      </c>
      <c r="K830">
        <v>2336</v>
      </c>
      <c r="L830">
        <v>2336</v>
      </c>
      <c r="M830">
        <v>2292</v>
      </c>
      <c r="N830">
        <v>2318</v>
      </c>
      <c r="O830" s="173">
        <f t="shared" si="195"/>
        <v>2344</v>
      </c>
      <c r="P830" s="173">
        <f t="shared" si="196"/>
        <v>55.583333333333485</v>
      </c>
      <c r="Q830" s="177">
        <f t="shared" si="197"/>
        <v>2.4288991660900983E-2</v>
      </c>
    </row>
    <row r="831" spans="1:18" x14ac:dyDescent="0.2">
      <c r="B831" t="s">
        <v>287</v>
      </c>
      <c r="C831">
        <v>2312</v>
      </c>
      <c r="D831">
        <v>2305</v>
      </c>
      <c r="E831">
        <v>2318</v>
      </c>
      <c r="F831">
        <v>2318</v>
      </c>
      <c r="G831">
        <v>2350</v>
      </c>
      <c r="H831">
        <v>2314</v>
      </c>
      <c r="I831">
        <v>2314</v>
      </c>
      <c r="J831">
        <v>2426</v>
      </c>
      <c r="K831">
        <v>2400</v>
      </c>
      <c r="L831">
        <v>2454</v>
      </c>
      <c r="M831">
        <v>2536</v>
      </c>
      <c r="N831">
        <v>2334</v>
      </c>
      <c r="O831" s="173">
        <f t="shared" si="195"/>
        <v>2365.0833333333335</v>
      </c>
      <c r="P831" s="173">
        <f t="shared" si="196"/>
        <v>21.083333333333485</v>
      </c>
      <c r="Q831" s="177">
        <f t="shared" si="197"/>
        <v>8.9945961319682095E-3</v>
      </c>
    </row>
    <row r="832" spans="1:18" x14ac:dyDescent="0.2">
      <c r="B832" t="s">
        <v>297</v>
      </c>
      <c r="C832">
        <v>2357</v>
      </c>
      <c r="D832">
        <v>2384</v>
      </c>
      <c r="E832">
        <v>2387</v>
      </c>
      <c r="F832">
        <v>2410</v>
      </c>
      <c r="G832">
        <v>2414</v>
      </c>
      <c r="H832">
        <v>2444</v>
      </c>
      <c r="I832">
        <v>2444</v>
      </c>
      <c r="J832">
        <v>2433</v>
      </c>
      <c r="K832">
        <v>2417</v>
      </c>
      <c r="L832">
        <v>2424</v>
      </c>
      <c r="M832">
        <v>2443</v>
      </c>
      <c r="N832">
        <v>2445</v>
      </c>
      <c r="O832" s="173">
        <f t="shared" si="195"/>
        <v>2416.8333333333335</v>
      </c>
      <c r="P832" s="173">
        <f t="shared" si="196"/>
        <v>51.75</v>
      </c>
      <c r="Q832" s="177">
        <f t="shared" si="197"/>
        <v>2.1880835770409779E-2</v>
      </c>
    </row>
    <row r="833" spans="1:17" x14ac:dyDescent="0.2">
      <c r="B833" t="s">
        <v>300</v>
      </c>
      <c r="C833">
        <v>2453</v>
      </c>
      <c r="D833">
        <v>2437</v>
      </c>
      <c r="E833">
        <v>2420</v>
      </c>
      <c r="F833">
        <v>2487</v>
      </c>
      <c r="G833">
        <v>2437</v>
      </c>
      <c r="H833">
        <v>2479</v>
      </c>
      <c r="I833">
        <v>2466</v>
      </c>
      <c r="J833">
        <v>2488</v>
      </c>
      <c r="K833">
        <v>2477</v>
      </c>
      <c r="L833">
        <v>2562</v>
      </c>
      <c r="M833">
        <v>2557</v>
      </c>
      <c r="N833">
        <v>2455</v>
      </c>
      <c r="O833" s="173">
        <f t="shared" si="195"/>
        <v>2476.5</v>
      </c>
      <c r="P833" s="173">
        <f t="shared" si="196"/>
        <v>59.666666666666515</v>
      </c>
      <c r="Q833" s="177">
        <f t="shared" si="197"/>
        <v>2.4687952554996142E-2</v>
      </c>
    </row>
    <row r="834" spans="1:17" x14ac:dyDescent="0.2">
      <c r="B834" t="s">
        <v>301</v>
      </c>
      <c r="C834">
        <v>2495</v>
      </c>
      <c r="D834">
        <v>2542</v>
      </c>
      <c r="E834">
        <v>2644</v>
      </c>
      <c r="F834">
        <v>2580</v>
      </c>
      <c r="G834">
        <v>2273</v>
      </c>
      <c r="H834">
        <v>2302</v>
      </c>
      <c r="I834">
        <v>2395</v>
      </c>
      <c r="J834">
        <v>2404</v>
      </c>
      <c r="K834">
        <v>2394</v>
      </c>
      <c r="L834">
        <v>2426</v>
      </c>
      <c r="M834">
        <v>2689</v>
      </c>
      <c r="N834">
        <v>2739</v>
      </c>
      <c r="O834" s="173">
        <f t="shared" si="195"/>
        <v>2490.25</v>
      </c>
      <c r="P834" s="173">
        <f t="shared" si="196"/>
        <v>13.75</v>
      </c>
      <c r="Q834" s="177">
        <f t="shared" ref="Q834:Q839" si="198">SUM(P834/O833)</f>
        <v>5.5521905915606705E-3</v>
      </c>
    </row>
    <row r="835" spans="1:17" x14ac:dyDescent="0.2">
      <c r="B835" t="s">
        <v>302</v>
      </c>
      <c r="C835">
        <v>2704</v>
      </c>
      <c r="D835">
        <v>2698</v>
      </c>
      <c r="E835">
        <v>2694</v>
      </c>
      <c r="F835">
        <v>2677</v>
      </c>
      <c r="G835">
        <v>2732</v>
      </c>
      <c r="H835">
        <v>2755</v>
      </c>
      <c r="I835">
        <v>2778</v>
      </c>
      <c r="J835">
        <v>2778</v>
      </c>
      <c r="K835">
        <v>2775</v>
      </c>
      <c r="L835">
        <v>2782</v>
      </c>
      <c r="M835">
        <v>2819</v>
      </c>
      <c r="N835">
        <v>2864</v>
      </c>
      <c r="O835" s="173">
        <f>SUM(C835:N835)/12</f>
        <v>2754.6666666666665</v>
      </c>
      <c r="P835" s="173">
        <f t="shared" si="196"/>
        <v>264.41666666666652</v>
      </c>
      <c r="Q835" s="177">
        <f t="shared" si="198"/>
        <v>0.10618077167620379</v>
      </c>
    </row>
    <row r="836" spans="1:17" x14ac:dyDescent="0.2">
      <c r="B836" t="s">
        <v>347</v>
      </c>
      <c r="C836">
        <v>2871</v>
      </c>
      <c r="D836">
        <v>2904</v>
      </c>
      <c r="E836">
        <v>2884</v>
      </c>
      <c r="F836">
        <v>2895</v>
      </c>
      <c r="G836">
        <v>2826</v>
      </c>
      <c r="H836">
        <v>2865</v>
      </c>
      <c r="I836">
        <v>2853</v>
      </c>
      <c r="J836">
        <v>2903</v>
      </c>
      <c r="K836">
        <v>2885</v>
      </c>
      <c r="L836">
        <v>2910</v>
      </c>
      <c r="M836">
        <v>2930</v>
      </c>
      <c r="N836">
        <v>2884</v>
      </c>
      <c r="O836" s="173">
        <f>SUM(C836:N836)/12</f>
        <v>2884.1666666666665</v>
      </c>
      <c r="P836" s="173">
        <f>SUM(O836-O835)</f>
        <v>129.5</v>
      </c>
      <c r="Q836" s="177">
        <f t="shared" si="198"/>
        <v>4.7011132623426911E-2</v>
      </c>
    </row>
    <row r="837" spans="1:17" x14ac:dyDescent="0.2">
      <c r="B837" t="s">
        <v>370</v>
      </c>
      <c r="C837">
        <v>2896</v>
      </c>
      <c r="D837">
        <v>2980</v>
      </c>
      <c r="E837">
        <v>2969</v>
      </c>
      <c r="F837">
        <v>2961</v>
      </c>
      <c r="G837">
        <v>3022</v>
      </c>
      <c r="H837">
        <v>3037</v>
      </c>
      <c r="I837">
        <v>3049</v>
      </c>
      <c r="J837">
        <v>3076</v>
      </c>
      <c r="K837">
        <v>3088</v>
      </c>
      <c r="L837">
        <v>3074</v>
      </c>
      <c r="M837">
        <v>3058</v>
      </c>
      <c r="N837">
        <v>2954</v>
      </c>
      <c r="O837" s="173">
        <f>SUM(C837:N837)/12</f>
        <v>3013.6666666666665</v>
      </c>
      <c r="P837" s="173">
        <f>SUM(O837-O836)</f>
        <v>129.5</v>
      </c>
      <c r="Q837" s="177">
        <f t="shared" si="198"/>
        <v>4.4900317827217567E-2</v>
      </c>
    </row>
    <row r="838" spans="1:17" x14ac:dyDescent="0.2">
      <c r="B838" t="s">
        <v>452</v>
      </c>
      <c r="C838">
        <v>3027</v>
      </c>
      <c r="D838">
        <v>3039</v>
      </c>
      <c r="E838">
        <v>3034</v>
      </c>
      <c r="F838">
        <v>3040</v>
      </c>
      <c r="G838">
        <v>3022</v>
      </c>
      <c r="H838">
        <v>3057</v>
      </c>
      <c r="I838">
        <v>3074</v>
      </c>
      <c r="J838">
        <v>3088</v>
      </c>
      <c r="K838">
        <v>3056</v>
      </c>
      <c r="L838">
        <v>3094</v>
      </c>
      <c r="M838">
        <v>3138</v>
      </c>
      <c r="N838">
        <v>3130</v>
      </c>
      <c r="O838" s="173">
        <f>SUM(C838:N838)/12</f>
        <v>3066.5833333333335</v>
      </c>
      <c r="P838" s="173">
        <f>SUM(O838-O837)</f>
        <v>52.91666666666697</v>
      </c>
      <c r="Q838" s="177">
        <f t="shared" si="198"/>
        <v>1.7558898351952318E-2</v>
      </c>
    </row>
    <row r="839" spans="1:17" x14ac:dyDescent="0.2">
      <c r="B839" t="s">
        <v>487</v>
      </c>
      <c r="C839">
        <v>3123</v>
      </c>
      <c r="D839">
        <v>3065</v>
      </c>
      <c r="E839">
        <v>3115</v>
      </c>
      <c r="F839">
        <v>3134</v>
      </c>
      <c r="G839">
        <v>3160</v>
      </c>
      <c r="H839">
        <v>3165</v>
      </c>
      <c r="I839">
        <v>3166</v>
      </c>
      <c r="J839">
        <v>3187</v>
      </c>
      <c r="K839">
        <v>3069</v>
      </c>
      <c r="L839">
        <v>3020</v>
      </c>
      <c r="M839">
        <v>3040</v>
      </c>
      <c r="N839">
        <v>3070</v>
      </c>
      <c r="O839" s="173">
        <f>SUM(C839:N839)/12</f>
        <v>3109.5</v>
      </c>
      <c r="P839" s="173">
        <f>SUM(O839-O838)</f>
        <v>42.916666666666515</v>
      </c>
      <c r="Q839" s="177">
        <f t="shared" si="198"/>
        <v>1.3994945514823722E-2</v>
      </c>
    </row>
    <row r="840" spans="1:17" x14ac:dyDescent="0.2">
      <c r="B840" t="s">
        <v>561</v>
      </c>
      <c r="C840">
        <v>3068</v>
      </c>
      <c r="D840">
        <v>3065</v>
      </c>
      <c r="O840" s="173"/>
      <c r="P840" s="173"/>
      <c r="Q840" s="177"/>
    </row>
    <row r="841" spans="1:17" ht="25.5" x14ac:dyDescent="0.2">
      <c r="A841" s="175" t="s">
        <v>453</v>
      </c>
      <c r="B841" s="641" t="s">
        <v>433</v>
      </c>
      <c r="C841" s="642" t="s">
        <v>434</v>
      </c>
      <c r="D841" s="642" t="s">
        <v>435</v>
      </c>
      <c r="E841" s="642" t="s">
        <v>436</v>
      </c>
      <c r="F841" s="642" t="s">
        <v>437</v>
      </c>
      <c r="G841" s="642" t="s">
        <v>438</v>
      </c>
      <c r="H841" s="642" t="s">
        <v>439</v>
      </c>
      <c r="I841" s="642" t="s">
        <v>440</v>
      </c>
      <c r="J841" s="642" t="s">
        <v>441</v>
      </c>
      <c r="K841" s="642" t="s">
        <v>442</v>
      </c>
      <c r="L841" s="642" t="s">
        <v>443</v>
      </c>
      <c r="M841" s="642" t="s">
        <v>444</v>
      </c>
      <c r="N841" s="642" t="s">
        <v>445</v>
      </c>
    </row>
    <row r="842" spans="1:17" x14ac:dyDescent="0.2">
      <c r="B842" t="s">
        <v>449</v>
      </c>
      <c r="C842">
        <v>83</v>
      </c>
      <c r="D842">
        <v>80</v>
      </c>
      <c r="E842">
        <v>74</v>
      </c>
      <c r="F842">
        <v>78</v>
      </c>
      <c r="G842">
        <v>79</v>
      </c>
      <c r="H842">
        <v>81</v>
      </c>
      <c r="I842">
        <v>82</v>
      </c>
      <c r="J842">
        <v>83</v>
      </c>
      <c r="K842">
        <v>82</v>
      </c>
      <c r="L842">
        <v>83</v>
      </c>
      <c r="M842">
        <v>85</v>
      </c>
      <c r="N842">
        <v>87</v>
      </c>
      <c r="O842" s="173">
        <f t="shared" ref="O842:O850" si="199">SUM(C842:N842)/12</f>
        <v>81.416666666666671</v>
      </c>
      <c r="P842" s="173"/>
    </row>
    <row r="843" spans="1:17" x14ac:dyDescent="0.2">
      <c r="B843" t="s">
        <v>450</v>
      </c>
      <c r="C843">
        <v>92</v>
      </c>
      <c r="D843">
        <v>93</v>
      </c>
      <c r="E843">
        <v>94</v>
      </c>
      <c r="F843">
        <v>97</v>
      </c>
      <c r="G843">
        <v>98</v>
      </c>
      <c r="H843">
        <v>95</v>
      </c>
      <c r="I843">
        <v>89</v>
      </c>
      <c r="J843">
        <v>93</v>
      </c>
      <c r="K843">
        <v>90</v>
      </c>
      <c r="L843">
        <v>97</v>
      </c>
      <c r="M843">
        <v>99</v>
      </c>
      <c r="N843">
        <v>92</v>
      </c>
      <c r="O843" s="173">
        <f t="shared" si="199"/>
        <v>94.083333333333329</v>
      </c>
      <c r="P843" s="173">
        <f t="shared" ref="P843:P850" si="200">SUM(O843-O842)</f>
        <v>12.666666666666657</v>
      </c>
      <c r="Q843" s="177">
        <f t="shared" ref="Q843:Q849" si="201">SUM(P843/O842)</f>
        <v>0.15557830092118718</v>
      </c>
    </row>
    <row r="844" spans="1:17" x14ac:dyDescent="0.2">
      <c r="B844" t="s">
        <v>451</v>
      </c>
      <c r="C844">
        <v>90</v>
      </c>
      <c r="D844">
        <v>91</v>
      </c>
      <c r="E844">
        <v>92</v>
      </c>
      <c r="F844">
        <v>100</v>
      </c>
      <c r="G844">
        <v>99</v>
      </c>
      <c r="H844">
        <v>111</v>
      </c>
      <c r="I844">
        <v>102</v>
      </c>
      <c r="J844">
        <v>94</v>
      </c>
      <c r="K844">
        <v>96</v>
      </c>
      <c r="L844">
        <v>98</v>
      </c>
      <c r="M844">
        <v>93</v>
      </c>
      <c r="N844">
        <v>89</v>
      </c>
      <c r="O844" s="173">
        <f t="shared" si="199"/>
        <v>96.25</v>
      </c>
      <c r="P844" s="173">
        <f t="shared" si="200"/>
        <v>2.1666666666666714</v>
      </c>
      <c r="Q844" s="177">
        <f t="shared" si="201"/>
        <v>2.3029229406554524E-2</v>
      </c>
    </row>
    <row r="845" spans="1:17" x14ac:dyDescent="0.2">
      <c r="B845" t="s">
        <v>267</v>
      </c>
      <c r="C845">
        <v>72</v>
      </c>
      <c r="D845">
        <v>74</v>
      </c>
      <c r="E845">
        <v>73</v>
      </c>
      <c r="F845">
        <v>73</v>
      </c>
      <c r="G845">
        <v>73</v>
      </c>
      <c r="H845">
        <v>73</v>
      </c>
      <c r="I845">
        <v>73</v>
      </c>
      <c r="J845">
        <v>65</v>
      </c>
      <c r="K845">
        <v>65</v>
      </c>
      <c r="L845">
        <v>65</v>
      </c>
      <c r="M845">
        <v>65</v>
      </c>
      <c r="N845">
        <v>60</v>
      </c>
      <c r="O845" s="173">
        <f t="shared" si="199"/>
        <v>69.25</v>
      </c>
      <c r="P845" s="173">
        <f t="shared" si="200"/>
        <v>-27</v>
      </c>
      <c r="Q845" s="177">
        <f t="shared" si="201"/>
        <v>-0.2805194805194805</v>
      </c>
    </row>
    <row r="846" spans="1:17" x14ac:dyDescent="0.2">
      <c r="B846" t="s">
        <v>266</v>
      </c>
      <c r="C846">
        <v>59</v>
      </c>
      <c r="D846">
        <v>58</v>
      </c>
      <c r="E846">
        <v>59</v>
      </c>
      <c r="F846">
        <v>60</v>
      </c>
      <c r="G846">
        <v>56</v>
      </c>
      <c r="H846">
        <v>54</v>
      </c>
      <c r="I846">
        <v>54</v>
      </c>
      <c r="J846">
        <v>51</v>
      </c>
      <c r="K846">
        <v>53</v>
      </c>
      <c r="L846">
        <v>59</v>
      </c>
      <c r="M846">
        <v>64</v>
      </c>
      <c r="N846">
        <v>62</v>
      </c>
      <c r="O846" s="173">
        <f t="shared" si="199"/>
        <v>57.416666666666664</v>
      </c>
      <c r="P846" s="173">
        <f t="shared" si="200"/>
        <v>-11.833333333333336</v>
      </c>
      <c r="Q846" s="177">
        <f t="shared" si="201"/>
        <v>-0.17087845968712398</v>
      </c>
    </row>
    <row r="847" spans="1:17" x14ac:dyDescent="0.2">
      <c r="B847" t="s">
        <v>287</v>
      </c>
      <c r="C847">
        <v>66</v>
      </c>
      <c r="D847">
        <v>68</v>
      </c>
      <c r="E847">
        <v>66</v>
      </c>
      <c r="F847">
        <v>65</v>
      </c>
      <c r="G847">
        <v>63</v>
      </c>
      <c r="H847">
        <v>68</v>
      </c>
      <c r="I847">
        <v>63</v>
      </c>
      <c r="J847">
        <v>57</v>
      </c>
      <c r="K847">
        <v>45</v>
      </c>
      <c r="L847">
        <v>45</v>
      </c>
      <c r="M847">
        <v>47</v>
      </c>
      <c r="N847">
        <v>49</v>
      </c>
      <c r="O847" s="173">
        <f t="shared" si="199"/>
        <v>58.5</v>
      </c>
      <c r="P847" s="173">
        <f t="shared" si="200"/>
        <v>1.0833333333333357</v>
      </c>
      <c r="Q847" s="177">
        <f t="shared" si="201"/>
        <v>1.8867924528301928E-2</v>
      </c>
    </row>
    <row r="848" spans="1:17" x14ac:dyDescent="0.2">
      <c r="B848" t="s">
        <v>297</v>
      </c>
      <c r="C848">
        <v>47</v>
      </c>
      <c r="D848">
        <v>45</v>
      </c>
      <c r="E848">
        <v>45</v>
      </c>
      <c r="F848">
        <v>47</v>
      </c>
      <c r="G848">
        <v>47</v>
      </c>
      <c r="H848">
        <v>42</v>
      </c>
      <c r="I848">
        <v>40</v>
      </c>
      <c r="J848">
        <v>42</v>
      </c>
      <c r="K848">
        <v>47</v>
      </c>
      <c r="L848">
        <v>46</v>
      </c>
      <c r="M848">
        <v>41</v>
      </c>
      <c r="N848">
        <v>39</v>
      </c>
      <c r="O848" s="173">
        <f t="shared" si="199"/>
        <v>44</v>
      </c>
      <c r="P848" s="173">
        <f t="shared" si="200"/>
        <v>-14.5</v>
      </c>
      <c r="Q848" s="177">
        <f t="shared" si="201"/>
        <v>-0.24786324786324787</v>
      </c>
    </row>
    <row r="849" spans="1:17" x14ac:dyDescent="0.2">
      <c r="B849" t="s">
        <v>300</v>
      </c>
      <c r="C849">
        <v>40</v>
      </c>
      <c r="D849">
        <v>40</v>
      </c>
      <c r="E849">
        <v>40</v>
      </c>
      <c r="F849">
        <v>43</v>
      </c>
      <c r="G849">
        <v>37</v>
      </c>
      <c r="H849">
        <v>38</v>
      </c>
      <c r="I849">
        <v>37</v>
      </c>
      <c r="J849">
        <v>39</v>
      </c>
      <c r="K849">
        <v>41</v>
      </c>
      <c r="L849">
        <v>51</v>
      </c>
      <c r="M849">
        <v>50</v>
      </c>
      <c r="N849">
        <v>37</v>
      </c>
      <c r="O849" s="173">
        <f t="shared" si="199"/>
        <v>41.083333333333336</v>
      </c>
      <c r="P849" s="173">
        <f t="shared" si="200"/>
        <v>-2.9166666666666643</v>
      </c>
      <c r="Q849" s="177">
        <f t="shared" si="201"/>
        <v>-6.6287878787878729E-2</v>
      </c>
    </row>
    <row r="850" spans="1:17" x14ac:dyDescent="0.2">
      <c r="B850" t="s">
        <v>301</v>
      </c>
      <c r="C850">
        <v>39</v>
      </c>
      <c r="D850">
        <v>39</v>
      </c>
      <c r="E850">
        <v>44</v>
      </c>
      <c r="F850">
        <v>39</v>
      </c>
      <c r="G850">
        <v>42</v>
      </c>
      <c r="H850">
        <v>41</v>
      </c>
      <c r="I850">
        <v>40</v>
      </c>
      <c r="J850">
        <v>37</v>
      </c>
      <c r="K850">
        <v>36</v>
      </c>
      <c r="L850">
        <v>36</v>
      </c>
      <c r="M850">
        <v>40</v>
      </c>
      <c r="N850">
        <v>41</v>
      </c>
      <c r="O850" s="173">
        <f t="shared" si="199"/>
        <v>39.5</v>
      </c>
      <c r="P850" s="173">
        <f t="shared" si="200"/>
        <v>-1.5833333333333357</v>
      </c>
      <c r="Q850" s="177">
        <f t="shared" ref="Q850:Q855" si="202">SUM(P850/O849)</f>
        <v>-3.8539553752535552E-2</v>
      </c>
    </row>
    <row r="851" spans="1:17" x14ac:dyDescent="0.2">
      <c r="B851" t="s">
        <v>302</v>
      </c>
      <c r="C851">
        <v>32</v>
      </c>
      <c r="D851">
        <v>34</v>
      </c>
      <c r="E851">
        <v>31</v>
      </c>
      <c r="F851">
        <v>32</v>
      </c>
      <c r="G851">
        <v>33</v>
      </c>
      <c r="H851">
        <v>31</v>
      </c>
      <c r="I851">
        <v>31</v>
      </c>
      <c r="J851">
        <v>31</v>
      </c>
      <c r="K851">
        <v>34</v>
      </c>
      <c r="L851">
        <v>36</v>
      </c>
      <c r="M851">
        <v>40</v>
      </c>
      <c r="N851">
        <v>39</v>
      </c>
      <c r="O851" s="173">
        <f>SUM(C851:N851)/12</f>
        <v>33.666666666666664</v>
      </c>
      <c r="P851" s="173">
        <f>SUM(O851-O850)</f>
        <v>-5.8333333333333357</v>
      </c>
      <c r="Q851" s="177">
        <f t="shared" si="202"/>
        <v>-0.14767932489451482</v>
      </c>
    </row>
    <row r="852" spans="1:17" x14ac:dyDescent="0.2">
      <c r="B852" t="s">
        <v>347</v>
      </c>
      <c r="C852">
        <v>43</v>
      </c>
      <c r="D852">
        <v>43</v>
      </c>
      <c r="E852">
        <v>41</v>
      </c>
      <c r="F852">
        <v>0</v>
      </c>
      <c r="G852">
        <v>0</v>
      </c>
      <c r="H852">
        <v>0</v>
      </c>
      <c r="I852">
        <v>35</v>
      </c>
      <c r="J852">
        <v>35</v>
      </c>
      <c r="K852">
        <v>38</v>
      </c>
      <c r="L852">
        <v>36</v>
      </c>
      <c r="M852">
        <v>35</v>
      </c>
      <c r="N852">
        <v>32</v>
      </c>
      <c r="O852" s="173">
        <f>SUM(C852:N852)/9</f>
        <v>37.555555555555557</v>
      </c>
      <c r="P852" s="173">
        <f>SUM(O852-O851)</f>
        <v>3.8888888888888928</v>
      </c>
      <c r="Q852" s="177">
        <f t="shared" si="202"/>
        <v>0.11551155115511563</v>
      </c>
    </row>
    <row r="853" spans="1:17" x14ac:dyDescent="0.2">
      <c r="B853" t="s">
        <v>370</v>
      </c>
      <c r="C853">
        <v>32</v>
      </c>
      <c r="D853">
        <v>33</v>
      </c>
      <c r="E853">
        <v>46</v>
      </c>
      <c r="F853">
        <v>60</v>
      </c>
      <c r="G853">
        <v>63</v>
      </c>
      <c r="H853">
        <v>62</v>
      </c>
      <c r="I853">
        <v>63</v>
      </c>
      <c r="J853">
        <v>64</v>
      </c>
      <c r="K853">
        <v>61</v>
      </c>
      <c r="L853">
        <v>60</v>
      </c>
      <c r="M853">
        <v>67</v>
      </c>
      <c r="N853">
        <v>70</v>
      </c>
      <c r="O853" s="173">
        <f>SUM(C853:N853)/12</f>
        <v>56.75</v>
      </c>
      <c r="P853" s="173">
        <f>SUM(O853-O852)</f>
        <v>19.194444444444443</v>
      </c>
      <c r="Q853" s="177">
        <f t="shared" si="202"/>
        <v>0.51109467455621294</v>
      </c>
    </row>
    <row r="854" spans="1:17" x14ac:dyDescent="0.2">
      <c r="B854" t="s">
        <v>452</v>
      </c>
      <c r="C854">
        <v>68</v>
      </c>
      <c r="D854">
        <v>65</v>
      </c>
      <c r="E854">
        <v>62</v>
      </c>
      <c r="F854">
        <v>61</v>
      </c>
      <c r="G854">
        <v>65</v>
      </c>
      <c r="H854">
        <v>66</v>
      </c>
      <c r="I854">
        <v>68</v>
      </c>
      <c r="J854">
        <v>66</v>
      </c>
      <c r="K854">
        <v>70</v>
      </c>
      <c r="L854">
        <v>68</v>
      </c>
      <c r="M854">
        <v>65</v>
      </c>
      <c r="N854">
        <v>68</v>
      </c>
      <c r="O854" s="173">
        <f>SUM(C854:N854)/12</f>
        <v>66</v>
      </c>
      <c r="P854" s="173">
        <f>SUM(O854-O853)</f>
        <v>9.25</v>
      </c>
      <c r="Q854" s="177">
        <f t="shared" si="202"/>
        <v>0.16299559471365638</v>
      </c>
    </row>
    <row r="855" spans="1:17" x14ac:dyDescent="0.2">
      <c r="B855" t="s">
        <v>487</v>
      </c>
      <c r="C855">
        <v>70</v>
      </c>
      <c r="D855">
        <v>71</v>
      </c>
      <c r="E855">
        <v>74</v>
      </c>
      <c r="F855">
        <v>74</v>
      </c>
      <c r="G855">
        <v>74</v>
      </c>
      <c r="H855">
        <v>79</v>
      </c>
      <c r="I855">
        <v>77</v>
      </c>
      <c r="J855">
        <v>80</v>
      </c>
      <c r="K855">
        <v>70</v>
      </c>
      <c r="L855">
        <v>66</v>
      </c>
      <c r="M855">
        <v>65</v>
      </c>
      <c r="N855">
        <v>57</v>
      </c>
      <c r="O855" s="173">
        <f>SUM(C855:N855)/12</f>
        <v>71.416666666666671</v>
      </c>
      <c r="P855" s="173">
        <f>SUM(O855-O854)</f>
        <v>5.4166666666666714</v>
      </c>
      <c r="Q855" s="177">
        <f t="shared" si="202"/>
        <v>8.2070707070707141E-2</v>
      </c>
    </row>
    <row r="856" spans="1:17" x14ac:dyDescent="0.2">
      <c r="B856" t="s">
        <v>561</v>
      </c>
      <c r="C856">
        <v>55</v>
      </c>
      <c r="D856">
        <v>70</v>
      </c>
      <c r="O856" s="173"/>
      <c r="P856" s="173"/>
      <c r="Q856" s="177"/>
    </row>
    <row r="857" spans="1:17" ht="25.5" x14ac:dyDescent="0.2">
      <c r="A857" s="175" t="s">
        <v>454</v>
      </c>
      <c r="B857" s="641" t="s">
        <v>433</v>
      </c>
      <c r="C857" s="642" t="s">
        <v>434</v>
      </c>
      <c r="D857" s="642" t="s">
        <v>435</v>
      </c>
      <c r="E857" s="642" t="s">
        <v>436</v>
      </c>
      <c r="F857" s="642" t="s">
        <v>437</v>
      </c>
      <c r="G857" s="642" t="s">
        <v>438</v>
      </c>
      <c r="H857" s="642" t="s">
        <v>439</v>
      </c>
      <c r="I857" s="642" t="s">
        <v>440</v>
      </c>
      <c r="J857" s="642" t="s">
        <v>441</v>
      </c>
      <c r="K857" s="642" t="s">
        <v>442</v>
      </c>
      <c r="L857" s="642" t="s">
        <v>443</v>
      </c>
      <c r="M857" s="642" t="s">
        <v>444</v>
      </c>
      <c r="N857" s="642" t="s">
        <v>445</v>
      </c>
    </row>
    <row r="858" spans="1:17" x14ac:dyDescent="0.2">
      <c r="B858" t="s">
        <v>449</v>
      </c>
      <c r="C858">
        <v>305</v>
      </c>
      <c r="D858">
        <v>299</v>
      </c>
      <c r="E858">
        <v>289</v>
      </c>
      <c r="F858">
        <v>276</v>
      </c>
      <c r="G858">
        <v>277</v>
      </c>
      <c r="H858">
        <v>295</v>
      </c>
      <c r="I858">
        <v>283</v>
      </c>
      <c r="J858">
        <v>273</v>
      </c>
      <c r="K858">
        <v>259</v>
      </c>
      <c r="L858">
        <v>249</v>
      </c>
      <c r="M858">
        <v>241</v>
      </c>
      <c r="N858">
        <v>237</v>
      </c>
      <c r="O858" s="173">
        <f t="shared" ref="O858:O866" si="203">SUM(C858:N858)/12</f>
        <v>273.58333333333331</v>
      </c>
      <c r="P858" s="173"/>
    </row>
    <row r="859" spans="1:17" x14ac:dyDescent="0.2">
      <c r="B859" t="s">
        <v>450</v>
      </c>
      <c r="C859">
        <v>237</v>
      </c>
      <c r="D859">
        <v>230</v>
      </c>
      <c r="E859">
        <v>230</v>
      </c>
      <c r="F859">
        <v>230</v>
      </c>
      <c r="G859">
        <v>231</v>
      </c>
      <c r="H859">
        <v>215</v>
      </c>
      <c r="I859">
        <v>218</v>
      </c>
      <c r="J859">
        <v>212</v>
      </c>
      <c r="K859">
        <v>214</v>
      </c>
      <c r="L859">
        <v>217</v>
      </c>
      <c r="M859">
        <v>220</v>
      </c>
      <c r="N859">
        <v>218</v>
      </c>
      <c r="O859" s="173">
        <f t="shared" si="203"/>
        <v>222.66666666666666</v>
      </c>
      <c r="P859" s="173">
        <f t="shared" ref="P859:P866" si="204">SUM(O859-O858)</f>
        <v>-50.916666666666657</v>
      </c>
      <c r="Q859" s="177">
        <f t="shared" ref="Q859:Q865" si="205">SUM(P859/O858)</f>
        <v>-0.18611026500152297</v>
      </c>
    </row>
    <row r="860" spans="1:17" x14ac:dyDescent="0.2">
      <c r="B860" t="s">
        <v>451</v>
      </c>
      <c r="C860">
        <v>231</v>
      </c>
      <c r="D860">
        <v>230</v>
      </c>
      <c r="E860">
        <v>234</v>
      </c>
      <c r="F860">
        <v>229</v>
      </c>
      <c r="G860">
        <v>230</v>
      </c>
      <c r="H860">
        <v>240</v>
      </c>
      <c r="I860">
        <v>245</v>
      </c>
      <c r="J860">
        <v>250</v>
      </c>
      <c r="K860">
        <v>255</v>
      </c>
      <c r="L860">
        <v>260</v>
      </c>
      <c r="M860">
        <v>265</v>
      </c>
      <c r="N860">
        <v>270</v>
      </c>
      <c r="O860" s="173">
        <f t="shared" si="203"/>
        <v>244.91666666666666</v>
      </c>
      <c r="P860" s="173">
        <f t="shared" si="204"/>
        <v>22.25</v>
      </c>
      <c r="Q860" s="177">
        <f t="shared" si="205"/>
        <v>9.9925149700598806E-2</v>
      </c>
    </row>
    <row r="861" spans="1:17" x14ac:dyDescent="0.2">
      <c r="B861" t="s">
        <v>267</v>
      </c>
      <c r="C861">
        <v>280</v>
      </c>
      <c r="D861">
        <v>237</v>
      </c>
      <c r="E861">
        <v>253</v>
      </c>
      <c r="F861">
        <v>253</v>
      </c>
      <c r="G861">
        <v>253</v>
      </c>
      <c r="H861">
        <v>253</v>
      </c>
      <c r="I861">
        <v>253</v>
      </c>
      <c r="J861">
        <v>253</v>
      </c>
      <c r="K861">
        <v>253</v>
      </c>
      <c r="L861">
        <v>260</v>
      </c>
      <c r="M861">
        <v>265</v>
      </c>
      <c r="N861">
        <v>270</v>
      </c>
      <c r="O861" s="173">
        <f t="shared" si="203"/>
        <v>256.91666666666669</v>
      </c>
      <c r="P861" s="173">
        <f t="shared" si="204"/>
        <v>12.000000000000028</v>
      </c>
      <c r="Q861" s="177">
        <f t="shared" si="205"/>
        <v>4.899625723035058E-2</v>
      </c>
    </row>
    <row r="862" spans="1:17" x14ac:dyDescent="0.2">
      <c r="B862" t="s">
        <v>266</v>
      </c>
      <c r="C862">
        <v>288</v>
      </c>
      <c r="D862">
        <v>261</v>
      </c>
      <c r="E862">
        <v>258</v>
      </c>
      <c r="F862">
        <v>267</v>
      </c>
      <c r="G862">
        <v>259</v>
      </c>
      <c r="H862">
        <v>267</v>
      </c>
      <c r="I862">
        <v>272</v>
      </c>
      <c r="J862">
        <v>273</v>
      </c>
      <c r="K862">
        <v>300</v>
      </c>
      <c r="L862">
        <v>296</v>
      </c>
      <c r="M862">
        <v>319</v>
      </c>
      <c r="N862">
        <v>317</v>
      </c>
      <c r="O862" s="173">
        <f t="shared" si="203"/>
        <v>281.41666666666669</v>
      </c>
      <c r="P862" s="173">
        <f t="shared" si="204"/>
        <v>24.5</v>
      </c>
      <c r="Q862" s="177">
        <f t="shared" si="205"/>
        <v>9.5361660720077845E-2</v>
      </c>
    </row>
    <row r="863" spans="1:17" x14ac:dyDescent="0.2">
      <c r="B863" t="s">
        <v>287</v>
      </c>
      <c r="C863">
        <v>297</v>
      </c>
      <c r="D863">
        <v>306</v>
      </c>
      <c r="E863">
        <v>312</v>
      </c>
      <c r="F863">
        <v>311</v>
      </c>
      <c r="G863">
        <v>312</v>
      </c>
      <c r="H863">
        <v>252</v>
      </c>
      <c r="I863">
        <v>312</v>
      </c>
      <c r="J863">
        <v>314</v>
      </c>
      <c r="K863">
        <v>316</v>
      </c>
      <c r="L863">
        <v>235</v>
      </c>
      <c r="M863">
        <v>248</v>
      </c>
      <c r="N863">
        <v>323</v>
      </c>
      <c r="O863" s="173">
        <f t="shared" si="203"/>
        <v>294.83333333333331</v>
      </c>
      <c r="P863" s="173">
        <f t="shared" si="204"/>
        <v>13.416666666666629</v>
      </c>
      <c r="Q863" s="177">
        <f t="shared" si="205"/>
        <v>4.7675451584246235E-2</v>
      </c>
    </row>
    <row r="864" spans="1:17" x14ac:dyDescent="0.2">
      <c r="B864" t="s">
        <v>297</v>
      </c>
      <c r="C864">
        <v>322</v>
      </c>
      <c r="D864">
        <v>318</v>
      </c>
      <c r="E864">
        <v>302</v>
      </c>
      <c r="F864">
        <v>299</v>
      </c>
      <c r="G864">
        <v>301</v>
      </c>
      <c r="H864">
        <v>296</v>
      </c>
      <c r="I864">
        <v>286</v>
      </c>
      <c r="J864">
        <v>290</v>
      </c>
      <c r="K864">
        <v>283</v>
      </c>
      <c r="L864">
        <v>284</v>
      </c>
      <c r="M864">
        <v>289</v>
      </c>
      <c r="N864">
        <v>279</v>
      </c>
      <c r="O864" s="173">
        <f t="shared" si="203"/>
        <v>295.75</v>
      </c>
      <c r="P864" s="173">
        <f t="shared" si="204"/>
        <v>0.91666666666668561</v>
      </c>
      <c r="Q864" s="177">
        <f t="shared" si="205"/>
        <v>3.109101187111427E-3</v>
      </c>
    </row>
    <row r="865" spans="1:18" x14ac:dyDescent="0.2">
      <c r="B865" t="s">
        <v>300</v>
      </c>
      <c r="C865">
        <v>278</v>
      </c>
      <c r="D865">
        <v>270</v>
      </c>
      <c r="E865">
        <v>262</v>
      </c>
      <c r="F865">
        <v>253</v>
      </c>
      <c r="G865">
        <v>261</v>
      </c>
      <c r="H865">
        <v>259</v>
      </c>
      <c r="I865">
        <v>254</v>
      </c>
      <c r="J865">
        <v>255</v>
      </c>
      <c r="K865">
        <v>249</v>
      </c>
      <c r="L865">
        <v>267</v>
      </c>
      <c r="M865">
        <v>263</v>
      </c>
      <c r="N865">
        <v>250</v>
      </c>
      <c r="O865" s="173">
        <f t="shared" si="203"/>
        <v>260.08333333333331</v>
      </c>
      <c r="P865" s="173">
        <f t="shared" si="204"/>
        <v>-35.666666666666686</v>
      </c>
      <c r="Q865" s="177">
        <f t="shared" si="205"/>
        <v>-0.1205973513665822</v>
      </c>
    </row>
    <row r="866" spans="1:18" x14ac:dyDescent="0.2">
      <c r="B866" t="s">
        <v>301</v>
      </c>
      <c r="C866">
        <v>247</v>
      </c>
      <c r="D866">
        <v>250</v>
      </c>
      <c r="E866">
        <v>240</v>
      </c>
      <c r="F866">
        <v>238</v>
      </c>
      <c r="G866">
        <v>230</v>
      </c>
      <c r="H866">
        <v>228</v>
      </c>
      <c r="I866">
        <v>230</v>
      </c>
      <c r="J866">
        <v>228</v>
      </c>
      <c r="K866">
        <v>226</v>
      </c>
      <c r="L866">
        <v>224</v>
      </c>
      <c r="M866">
        <v>228</v>
      </c>
      <c r="N866">
        <v>233</v>
      </c>
      <c r="O866" s="173">
        <f t="shared" si="203"/>
        <v>233.5</v>
      </c>
      <c r="P866" s="173">
        <f t="shared" si="204"/>
        <v>-26.583333333333314</v>
      </c>
      <c r="Q866" s="177">
        <f t="shared" ref="Q866:Q871" si="206">SUM(P866/O865)</f>
        <v>-0.10221082986222359</v>
      </c>
    </row>
    <row r="867" spans="1:18" x14ac:dyDescent="0.2">
      <c r="B867" t="s">
        <v>302</v>
      </c>
      <c r="C867">
        <v>212</v>
      </c>
      <c r="D867">
        <v>216</v>
      </c>
      <c r="E867">
        <v>221</v>
      </c>
      <c r="F867">
        <v>228</v>
      </c>
      <c r="G867">
        <v>226</v>
      </c>
      <c r="H867">
        <v>230</v>
      </c>
      <c r="I867">
        <v>222</v>
      </c>
      <c r="J867">
        <v>225</v>
      </c>
      <c r="K867">
        <v>236</v>
      </c>
      <c r="L867">
        <v>242</v>
      </c>
      <c r="M867">
        <v>246</v>
      </c>
      <c r="N867">
        <v>252</v>
      </c>
      <c r="O867" s="173">
        <f>SUM(C867:N867)/12</f>
        <v>229.66666666666666</v>
      </c>
      <c r="P867" s="173">
        <f>SUM(O867-O866)</f>
        <v>-3.8333333333333428</v>
      </c>
      <c r="Q867" s="177">
        <f t="shared" si="206"/>
        <v>-1.6416845110635302E-2</v>
      </c>
    </row>
    <row r="868" spans="1:18" x14ac:dyDescent="0.2">
      <c r="B868" t="s">
        <v>347</v>
      </c>
      <c r="C868">
        <v>247</v>
      </c>
      <c r="D868">
        <v>248</v>
      </c>
      <c r="E868">
        <v>247</v>
      </c>
      <c r="F868">
        <v>247</v>
      </c>
      <c r="G868">
        <v>254</v>
      </c>
      <c r="H868">
        <v>258</v>
      </c>
      <c r="I868">
        <v>257</v>
      </c>
      <c r="J868">
        <v>255</v>
      </c>
      <c r="K868">
        <v>252</v>
      </c>
      <c r="L868">
        <v>251</v>
      </c>
      <c r="M868">
        <v>249</v>
      </c>
      <c r="N868">
        <v>259</v>
      </c>
      <c r="O868" s="173">
        <f>SUM(C868:N868)/12</f>
        <v>252</v>
      </c>
      <c r="P868" s="173">
        <f>SUM(O868-O867)</f>
        <v>22.333333333333343</v>
      </c>
      <c r="Q868" s="177">
        <f t="shared" si="206"/>
        <v>9.7242380261248235E-2</v>
      </c>
    </row>
    <row r="869" spans="1:18" x14ac:dyDescent="0.2">
      <c r="B869" t="s">
        <v>370</v>
      </c>
      <c r="C869">
        <v>264</v>
      </c>
      <c r="D869">
        <v>260</v>
      </c>
      <c r="E869">
        <v>262</v>
      </c>
      <c r="F869">
        <v>259</v>
      </c>
      <c r="G869">
        <v>247</v>
      </c>
      <c r="H869">
        <v>238</v>
      </c>
      <c r="I869">
        <v>224</v>
      </c>
      <c r="J869">
        <v>232</v>
      </c>
      <c r="K869">
        <v>239</v>
      </c>
      <c r="L869">
        <v>243</v>
      </c>
      <c r="M869">
        <v>246</v>
      </c>
      <c r="N869">
        <v>247</v>
      </c>
      <c r="O869" s="173">
        <f>SUM(C869:N869)/12</f>
        <v>246.75</v>
      </c>
      <c r="P869" s="173">
        <f>SUM(O869-O868)</f>
        <v>-5.25</v>
      </c>
      <c r="Q869" s="177">
        <f t="shared" si="206"/>
        <v>-2.0833333333333332E-2</v>
      </c>
      <c r="R869" t="s">
        <v>455</v>
      </c>
    </row>
    <row r="870" spans="1:18" x14ac:dyDescent="0.2">
      <c r="B870" t="s">
        <v>452</v>
      </c>
      <c r="C870">
        <v>257</v>
      </c>
      <c r="D870">
        <v>248</v>
      </c>
      <c r="E870">
        <v>250</v>
      </c>
      <c r="F870">
        <v>264</v>
      </c>
      <c r="G870">
        <v>265</v>
      </c>
      <c r="H870">
        <v>270</v>
      </c>
      <c r="I870">
        <v>279</v>
      </c>
      <c r="J870">
        <v>279</v>
      </c>
      <c r="K870">
        <v>266</v>
      </c>
      <c r="L870">
        <v>260</v>
      </c>
      <c r="M870">
        <v>260</v>
      </c>
      <c r="N870">
        <v>272</v>
      </c>
      <c r="O870" s="173">
        <f>SUM(C870:N870)/12</f>
        <v>264.16666666666669</v>
      </c>
      <c r="P870" s="173">
        <f>SUM(O870-O869)</f>
        <v>17.416666666666686</v>
      </c>
      <c r="Q870" s="177">
        <f t="shared" si="206"/>
        <v>7.0584262073623852E-2</v>
      </c>
    </row>
    <row r="871" spans="1:18" x14ac:dyDescent="0.2">
      <c r="B871" t="s">
        <v>487</v>
      </c>
      <c r="C871">
        <v>276</v>
      </c>
      <c r="D871">
        <v>277</v>
      </c>
      <c r="E871">
        <v>283</v>
      </c>
      <c r="F871">
        <v>298</v>
      </c>
      <c r="G871">
        <v>294</v>
      </c>
      <c r="H871">
        <v>295</v>
      </c>
      <c r="I871">
        <v>289</v>
      </c>
      <c r="J871">
        <v>284</v>
      </c>
      <c r="K871">
        <v>288</v>
      </c>
      <c r="L871">
        <v>290</v>
      </c>
      <c r="M871">
        <v>303</v>
      </c>
      <c r="N871">
        <v>300</v>
      </c>
      <c r="O871" s="173">
        <f>SUM(C871:N871)/12</f>
        <v>289.75</v>
      </c>
      <c r="P871" s="173">
        <f>SUM(O871-O870)</f>
        <v>25.583333333333314</v>
      </c>
      <c r="Q871" s="177">
        <f t="shared" si="206"/>
        <v>9.6845425867507814E-2</v>
      </c>
    </row>
    <row r="872" spans="1:18" x14ac:dyDescent="0.2">
      <c r="B872" t="s">
        <v>561</v>
      </c>
      <c r="C872">
        <v>305</v>
      </c>
      <c r="D872">
        <v>296</v>
      </c>
      <c r="O872" s="173"/>
      <c r="P872" s="173"/>
      <c r="Q872" s="177"/>
    </row>
    <row r="873" spans="1:18" x14ac:dyDescent="0.2">
      <c r="A873" s="178"/>
      <c r="B873" s="178"/>
      <c r="C873" s="178"/>
      <c r="D873" s="178"/>
      <c r="E873" s="178"/>
      <c r="F873" s="178"/>
      <c r="G873" s="178"/>
      <c r="H873" s="178"/>
      <c r="I873" s="178"/>
      <c r="J873" s="178"/>
      <c r="K873" s="178"/>
      <c r="L873" s="178"/>
      <c r="M873" s="178"/>
      <c r="N873" s="178"/>
      <c r="O873" s="178"/>
      <c r="P873" s="178"/>
      <c r="Q873" s="178"/>
    </row>
    <row r="874" spans="1:18" ht="25.5" x14ac:dyDescent="0.2">
      <c r="A874" s="175" t="s">
        <v>456</v>
      </c>
      <c r="B874" s="641" t="s">
        <v>433</v>
      </c>
      <c r="C874" s="642" t="s">
        <v>434</v>
      </c>
      <c r="D874" s="642" t="s">
        <v>435</v>
      </c>
      <c r="E874" s="642" t="s">
        <v>436</v>
      </c>
      <c r="F874" s="642" t="s">
        <v>437</v>
      </c>
      <c r="G874" s="642" t="s">
        <v>438</v>
      </c>
      <c r="H874" s="642" t="s">
        <v>439</v>
      </c>
      <c r="I874" s="642" t="s">
        <v>440</v>
      </c>
      <c r="J874" s="642" t="s">
        <v>441</v>
      </c>
      <c r="K874" s="642" t="s">
        <v>442</v>
      </c>
      <c r="L874" s="642" t="s">
        <v>443</v>
      </c>
      <c r="M874" s="642" t="s">
        <v>444</v>
      </c>
      <c r="N874" s="642" t="s">
        <v>445</v>
      </c>
    </row>
    <row r="875" spans="1:18" x14ac:dyDescent="0.2">
      <c r="B875" t="s">
        <v>449</v>
      </c>
      <c r="C875">
        <v>65</v>
      </c>
      <c r="D875">
        <v>62</v>
      </c>
      <c r="E875">
        <v>57</v>
      </c>
      <c r="F875">
        <v>56</v>
      </c>
      <c r="G875">
        <v>52</v>
      </c>
      <c r="H875">
        <v>51</v>
      </c>
      <c r="I875">
        <v>49</v>
      </c>
      <c r="J875">
        <v>55</v>
      </c>
      <c r="K875">
        <v>59</v>
      </c>
      <c r="L875">
        <v>55</v>
      </c>
      <c r="M875">
        <v>54</v>
      </c>
      <c r="N875">
        <v>66</v>
      </c>
      <c r="O875" s="173">
        <f t="shared" ref="O875:O883" si="207">SUM(C875:N875)/12</f>
        <v>56.75</v>
      </c>
      <c r="P875" s="173"/>
    </row>
    <row r="876" spans="1:18" x14ac:dyDescent="0.2">
      <c r="B876" t="s">
        <v>450</v>
      </c>
      <c r="C876">
        <v>67</v>
      </c>
      <c r="D876">
        <v>72</v>
      </c>
      <c r="E876">
        <v>72</v>
      </c>
      <c r="F876">
        <v>73</v>
      </c>
      <c r="G876">
        <v>71</v>
      </c>
      <c r="H876">
        <v>74</v>
      </c>
      <c r="I876">
        <v>74</v>
      </c>
      <c r="J876">
        <v>74</v>
      </c>
      <c r="K876">
        <v>70</v>
      </c>
      <c r="L876">
        <v>66</v>
      </c>
      <c r="M876">
        <v>62</v>
      </c>
      <c r="N876">
        <v>63</v>
      </c>
      <c r="O876" s="173">
        <f t="shared" si="207"/>
        <v>69.833333333333329</v>
      </c>
      <c r="P876" s="173">
        <f t="shared" ref="P876:P883" si="208">SUM(O876-O875)</f>
        <v>13.083333333333329</v>
      </c>
      <c r="Q876" s="177">
        <f t="shared" ref="Q876:Q882" si="209">SUM(P876/O875)</f>
        <v>0.23054331864904543</v>
      </c>
    </row>
    <row r="877" spans="1:18" x14ac:dyDescent="0.2">
      <c r="B877" t="s">
        <v>451</v>
      </c>
      <c r="C877">
        <v>68</v>
      </c>
      <c r="D877">
        <v>75</v>
      </c>
      <c r="E877">
        <v>74</v>
      </c>
      <c r="F877">
        <v>79</v>
      </c>
      <c r="G877">
        <v>75</v>
      </c>
      <c r="H877">
        <v>74</v>
      </c>
      <c r="I877">
        <v>64</v>
      </c>
      <c r="J877">
        <v>75</v>
      </c>
      <c r="K877">
        <v>76</v>
      </c>
      <c r="L877">
        <v>78</v>
      </c>
      <c r="M877">
        <v>79</v>
      </c>
      <c r="N877">
        <v>81</v>
      </c>
      <c r="O877" s="173">
        <f t="shared" si="207"/>
        <v>74.833333333333329</v>
      </c>
      <c r="P877" s="173">
        <f t="shared" si="208"/>
        <v>5</v>
      </c>
      <c r="Q877" s="177">
        <f t="shared" si="209"/>
        <v>7.1599045346062054E-2</v>
      </c>
    </row>
    <row r="878" spans="1:18" x14ac:dyDescent="0.2">
      <c r="B878" t="s">
        <v>267</v>
      </c>
      <c r="C878">
        <v>76</v>
      </c>
      <c r="D878">
        <v>79</v>
      </c>
      <c r="E878">
        <v>76</v>
      </c>
      <c r="F878">
        <v>74</v>
      </c>
      <c r="G878">
        <v>72</v>
      </c>
      <c r="H878">
        <v>70</v>
      </c>
      <c r="I878">
        <v>68</v>
      </c>
      <c r="J878">
        <v>59</v>
      </c>
      <c r="K878">
        <v>67</v>
      </c>
      <c r="L878">
        <v>66</v>
      </c>
      <c r="M878">
        <v>67</v>
      </c>
      <c r="N878">
        <v>64</v>
      </c>
      <c r="O878" s="173">
        <f t="shared" si="207"/>
        <v>69.833333333333329</v>
      </c>
      <c r="P878" s="173">
        <f t="shared" si="208"/>
        <v>-5</v>
      </c>
      <c r="Q878" s="177">
        <f t="shared" si="209"/>
        <v>-6.6815144766147E-2</v>
      </c>
    </row>
    <row r="879" spans="1:18" x14ac:dyDescent="0.2">
      <c r="B879" t="s">
        <v>266</v>
      </c>
      <c r="C879">
        <v>67</v>
      </c>
      <c r="D879">
        <v>57</v>
      </c>
      <c r="E879">
        <v>57</v>
      </c>
      <c r="F879">
        <v>58</v>
      </c>
      <c r="G879">
        <v>57</v>
      </c>
      <c r="H879">
        <v>60</v>
      </c>
      <c r="I879">
        <v>55</v>
      </c>
      <c r="J879">
        <v>55</v>
      </c>
      <c r="K879">
        <v>64</v>
      </c>
      <c r="L879">
        <v>61</v>
      </c>
      <c r="M879">
        <v>68</v>
      </c>
      <c r="N879">
        <v>67</v>
      </c>
      <c r="O879" s="173">
        <f t="shared" si="207"/>
        <v>60.5</v>
      </c>
      <c r="P879" s="173">
        <f t="shared" si="208"/>
        <v>-9.3333333333333286</v>
      </c>
      <c r="Q879" s="177">
        <f t="shared" si="209"/>
        <v>-0.13365155131264911</v>
      </c>
    </row>
    <row r="880" spans="1:18" x14ac:dyDescent="0.2">
      <c r="B880" t="s">
        <v>287</v>
      </c>
      <c r="C880">
        <v>71</v>
      </c>
      <c r="D880">
        <v>62</v>
      </c>
      <c r="E880">
        <v>61</v>
      </c>
      <c r="F880">
        <v>59</v>
      </c>
      <c r="G880">
        <v>54</v>
      </c>
      <c r="H880">
        <v>56</v>
      </c>
      <c r="I880">
        <v>56</v>
      </c>
      <c r="J880">
        <v>58</v>
      </c>
      <c r="K880">
        <v>60</v>
      </c>
      <c r="L880">
        <v>65</v>
      </c>
      <c r="M880">
        <v>72</v>
      </c>
      <c r="N880">
        <v>75</v>
      </c>
      <c r="O880" s="173">
        <f t="shared" si="207"/>
        <v>62.416666666666664</v>
      </c>
      <c r="P880" s="173">
        <f t="shared" si="208"/>
        <v>1.9166666666666643</v>
      </c>
      <c r="Q880" s="177">
        <f t="shared" si="209"/>
        <v>3.1680440771349822E-2</v>
      </c>
    </row>
    <row r="881" spans="1:17" x14ac:dyDescent="0.2">
      <c r="B881" t="s">
        <v>297</v>
      </c>
      <c r="C881">
        <v>76</v>
      </c>
      <c r="D881">
        <v>73</v>
      </c>
      <c r="E881">
        <v>67</v>
      </c>
      <c r="F881">
        <v>66</v>
      </c>
      <c r="G881">
        <v>66</v>
      </c>
      <c r="H881">
        <v>68</v>
      </c>
      <c r="I881">
        <v>69</v>
      </c>
      <c r="J881">
        <v>72</v>
      </c>
      <c r="K881">
        <v>69</v>
      </c>
      <c r="L881">
        <v>75</v>
      </c>
      <c r="M881">
        <v>73</v>
      </c>
      <c r="N881">
        <v>74</v>
      </c>
      <c r="O881" s="173">
        <f t="shared" si="207"/>
        <v>70.666666666666671</v>
      </c>
      <c r="P881" s="173">
        <f t="shared" si="208"/>
        <v>8.2500000000000071</v>
      </c>
      <c r="Q881" s="177">
        <f t="shared" si="209"/>
        <v>0.13217623497997341</v>
      </c>
    </row>
    <row r="882" spans="1:17" x14ac:dyDescent="0.2">
      <c r="B882" t="s">
        <v>300</v>
      </c>
      <c r="C882">
        <v>72</v>
      </c>
      <c r="D882">
        <v>72</v>
      </c>
      <c r="E882">
        <v>71</v>
      </c>
      <c r="F882">
        <v>73</v>
      </c>
      <c r="G882">
        <v>77</v>
      </c>
      <c r="H882">
        <v>76</v>
      </c>
      <c r="I882">
        <v>76</v>
      </c>
      <c r="J882">
        <v>78</v>
      </c>
      <c r="K882">
        <v>74</v>
      </c>
      <c r="L882">
        <v>88</v>
      </c>
      <c r="M882">
        <v>92</v>
      </c>
      <c r="N882">
        <v>76</v>
      </c>
      <c r="O882" s="173">
        <f t="shared" si="207"/>
        <v>77.083333333333329</v>
      </c>
      <c r="P882" s="173">
        <f t="shared" si="208"/>
        <v>6.4166666666666572</v>
      </c>
      <c r="Q882" s="177">
        <f t="shared" si="209"/>
        <v>9.0801886792452685E-2</v>
      </c>
    </row>
    <row r="883" spans="1:17" x14ac:dyDescent="0.2">
      <c r="B883" t="s">
        <v>301</v>
      </c>
      <c r="C883">
        <v>76</v>
      </c>
      <c r="D883">
        <v>79</v>
      </c>
      <c r="E883">
        <v>94</v>
      </c>
      <c r="F883">
        <v>75</v>
      </c>
      <c r="G883">
        <v>79</v>
      </c>
      <c r="H883">
        <v>77</v>
      </c>
      <c r="I883">
        <v>83</v>
      </c>
      <c r="J883">
        <v>83</v>
      </c>
      <c r="K883">
        <v>86</v>
      </c>
      <c r="L883">
        <v>85</v>
      </c>
      <c r="M883">
        <v>82</v>
      </c>
      <c r="N883">
        <v>89</v>
      </c>
      <c r="O883" s="173">
        <f t="shared" si="207"/>
        <v>82.333333333333329</v>
      </c>
      <c r="P883" s="173">
        <f t="shared" si="208"/>
        <v>5.25</v>
      </c>
      <c r="Q883" s="177">
        <f t="shared" ref="Q883:Q888" si="210">SUM(P883/O882)</f>
        <v>6.8108108108108106E-2</v>
      </c>
    </row>
    <row r="884" spans="1:17" x14ac:dyDescent="0.2">
      <c r="B884" t="s">
        <v>302</v>
      </c>
      <c r="C884">
        <v>92</v>
      </c>
      <c r="D884">
        <v>91</v>
      </c>
      <c r="E884">
        <v>95</v>
      </c>
      <c r="F884">
        <v>93</v>
      </c>
      <c r="G884">
        <v>96</v>
      </c>
      <c r="H884">
        <v>94</v>
      </c>
      <c r="I884">
        <v>91</v>
      </c>
      <c r="J884">
        <v>90</v>
      </c>
      <c r="K884">
        <v>91</v>
      </c>
      <c r="L884">
        <v>95</v>
      </c>
      <c r="M884">
        <v>96</v>
      </c>
      <c r="N884">
        <v>73</v>
      </c>
      <c r="O884" s="173">
        <f>SUM(C884:N884)/12</f>
        <v>91.416666666666671</v>
      </c>
      <c r="P884" s="173">
        <f>SUM(O884-O883)</f>
        <v>9.0833333333333428</v>
      </c>
      <c r="Q884" s="177">
        <f t="shared" si="210"/>
        <v>0.11032388663967624</v>
      </c>
    </row>
    <row r="885" spans="1:17" x14ac:dyDescent="0.2">
      <c r="B885" t="s">
        <v>347</v>
      </c>
      <c r="C885">
        <v>72</v>
      </c>
      <c r="D885">
        <v>72</v>
      </c>
      <c r="E885">
        <v>65</v>
      </c>
      <c r="F885">
        <v>62</v>
      </c>
      <c r="G885">
        <v>61</v>
      </c>
      <c r="H885">
        <v>65</v>
      </c>
      <c r="I885">
        <v>68</v>
      </c>
      <c r="J885">
        <v>70</v>
      </c>
      <c r="K885">
        <v>68</v>
      </c>
      <c r="L885">
        <v>70</v>
      </c>
      <c r="M885">
        <v>71</v>
      </c>
      <c r="N885">
        <v>73</v>
      </c>
      <c r="O885" s="173">
        <f>SUM(C885:N885)/12</f>
        <v>68.083333333333329</v>
      </c>
      <c r="P885" s="173">
        <f>SUM(O885-O884)</f>
        <v>-23.333333333333343</v>
      </c>
      <c r="Q885" s="177">
        <f t="shared" si="210"/>
        <v>-0.2552415679124887</v>
      </c>
    </row>
    <row r="886" spans="1:17" x14ac:dyDescent="0.2">
      <c r="B886" t="s">
        <v>370</v>
      </c>
      <c r="C886">
        <v>72</v>
      </c>
      <c r="D886">
        <v>70</v>
      </c>
      <c r="E886">
        <v>73</v>
      </c>
      <c r="F886">
        <v>77</v>
      </c>
      <c r="G886">
        <v>74</v>
      </c>
      <c r="H886">
        <v>74</v>
      </c>
      <c r="I886">
        <v>76</v>
      </c>
      <c r="J886">
        <v>75</v>
      </c>
      <c r="K886">
        <v>77</v>
      </c>
      <c r="L886">
        <v>82</v>
      </c>
      <c r="M886">
        <v>85</v>
      </c>
      <c r="N886">
        <v>88</v>
      </c>
      <c r="O886" s="173">
        <f>SUM(C886:N886)/12</f>
        <v>76.916666666666671</v>
      </c>
      <c r="P886" s="173">
        <f>SUM(O886-O885)</f>
        <v>8.8333333333333428</v>
      </c>
      <c r="Q886" s="177">
        <f t="shared" si="210"/>
        <v>0.1297429620563037</v>
      </c>
    </row>
    <row r="887" spans="1:17" x14ac:dyDescent="0.2">
      <c r="B887" t="s">
        <v>452</v>
      </c>
      <c r="C887">
        <v>88</v>
      </c>
      <c r="D887">
        <v>84</v>
      </c>
      <c r="E887">
        <v>81</v>
      </c>
      <c r="F887">
        <v>81</v>
      </c>
      <c r="G887">
        <v>79</v>
      </c>
      <c r="H887">
        <v>79</v>
      </c>
      <c r="I887">
        <v>77</v>
      </c>
      <c r="J887">
        <v>82</v>
      </c>
      <c r="K887">
        <v>80</v>
      </c>
      <c r="L887">
        <v>73</v>
      </c>
      <c r="M887">
        <v>76</v>
      </c>
      <c r="N887">
        <v>76</v>
      </c>
      <c r="O887" s="173">
        <f>SUM(C887:N887)/12</f>
        <v>79.666666666666671</v>
      </c>
      <c r="P887" s="173">
        <f>SUM(O887-O886)</f>
        <v>2.75</v>
      </c>
      <c r="Q887" s="177">
        <f t="shared" si="210"/>
        <v>3.5752979414951244E-2</v>
      </c>
    </row>
    <row r="888" spans="1:17" x14ac:dyDescent="0.2">
      <c r="B888" t="s">
        <v>487</v>
      </c>
      <c r="C888">
        <v>75</v>
      </c>
      <c r="D888">
        <v>77</v>
      </c>
      <c r="E888">
        <v>75</v>
      </c>
      <c r="F888">
        <v>75</v>
      </c>
      <c r="G888">
        <v>79</v>
      </c>
      <c r="H888">
        <v>74</v>
      </c>
      <c r="I888">
        <v>75</v>
      </c>
      <c r="J888">
        <v>77</v>
      </c>
      <c r="K888">
        <v>74</v>
      </c>
      <c r="L888">
        <v>70</v>
      </c>
      <c r="M888">
        <v>70</v>
      </c>
      <c r="N888">
        <v>72</v>
      </c>
      <c r="O888" s="173">
        <f>SUM(C888:N888)/12</f>
        <v>74.416666666666671</v>
      </c>
      <c r="P888" s="173">
        <f>SUM(O888-O887)</f>
        <v>-5.25</v>
      </c>
      <c r="Q888" s="177">
        <f t="shared" si="210"/>
        <v>-6.5899581589958151E-2</v>
      </c>
    </row>
    <row r="889" spans="1:17" x14ac:dyDescent="0.2">
      <c r="B889" t="s">
        <v>561</v>
      </c>
      <c r="C889">
        <v>74</v>
      </c>
      <c r="D889">
        <v>71</v>
      </c>
      <c r="O889" s="173"/>
      <c r="P889" s="173"/>
      <c r="Q889" s="177"/>
    </row>
    <row r="890" spans="1:17" ht="25.5" x14ac:dyDescent="0.2">
      <c r="A890" s="175" t="s">
        <v>457</v>
      </c>
      <c r="B890" s="641" t="s">
        <v>433</v>
      </c>
      <c r="C890" s="642" t="s">
        <v>434</v>
      </c>
      <c r="D890" s="642" t="s">
        <v>435</v>
      </c>
      <c r="E890" s="642" t="s">
        <v>436</v>
      </c>
      <c r="F890" s="642" t="s">
        <v>437</v>
      </c>
      <c r="G890" s="642" t="s">
        <v>438</v>
      </c>
      <c r="H890" s="642" t="s">
        <v>439</v>
      </c>
      <c r="I890" s="642" t="s">
        <v>440</v>
      </c>
      <c r="J890" s="642" t="s">
        <v>441</v>
      </c>
      <c r="K890" s="642" t="s">
        <v>442</v>
      </c>
      <c r="L890" s="642" t="s">
        <v>443</v>
      </c>
      <c r="M890" s="642" t="s">
        <v>444</v>
      </c>
      <c r="N890" s="642" t="s">
        <v>445</v>
      </c>
    </row>
    <row r="891" spans="1:17" x14ac:dyDescent="0.2">
      <c r="B891" t="s">
        <v>449</v>
      </c>
      <c r="C891">
        <v>683</v>
      </c>
      <c r="D891">
        <v>675</v>
      </c>
      <c r="E891">
        <v>696</v>
      </c>
      <c r="F891">
        <v>659</v>
      </c>
      <c r="G891">
        <v>661</v>
      </c>
      <c r="H891">
        <v>650</v>
      </c>
      <c r="I891">
        <v>666</v>
      </c>
      <c r="J891">
        <v>688</v>
      </c>
      <c r="K891">
        <v>667</v>
      </c>
      <c r="L891">
        <v>670</v>
      </c>
      <c r="M891">
        <v>639</v>
      </c>
      <c r="N891">
        <v>653</v>
      </c>
      <c r="O891" s="173">
        <f t="shared" ref="O891:O899" si="211">SUM(C891:N891)/12</f>
        <v>667.25</v>
      </c>
      <c r="P891" s="173"/>
    </row>
    <row r="892" spans="1:17" x14ac:dyDescent="0.2">
      <c r="B892" t="s">
        <v>450</v>
      </c>
      <c r="C892">
        <v>624</v>
      </c>
      <c r="D892">
        <v>643</v>
      </c>
      <c r="E892">
        <v>636</v>
      </c>
      <c r="F892">
        <v>670</v>
      </c>
      <c r="G892">
        <v>642</v>
      </c>
      <c r="H892">
        <v>655</v>
      </c>
      <c r="I892">
        <v>650</v>
      </c>
      <c r="J892">
        <v>660</v>
      </c>
      <c r="K892">
        <v>644</v>
      </c>
      <c r="L892">
        <v>672</v>
      </c>
      <c r="M892">
        <v>658</v>
      </c>
      <c r="N892">
        <v>659</v>
      </c>
      <c r="O892" s="173">
        <f t="shared" si="211"/>
        <v>651.08333333333337</v>
      </c>
      <c r="P892" s="173">
        <f t="shared" ref="P892:P899" si="212">SUM(O892-O891)</f>
        <v>-16.166666666666629</v>
      </c>
      <c r="Q892" s="177">
        <f t="shared" ref="Q892:Q898" si="213">SUM(P892/O891)</f>
        <v>-2.422879980017479E-2</v>
      </c>
    </row>
    <row r="893" spans="1:17" x14ac:dyDescent="0.2">
      <c r="B893" t="s">
        <v>451</v>
      </c>
      <c r="C893">
        <v>661</v>
      </c>
      <c r="D893">
        <v>673</v>
      </c>
      <c r="E893">
        <v>672</v>
      </c>
      <c r="F893">
        <v>632</v>
      </c>
      <c r="G893">
        <v>611</v>
      </c>
      <c r="H893">
        <v>620</v>
      </c>
      <c r="I893">
        <v>633</v>
      </c>
      <c r="J893">
        <v>653</v>
      </c>
      <c r="K893">
        <v>659</v>
      </c>
      <c r="L893">
        <v>665</v>
      </c>
      <c r="M893">
        <v>671</v>
      </c>
      <c r="N893">
        <v>677</v>
      </c>
      <c r="O893" s="173">
        <f t="shared" si="211"/>
        <v>652.25</v>
      </c>
      <c r="P893" s="173">
        <f t="shared" si="212"/>
        <v>1.1666666666666288</v>
      </c>
      <c r="Q893" s="177">
        <f t="shared" si="213"/>
        <v>1.7918853193395041E-3</v>
      </c>
    </row>
    <row r="894" spans="1:17" x14ac:dyDescent="0.2">
      <c r="B894" t="s">
        <v>267</v>
      </c>
      <c r="C894">
        <v>561</v>
      </c>
      <c r="D894">
        <v>574</v>
      </c>
      <c r="E894">
        <v>593</v>
      </c>
      <c r="F894">
        <v>589</v>
      </c>
      <c r="G894">
        <v>589</v>
      </c>
      <c r="H894">
        <v>589</v>
      </c>
      <c r="I894">
        <v>589</v>
      </c>
      <c r="J894">
        <v>589</v>
      </c>
      <c r="K894">
        <v>589</v>
      </c>
      <c r="L894">
        <v>589</v>
      </c>
      <c r="M894">
        <v>589</v>
      </c>
      <c r="N894">
        <v>623</v>
      </c>
      <c r="O894" s="173">
        <f t="shared" si="211"/>
        <v>588.58333333333337</v>
      </c>
      <c r="P894" s="173">
        <f t="shared" si="212"/>
        <v>-63.666666666666629</v>
      </c>
      <c r="Q894" s="177">
        <f t="shared" si="213"/>
        <v>-9.7610834291554816E-2</v>
      </c>
    </row>
    <row r="895" spans="1:17" x14ac:dyDescent="0.2">
      <c r="B895" t="s">
        <v>266</v>
      </c>
      <c r="C895">
        <v>585</v>
      </c>
      <c r="D895">
        <v>542</v>
      </c>
      <c r="E895">
        <v>535</v>
      </c>
      <c r="F895">
        <v>545</v>
      </c>
      <c r="G895">
        <v>547</v>
      </c>
      <c r="H895">
        <v>584</v>
      </c>
      <c r="I895">
        <v>608</v>
      </c>
      <c r="J895">
        <v>604</v>
      </c>
      <c r="K895">
        <v>592</v>
      </c>
      <c r="L895">
        <v>599</v>
      </c>
      <c r="M895">
        <v>628</v>
      </c>
      <c r="N895">
        <v>595</v>
      </c>
      <c r="O895" s="173">
        <f t="shared" si="211"/>
        <v>580.33333333333337</v>
      </c>
      <c r="P895" s="173">
        <f t="shared" si="212"/>
        <v>-8.25</v>
      </c>
      <c r="Q895" s="177">
        <f t="shared" si="213"/>
        <v>-1.4016706781820756E-2</v>
      </c>
    </row>
    <row r="896" spans="1:17" x14ac:dyDescent="0.2">
      <c r="B896" t="s">
        <v>287</v>
      </c>
      <c r="C896">
        <v>601</v>
      </c>
      <c r="D896">
        <v>626</v>
      </c>
      <c r="E896">
        <v>662</v>
      </c>
      <c r="F896">
        <v>646</v>
      </c>
      <c r="G896">
        <v>635</v>
      </c>
      <c r="H896">
        <v>634</v>
      </c>
      <c r="I896">
        <v>628</v>
      </c>
      <c r="J896">
        <v>656</v>
      </c>
      <c r="K896">
        <v>666</v>
      </c>
      <c r="L896">
        <v>657</v>
      </c>
      <c r="M896">
        <v>576</v>
      </c>
      <c r="N896">
        <v>650</v>
      </c>
      <c r="O896" s="173">
        <f t="shared" si="211"/>
        <v>636.41666666666663</v>
      </c>
      <c r="P896" s="173">
        <f t="shared" si="212"/>
        <v>56.083333333333258</v>
      </c>
      <c r="Q896" s="177">
        <f t="shared" si="213"/>
        <v>9.6639862148190564E-2</v>
      </c>
    </row>
    <row r="897" spans="1:17" x14ac:dyDescent="0.2">
      <c r="B897" t="s">
        <v>297</v>
      </c>
      <c r="C897">
        <v>648</v>
      </c>
      <c r="D897">
        <v>660</v>
      </c>
      <c r="E897">
        <v>652</v>
      </c>
      <c r="F897">
        <v>651</v>
      </c>
      <c r="G897">
        <v>646</v>
      </c>
      <c r="H897">
        <v>659</v>
      </c>
      <c r="I897">
        <v>646</v>
      </c>
      <c r="J897">
        <v>702</v>
      </c>
      <c r="K897">
        <v>699</v>
      </c>
      <c r="L897">
        <v>703</v>
      </c>
      <c r="M897">
        <v>711</v>
      </c>
      <c r="N897">
        <v>718</v>
      </c>
      <c r="O897" s="173">
        <f t="shared" si="211"/>
        <v>674.58333333333337</v>
      </c>
      <c r="P897" s="173">
        <f t="shared" si="212"/>
        <v>38.166666666666742</v>
      </c>
      <c r="Q897" s="177">
        <f t="shared" si="213"/>
        <v>5.99711928767842E-2</v>
      </c>
    </row>
    <row r="898" spans="1:17" x14ac:dyDescent="0.2">
      <c r="B898" t="s">
        <v>300</v>
      </c>
      <c r="C898">
        <v>731</v>
      </c>
      <c r="D898">
        <v>726</v>
      </c>
      <c r="E898">
        <v>720</v>
      </c>
      <c r="F898">
        <v>696</v>
      </c>
      <c r="G898">
        <v>731</v>
      </c>
      <c r="H898">
        <v>721</v>
      </c>
      <c r="I898">
        <v>713</v>
      </c>
      <c r="J898">
        <v>701</v>
      </c>
      <c r="K898">
        <v>691</v>
      </c>
      <c r="L898">
        <v>789</v>
      </c>
      <c r="M898">
        <v>764</v>
      </c>
      <c r="N898">
        <v>691</v>
      </c>
      <c r="O898" s="173">
        <f t="shared" si="211"/>
        <v>722.83333333333337</v>
      </c>
      <c r="P898" s="173">
        <f t="shared" si="212"/>
        <v>48.25</v>
      </c>
      <c r="Q898" s="177">
        <f t="shared" si="213"/>
        <v>7.1525633106856085E-2</v>
      </c>
    </row>
    <row r="899" spans="1:17" x14ac:dyDescent="0.2">
      <c r="B899" t="s">
        <v>301</v>
      </c>
      <c r="C899">
        <v>684</v>
      </c>
      <c r="D899">
        <v>691</v>
      </c>
      <c r="E899">
        <v>716</v>
      </c>
      <c r="F899">
        <v>676</v>
      </c>
      <c r="G899">
        <v>671</v>
      </c>
      <c r="H899">
        <v>676</v>
      </c>
      <c r="I899">
        <v>674</v>
      </c>
      <c r="J899">
        <v>667</v>
      </c>
      <c r="K899">
        <v>669</v>
      </c>
      <c r="L899">
        <v>676</v>
      </c>
      <c r="M899">
        <v>714</v>
      </c>
      <c r="N899">
        <v>718</v>
      </c>
      <c r="O899" s="173">
        <f t="shared" si="211"/>
        <v>686</v>
      </c>
      <c r="P899" s="173">
        <f t="shared" si="212"/>
        <v>-36.833333333333371</v>
      </c>
      <c r="Q899" s="177">
        <f t="shared" ref="Q899:Q904" si="214">SUM(P899/O898)</f>
        <v>-5.095688263776809E-2</v>
      </c>
    </row>
    <row r="900" spans="1:17" x14ac:dyDescent="0.2">
      <c r="B900" t="s">
        <v>302</v>
      </c>
      <c r="C900">
        <v>681</v>
      </c>
      <c r="D900">
        <v>689</v>
      </c>
      <c r="E900">
        <v>680</v>
      </c>
      <c r="F900">
        <v>661</v>
      </c>
      <c r="G900">
        <v>661</v>
      </c>
      <c r="H900">
        <v>678</v>
      </c>
      <c r="I900">
        <v>672</v>
      </c>
      <c r="J900">
        <v>687</v>
      </c>
      <c r="K900">
        <v>677</v>
      </c>
      <c r="L900">
        <v>674</v>
      </c>
      <c r="M900">
        <v>674</v>
      </c>
      <c r="N900">
        <v>691</v>
      </c>
      <c r="O900" s="173">
        <f>SUM(C900:N900)/12</f>
        <v>677.08333333333337</v>
      </c>
      <c r="P900" s="173">
        <f>SUM(O900-O899)</f>
        <v>-8.9166666666666288</v>
      </c>
      <c r="Q900" s="177">
        <f t="shared" si="214"/>
        <v>-1.2998056365403248E-2</v>
      </c>
    </row>
    <row r="901" spans="1:17" x14ac:dyDescent="0.2">
      <c r="B901" t="s">
        <v>347</v>
      </c>
      <c r="C901">
        <v>685</v>
      </c>
      <c r="D901">
        <v>703</v>
      </c>
      <c r="E901">
        <v>697</v>
      </c>
      <c r="F901">
        <v>714</v>
      </c>
      <c r="G901">
        <v>713</v>
      </c>
      <c r="H901">
        <v>746</v>
      </c>
      <c r="I901">
        <v>722</v>
      </c>
      <c r="J901">
        <v>724</v>
      </c>
      <c r="K901">
        <v>728</v>
      </c>
      <c r="L901">
        <v>696</v>
      </c>
      <c r="M901">
        <v>695</v>
      </c>
      <c r="N901">
        <v>676</v>
      </c>
      <c r="O901" s="173">
        <f>SUM(C901:N901)/12</f>
        <v>708.25</v>
      </c>
      <c r="P901" s="173">
        <f>SUM(O901-O900)</f>
        <v>31.166666666666629</v>
      </c>
      <c r="Q901" s="177">
        <f t="shared" si="214"/>
        <v>4.6030769230769174E-2</v>
      </c>
    </row>
    <row r="902" spans="1:17" x14ac:dyDescent="0.2">
      <c r="B902" t="s">
        <v>370</v>
      </c>
      <c r="C902">
        <v>691</v>
      </c>
      <c r="D902">
        <v>666</v>
      </c>
      <c r="E902">
        <v>624</v>
      </c>
      <c r="F902">
        <v>670</v>
      </c>
      <c r="G902">
        <v>672</v>
      </c>
      <c r="H902">
        <v>675</v>
      </c>
      <c r="I902">
        <v>651</v>
      </c>
      <c r="J902">
        <v>642</v>
      </c>
      <c r="K902">
        <v>588</v>
      </c>
      <c r="L902">
        <v>663</v>
      </c>
      <c r="M902">
        <v>660</v>
      </c>
      <c r="N902">
        <v>646</v>
      </c>
      <c r="O902" s="173">
        <f>SUM(C902:N902)/12</f>
        <v>654</v>
      </c>
      <c r="P902" s="173">
        <f>SUM(O902-O901)</f>
        <v>-54.25</v>
      </c>
      <c r="Q902" s="177">
        <f t="shared" si="214"/>
        <v>-7.6597246734909988E-2</v>
      </c>
    </row>
    <row r="903" spans="1:17" x14ac:dyDescent="0.2">
      <c r="B903" t="s">
        <v>452</v>
      </c>
      <c r="C903">
        <v>652</v>
      </c>
      <c r="D903">
        <v>655</v>
      </c>
      <c r="E903">
        <v>667</v>
      </c>
      <c r="F903">
        <v>658</v>
      </c>
      <c r="G903">
        <v>671</v>
      </c>
      <c r="H903">
        <v>681</v>
      </c>
      <c r="I903">
        <v>677</v>
      </c>
      <c r="J903">
        <v>673</v>
      </c>
      <c r="K903">
        <v>663</v>
      </c>
      <c r="L903">
        <v>656</v>
      </c>
      <c r="M903">
        <v>662</v>
      </c>
      <c r="N903">
        <v>679</v>
      </c>
      <c r="O903" s="173">
        <f>SUM(C903:N903)/12</f>
        <v>666.16666666666663</v>
      </c>
      <c r="P903" s="173">
        <f>SUM(O903-O902)</f>
        <v>12.166666666666629</v>
      </c>
      <c r="Q903" s="177">
        <f t="shared" si="214"/>
        <v>1.8603465851172216E-2</v>
      </c>
    </row>
    <row r="904" spans="1:17" x14ac:dyDescent="0.2">
      <c r="B904" t="s">
        <v>487</v>
      </c>
      <c r="C904">
        <v>674</v>
      </c>
      <c r="D904">
        <v>675</v>
      </c>
      <c r="E904">
        <v>693</v>
      </c>
      <c r="F904">
        <v>708</v>
      </c>
      <c r="G904">
        <v>741</v>
      </c>
      <c r="H904">
        <v>687</v>
      </c>
      <c r="I904">
        <v>729</v>
      </c>
      <c r="J904">
        <v>690</v>
      </c>
      <c r="K904">
        <v>701</v>
      </c>
      <c r="L904">
        <v>693</v>
      </c>
      <c r="M904">
        <v>738</v>
      </c>
      <c r="N904">
        <v>729</v>
      </c>
      <c r="O904" s="173">
        <f>SUM(C904:N904)/12</f>
        <v>704.83333333333337</v>
      </c>
      <c r="P904" s="173">
        <f>SUM(O904-O903)</f>
        <v>38.666666666666742</v>
      </c>
      <c r="Q904" s="177">
        <f t="shared" si="214"/>
        <v>5.804353264948723E-2</v>
      </c>
    </row>
    <row r="905" spans="1:17" x14ac:dyDescent="0.2">
      <c r="B905" t="s">
        <v>561</v>
      </c>
      <c r="C905">
        <v>722</v>
      </c>
      <c r="D905">
        <v>713</v>
      </c>
      <c r="O905" s="173"/>
      <c r="P905" s="173"/>
      <c r="Q905" s="177"/>
    </row>
    <row r="906" spans="1:17" ht="25.5" x14ac:dyDescent="0.2">
      <c r="A906" s="175" t="s">
        <v>458</v>
      </c>
      <c r="B906" s="641" t="s">
        <v>433</v>
      </c>
      <c r="C906" s="642" t="s">
        <v>434</v>
      </c>
      <c r="D906" s="642" t="s">
        <v>435</v>
      </c>
      <c r="E906" s="642" t="s">
        <v>436</v>
      </c>
      <c r="F906" s="642" t="s">
        <v>437</v>
      </c>
      <c r="G906" s="642" t="s">
        <v>438</v>
      </c>
      <c r="H906" s="642" t="s">
        <v>439</v>
      </c>
      <c r="I906" s="642" t="s">
        <v>440</v>
      </c>
      <c r="J906" s="642" t="s">
        <v>441</v>
      </c>
      <c r="K906" s="642" t="s">
        <v>442</v>
      </c>
      <c r="L906" s="642" t="s">
        <v>443</v>
      </c>
      <c r="M906" s="642" t="s">
        <v>444</v>
      </c>
      <c r="N906" s="642" t="s">
        <v>445</v>
      </c>
    </row>
    <row r="907" spans="1:17" x14ac:dyDescent="0.2">
      <c r="B907" t="s">
        <v>449</v>
      </c>
      <c r="C907">
        <v>227</v>
      </c>
      <c r="D907">
        <v>238</v>
      </c>
      <c r="E907">
        <v>241</v>
      </c>
      <c r="F907">
        <v>237</v>
      </c>
      <c r="G907">
        <v>237</v>
      </c>
      <c r="H907">
        <v>245</v>
      </c>
      <c r="I907">
        <v>239</v>
      </c>
      <c r="J907">
        <v>232</v>
      </c>
      <c r="K907">
        <v>228</v>
      </c>
      <c r="L907">
        <v>226</v>
      </c>
      <c r="M907">
        <v>226</v>
      </c>
      <c r="N907">
        <v>238</v>
      </c>
      <c r="O907" s="173">
        <f t="shared" ref="O907:O915" si="215">SUM(C907:N907)/12</f>
        <v>234.5</v>
      </c>
      <c r="P907" s="173"/>
    </row>
    <row r="908" spans="1:17" x14ac:dyDescent="0.2">
      <c r="B908" t="s">
        <v>450</v>
      </c>
      <c r="C908">
        <v>227</v>
      </c>
      <c r="D908">
        <v>234</v>
      </c>
      <c r="E908">
        <v>235</v>
      </c>
      <c r="F908">
        <v>220</v>
      </c>
      <c r="G908">
        <v>231</v>
      </c>
      <c r="H908">
        <v>222</v>
      </c>
      <c r="I908">
        <v>209</v>
      </c>
      <c r="J908">
        <v>216</v>
      </c>
      <c r="K908">
        <v>219</v>
      </c>
      <c r="L908">
        <v>212</v>
      </c>
      <c r="M908">
        <v>211</v>
      </c>
      <c r="N908">
        <v>211</v>
      </c>
      <c r="O908" s="173">
        <f t="shared" si="215"/>
        <v>220.58333333333334</v>
      </c>
      <c r="P908" s="173">
        <f t="shared" ref="P908:P915" si="216">SUM(O908-O907)</f>
        <v>-13.916666666666657</v>
      </c>
      <c r="Q908" s="177">
        <f t="shared" ref="Q908:Q914" si="217">SUM(P908/O907)</f>
        <v>-5.9346126510305575E-2</v>
      </c>
    </row>
    <row r="909" spans="1:17" x14ac:dyDescent="0.2">
      <c r="B909" t="s">
        <v>451</v>
      </c>
      <c r="C909">
        <v>210</v>
      </c>
      <c r="D909">
        <v>212</v>
      </c>
      <c r="E909">
        <v>205</v>
      </c>
      <c r="F909">
        <v>205</v>
      </c>
      <c r="G909">
        <v>220</v>
      </c>
      <c r="H909">
        <v>221</v>
      </c>
      <c r="I909">
        <v>223</v>
      </c>
      <c r="J909">
        <v>227</v>
      </c>
      <c r="K909">
        <v>230</v>
      </c>
      <c r="L909">
        <v>204</v>
      </c>
      <c r="M909">
        <v>178</v>
      </c>
      <c r="N909">
        <v>152</v>
      </c>
      <c r="O909" s="173">
        <f t="shared" si="215"/>
        <v>207.25</v>
      </c>
      <c r="P909" s="173">
        <f t="shared" si="216"/>
        <v>-13.333333333333343</v>
      </c>
      <c r="Q909" s="177">
        <f t="shared" si="217"/>
        <v>-6.0445787684170797E-2</v>
      </c>
    </row>
    <row r="910" spans="1:17" x14ac:dyDescent="0.2">
      <c r="B910" t="s">
        <v>267</v>
      </c>
      <c r="C910">
        <v>257</v>
      </c>
      <c r="D910">
        <v>269</v>
      </c>
      <c r="E910">
        <v>265</v>
      </c>
      <c r="F910">
        <v>244</v>
      </c>
      <c r="G910">
        <v>244</v>
      </c>
      <c r="H910">
        <v>244</v>
      </c>
      <c r="I910">
        <v>244</v>
      </c>
      <c r="J910">
        <v>244</v>
      </c>
      <c r="K910">
        <v>244</v>
      </c>
      <c r="L910">
        <v>244</v>
      </c>
      <c r="M910">
        <v>244</v>
      </c>
      <c r="N910">
        <v>244</v>
      </c>
      <c r="O910" s="173">
        <f t="shared" si="215"/>
        <v>248.91666666666666</v>
      </c>
      <c r="P910" s="173">
        <f t="shared" si="216"/>
        <v>41.666666666666657</v>
      </c>
      <c r="Q910" s="177">
        <f t="shared" si="217"/>
        <v>0.20104543626859667</v>
      </c>
    </row>
    <row r="911" spans="1:17" x14ac:dyDescent="0.2">
      <c r="B911" t="s">
        <v>266</v>
      </c>
      <c r="C911">
        <v>239</v>
      </c>
      <c r="D911">
        <v>224</v>
      </c>
      <c r="E911">
        <v>226</v>
      </c>
      <c r="F911">
        <v>219</v>
      </c>
      <c r="G911">
        <v>227</v>
      </c>
      <c r="H911">
        <v>220</v>
      </c>
      <c r="I911">
        <v>214</v>
      </c>
      <c r="J911">
        <v>214</v>
      </c>
      <c r="K911">
        <v>205</v>
      </c>
      <c r="L911">
        <v>216</v>
      </c>
      <c r="M911">
        <v>210</v>
      </c>
      <c r="N911">
        <v>213</v>
      </c>
      <c r="O911" s="173">
        <f t="shared" si="215"/>
        <v>218.91666666666666</v>
      </c>
      <c r="P911" s="173">
        <f t="shared" si="216"/>
        <v>-30</v>
      </c>
      <c r="Q911" s="177">
        <f t="shared" si="217"/>
        <v>-0.12052226314027453</v>
      </c>
    </row>
    <row r="912" spans="1:17" x14ac:dyDescent="0.2">
      <c r="B912" t="s">
        <v>287</v>
      </c>
      <c r="C912">
        <v>214</v>
      </c>
      <c r="D912">
        <v>211</v>
      </c>
      <c r="E912">
        <v>207</v>
      </c>
      <c r="F912">
        <v>229</v>
      </c>
      <c r="G912">
        <v>243</v>
      </c>
      <c r="H912">
        <v>240</v>
      </c>
      <c r="I912">
        <v>243</v>
      </c>
      <c r="J912">
        <v>245</v>
      </c>
      <c r="K912">
        <v>245</v>
      </c>
      <c r="L912">
        <v>259</v>
      </c>
      <c r="M912">
        <v>261</v>
      </c>
      <c r="N912">
        <v>263</v>
      </c>
      <c r="O912" s="173">
        <f t="shared" si="215"/>
        <v>238.33333333333334</v>
      </c>
      <c r="P912" s="173">
        <f t="shared" si="216"/>
        <v>19.416666666666686</v>
      </c>
      <c r="Q912" s="177">
        <f t="shared" si="217"/>
        <v>8.8694328130947936E-2</v>
      </c>
    </row>
    <row r="913" spans="1:17" x14ac:dyDescent="0.2">
      <c r="B913" t="s">
        <v>297</v>
      </c>
      <c r="C913">
        <v>264</v>
      </c>
      <c r="D913">
        <v>263</v>
      </c>
      <c r="E913">
        <v>264</v>
      </c>
      <c r="F913">
        <v>259</v>
      </c>
      <c r="G913">
        <v>262</v>
      </c>
      <c r="H913">
        <v>259</v>
      </c>
      <c r="I913">
        <v>244</v>
      </c>
      <c r="J913">
        <v>246</v>
      </c>
      <c r="K913">
        <v>253</v>
      </c>
      <c r="L913">
        <v>249</v>
      </c>
      <c r="M913">
        <v>248</v>
      </c>
      <c r="N913">
        <v>256</v>
      </c>
      <c r="O913" s="173">
        <f t="shared" si="215"/>
        <v>255.58333333333334</v>
      </c>
      <c r="P913" s="173">
        <f t="shared" si="216"/>
        <v>17.25</v>
      </c>
      <c r="Q913" s="177">
        <f t="shared" si="217"/>
        <v>7.237762237762238E-2</v>
      </c>
    </row>
    <row r="914" spans="1:17" x14ac:dyDescent="0.2">
      <c r="B914" t="s">
        <v>300</v>
      </c>
      <c r="C914">
        <v>259</v>
      </c>
      <c r="D914">
        <v>269</v>
      </c>
      <c r="E914">
        <v>262</v>
      </c>
      <c r="F914">
        <v>281</v>
      </c>
      <c r="G914">
        <v>292</v>
      </c>
      <c r="H914">
        <v>287</v>
      </c>
      <c r="I914">
        <v>285</v>
      </c>
      <c r="J914">
        <v>271</v>
      </c>
      <c r="K914">
        <v>263</v>
      </c>
      <c r="L914">
        <v>304</v>
      </c>
      <c r="M914">
        <v>301</v>
      </c>
      <c r="N914">
        <v>256</v>
      </c>
      <c r="O914" s="173">
        <f t="shared" si="215"/>
        <v>277.5</v>
      </c>
      <c r="P914" s="173">
        <f t="shared" si="216"/>
        <v>21.916666666666657</v>
      </c>
      <c r="Q914" s="177">
        <f t="shared" si="217"/>
        <v>8.5751548744701617E-2</v>
      </c>
    </row>
    <row r="915" spans="1:17" x14ac:dyDescent="0.2">
      <c r="B915" t="s">
        <v>301</v>
      </c>
      <c r="C915">
        <v>263</v>
      </c>
      <c r="D915">
        <v>269</v>
      </c>
      <c r="E915">
        <v>260</v>
      </c>
      <c r="F915">
        <v>254</v>
      </c>
      <c r="G915">
        <v>247</v>
      </c>
      <c r="H915">
        <v>251</v>
      </c>
      <c r="I915">
        <v>244</v>
      </c>
      <c r="J915">
        <v>235</v>
      </c>
      <c r="K915">
        <v>233</v>
      </c>
      <c r="L915">
        <v>251</v>
      </c>
      <c r="M915">
        <v>278</v>
      </c>
      <c r="N915">
        <v>279</v>
      </c>
      <c r="O915" s="173">
        <f t="shared" si="215"/>
        <v>255.33333333333334</v>
      </c>
      <c r="P915" s="173">
        <f t="shared" si="216"/>
        <v>-22.166666666666657</v>
      </c>
      <c r="Q915" s="177">
        <f t="shared" ref="Q915:Q920" si="218">SUM(P915/O914)</f>
        <v>-7.987987987987985E-2</v>
      </c>
    </row>
    <row r="916" spans="1:17" x14ac:dyDescent="0.2">
      <c r="B916" t="s">
        <v>302</v>
      </c>
      <c r="C916">
        <v>271</v>
      </c>
      <c r="D916">
        <v>264</v>
      </c>
      <c r="E916">
        <v>264</v>
      </c>
      <c r="F916">
        <v>265</v>
      </c>
      <c r="G916">
        <v>260</v>
      </c>
      <c r="H916">
        <v>261</v>
      </c>
      <c r="I916">
        <v>266</v>
      </c>
      <c r="J916">
        <v>257</v>
      </c>
      <c r="K916">
        <v>261</v>
      </c>
      <c r="L916">
        <v>270</v>
      </c>
      <c r="M916">
        <v>273</v>
      </c>
      <c r="N916">
        <v>267</v>
      </c>
      <c r="O916" s="173">
        <f>SUM(C916:N916)/12</f>
        <v>264.91666666666669</v>
      </c>
      <c r="P916" s="173">
        <f>SUM(O916-O915)</f>
        <v>9.5833333333333428</v>
      </c>
      <c r="Q916" s="177">
        <f t="shared" si="218"/>
        <v>3.7532637075718051E-2</v>
      </c>
    </row>
    <row r="917" spans="1:17" x14ac:dyDescent="0.2">
      <c r="B917" t="s">
        <v>347</v>
      </c>
      <c r="C917">
        <v>267</v>
      </c>
      <c r="D917">
        <v>266</v>
      </c>
      <c r="E917">
        <v>268</v>
      </c>
      <c r="F917">
        <v>273</v>
      </c>
      <c r="G917">
        <v>266</v>
      </c>
      <c r="H917">
        <v>255</v>
      </c>
      <c r="I917">
        <v>256</v>
      </c>
      <c r="J917">
        <v>248</v>
      </c>
      <c r="K917">
        <v>253</v>
      </c>
      <c r="L917">
        <v>255</v>
      </c>
      <c r="M917">
        <v>251</v>
      </c>
      <c r="N917">
        <v>255</v>
      </c>
      <c r="O917" s="173">
        <f>SUM(C917:N917)/12</f>
        <v>259.41666666666669</v>
      </c>
      <c r="P917" s="173">
        <f>SUM(O917-O916)</f>
        <v>-5.5</v>
      </c>
      <c r="Q917" s="177">
        <f t="shared" si="218"/>
        <v>-2.0761245674740483E-2</v>
      </c>
    </row>
    <row r="918" spans="1:17" x14ac:dyDescent="0.2">
      <c r="B918" t="s">
        <v>370</v>
      </c>
      <c r="C918">
        <v>260</v>
      </c>
      <c r="D918">
        <v>250</v>
      </c>
      <c r="E918">
        <v>251</v>
      </c>
      <c r="F918">
        <v>257</v>
      </c>
      <c r="G918">
        <v>258</v>
      </c>
      <c r="H918">
        <v>252</v>
      </c>
      <c r="I918">
        <v>247</v>
      </c>
      <c r="J918">
        <v>244</v>
      </c>
      <c r="K918">
        <v>299</v>
      </c>
      <c r="L918">
        <v>242</v>
      </c>
      <c r="M918">
        <v>246</v>
      </c>
      <c r="N918">
        <v>247</v>
      </c>
      <c r="O918" s="173">
        <f>SUM(C918:N918)/12</f>
        <v>254.41666666666666</v>
      </c>
      <c r="P918" s="173">
        <f>SUM(O918-O917)</f>
        <v>-5.0000000000000284</v>
      </c>
      <c r="Q918" s="177">
        <f t="shared" si="218"/>
        <v>-1.9274012206874507E-2</v>
      </c>
    </row>
    <row r="919" spans="1:17" x14ac:dyDescent="0.2">
      <c r="B919" t="s">
        <v>452</v>
      </c>
      <c r="C919">
        <v>247</v>
      </c>
      <c r="D919">
        <v>250</v>
      </c>
      <c r="E919">
        <v>259</v>
      </c>
      <c r="F919">
        <v>259</v>
      </c>
      <c r="G919">
        <v>260</v>
      </c>
      <c r="H919">
        <v>269</v>
      </c>
      <c r="I919">
        <v>253</v>
      </c>
      <c r="J919">
        <v>246</v>
      </c>
      <c r="K919">
        <v>259</v>
      </c>
      <c r="L919">
        <v>253</v>
      </c>
      <c r="M919">
        <v>236</v>
      </c>
      <c r="N919">
        <v>227</v>
      </c>
      <c r="O919" s="173">
        <f>SUM(C919:N919)/12</f>
        <v>251.5</v>
      </c>
      <c r="P919" s="173">
        <f>SUM(O919-O918)</f>
        <v>-2.9166666666666572</v>
      </c>
      <c r="Q919" s="177">
        <f t="shared" si="218"/>
        <v>-1.1464133639043526E-2</v>
      </c>
    </row>
    <row r="920" spans="1:17" x14ac:dyDescent="0.2">
      <c r="B920" t="s">
        <v>487</v>
      </c>
      <c r="C920">
        <v>230</v>
      </c>
      <c r="D920">
        <v>228</v>
      </c>
      <c r="E920">
        <v>245</v>
      </c>
      <c r="F920">
        <v>241</v>
      </c>
      <c r="G920">
        <v>241</v>
      </c>
      <c r="H920">
        <v>233</v>
      </c>
      <c r="I920">
        <v>245</v>
      </c>
      <c r="J920">
        <v>265</v>
      </c>
      <c r="K920">
        <v>258</v>
      </c>
      <c r="L920">
        <v>261</v>
      </c>
      <c r="M920">
        <v>241</v>
      </c>
      <c r="N920">
        <v>231</v>
      </c>
      <c r="O920" s="173">
        <f>SUM(C920:N920)/12</f>
        <v>243.25</v>
      </c>
      <c r="P920" s="173">
        <f>SUM(O920-O919)</f>
        <v>-8.25</v>
      </c>
      <c r="Q920" s="177">
        <f t="shared" si="218"/>
        <v>-3.2803180914512925E-2</v>
      </c>
    </row>
    <row r="921" spans="1:17" x14ac:dyDescent="0.2">
      <c r="B921" t="s">
        <v>561</v>
      </c>
      <c r="C921">
        <v>265</v>
      </c>
      <c r="D921">
        <v>253</v>
      </c>
      <c r="O921" s="173"/>
      <c r="P921" s="173"/>
      <c r="Q921" s="177"/>
    </row>
    <row r="922" spans="1:17" x14ac:dyDescent="0.2">
      <c r="A922" s="178"/>
      <c r="B922" s="178"/>
      <c r="C922" s="178"/>
      <c r="D922" s="178"/>
      <c r="E922" s="178"/>
      <c r="F922" s="178"/>
      <c r="G922" s="178"/>
      <c r="H922" s="178"/>
      <c r="I922" s="178"/>
      <c r="J922" s="178"/>
      <c r="K922" s="178"/>
      <c r="L922" s="178"/>
      <c r="M922" s="178"/>
      <c r="N922" s="178"/>
      <c r="O922" s="178"/>
      <c r="P922" s="178"/>
      <c r="Q922" s="178"/>
    </row>
    <row r="923" spans="1:17" ht="25.5" x14ac:dyDescent="0.2">
      <c r="A923" s="175" t="s">
        <v>459</v>
      </c>
      <c r="B923" s="641" t="s">
        <v>433</v>
      </c>
      <c r="C923" s="642" t="s">
        <v>434</v>
      </c>
      <c r="D923" s="642" t="s">
        <v>435</v>
      </c>
      <c r="E923" s="642" t="s">
        <v>436</v>
      </c>
      <c r="F923" s="642" t="s">
        <v>437</v>
      </c>
      <c r="G923" s="642" t="s">
        <v>438</v>
      </c>
      <c r="H923" s="642" t="s">
        <v>439</v>
      </c>
      <c r="I923" s="642" t="s">
        <v>440</v>
      </c>
      <c r="J923" s="642" t="s">
        <v>441</v>
      </c>
      <c r="K923" s="642" t="s">
        <v>442</v>
      </c>
      <c r="L923" s="642" t="s">
        <v>443</v>
      </c>
      <c r="M923" s="642" t="s">
        <v>444</v>
      </c>
      <c r="N923" s="642" t="s">
        <v>445</v>
      </c>
    </row>
    <row r="924" spans="1:17" x14ac:dyDescent="0.2">
      <c r="B924" t="s">
        <v>449</v>
      </c>
      <c r="C924">
        <v>204</v>
      </c>
      <c r="D924">
        <v>210</v>
      </c>
      <c r="E924">
        <v>215</v>
      </c>
      <c r="F924">
        <v>213</v>
      </c>
      <c r="G924">
        <v>212</v>
      </c>
      <c r="H924">
        <v>207</v>
      </c>
      <c r="I924">
        <v>200</v>
      </c>
      <c r="J924">
        <v>199</v>
      </c>
      <c r="K924">
        <v>192</v>
      </c>
      <c r="L924">
        <v>192</v>
      </c>
      <c r="M924">
        <v>181</v>
      </c>
      <c r="N924">
        <v>189</v>
      </c>
      <c r="O924" s="173">
        <f t="shared" ref="O924:O932" si="219">SUM(C924:N924)/12</f>
        <v>201.16666666666666</v>
      </c>
      <c r="P924" s="173"/>
    </row>
    <row r="925" spans="1:17" x14ac:dyDescent="0.2">
      <c r="B925" t="s">
        <v>450</v>
      </c>
      <c r="C925">
        <v>191</v>
      </c>
      <c r="D925">
        <v>194</v>
      </c>
      <c r="E925">
        <v>194</v>
      </c>
      <c r="F925">
        <v>191</v>
      </c>
      <c r="G925">
        <v>191</v>
      </c>
      <c r="H925">
        <v>198</v>
      </c>
      <c r="I925">
        <v>185</v>
      </c>
      <c r="J925">
        <v>192</v>
      </c>
      <c r="K925">
        <v>188</v>
      </c>
      <c r="L925">
        <v>198</v>
      </c>
      <c r="M925">
        <v>203</v>
      </c>
      <c r="N925">
        <v>203</v>
      </c>
      <c r="O925" s="173">
        <f t="shared" si="219"/>
        <v>194</v>
      </c>
      <c r="P925" s="173">
        <f t="shared" ref="P925:P932" si="220">SUM(O925-O924)</f>
        <v>-7.1666666666666572</v>
      </c>
      <c r="Q925" s="177">
        <f t="shared" ref="Q925:Q931" si="221">SUM(P925/O924)</f>
        <v>-3.5625517812758863E-2</v>
      </c>
    </row>
    <row r="926" spans="1:17" x14ac:dyDescent="0.2">
      <c r="B926" t="s">
        <v>451</v>
      </c>
      <c r="C926">
        <v>201</v>
      </c>
      <c r="D926">
        <v>196</v>
      </c>
      <c r="E926">
        <v>198</v>
      </c>
      <c r="F926">
        <v>188</v>
      </c>
      <c r="G926">
        <v>188</v>
      </c>
      <c r="H926">
        <v>192</v>
      </c>
      <c r="I926">
        <v>189</v>
      </c>
      <c r="J926">
        <v>200</v>
      </c>
      <c r="K926">
        <v>219</v>
      </c>
      <c r="L926">
        <v>228</v>
      </c>
      <c r="M926">
        <v>234</v>
      </c>
      <c r="N926">
        <v>237</v>
      </c>
      <c r="O926" s="173">
        <f t="shared" si="219"/>
        <v>205.83333333333334</v>
      </c>
      <c r="P926" s="173">
        <f t="shared" si="220"/>
        <v>11.833333333333343</v>
      </c>
      <c r="Q926" s="177">
        <f t="shared" si="221"/>
        <v>6.0996563573883208E-2</v>
      </c>
    </row>
    <row r="927" spans="1:17" x14ac:dyDescent="0.2">
      <c r="B927" t="s">
        <v>267</v>
      </c>
      <c r="C927">
        <v>246</v>
      </c>
      <c r="D927">
        <v>242</v>
      </c>
      <c r="E927">
        <v>245</v>
      </c>
      <c r="F927">
        <v>245</v>
      </c>
      <c r="G927">
        <v>245</v>
      </c>
      <c r="H927">
        <v>245</v>
      </c>
      <c r="I927">
        <v>245</v>
      </c>
      <c r="J927">
        <v>245</v>
      </c>
      <c r="K927">
        <v>245</v>
      </c>
      <c r="L927">
        <v>245</v>
      </c>
      <c r="M927">
        <v>245</v>
      </c>
      <c r="N927">
        <v>245</v>
      </c>
      <c r="O927" s="173">
        <f t="shared" si="219"/>
        <v>244.83333333333334</v>
      </c>
      <c r="P927" s="173">
        <f t="shared" si="220"/>
        <v>39</v>
      </c>
      <c r="Q927" s="177">
        <f t="shared" si="221"/>
        <v>0.18947368421052629</v>
      </c>
    </row>
    <row r="928" spans="1:17" x14ac:dyDescent="0.2">
      <c r="B928" t="s">
        <v>266</v>
      </c>
      <c r="C928">
        <v>219</v>
      </c>
      <c r="D928">
        <v>239</v>
      </c>
      <c r="E928">
        <v>239</v>
      </c>
      <c r="F928">
        <v>242</v>
      </c>
      <c r="G928">
        <v>237</v>
      </c>
      <c r="H928">
        <v>248</v>
      </c>
      <c r="I928">
        <v>255</v>
      </c>
      <c r="J928">
        <v>262</v>
      </c>
      <c r="K928">
        <v>263</v>
      </c>
      <c r="L928">
        <v>274</v>
      </c>
      <c r="M928">
        <v>266</v>
      </c>
      <c r="N928">
        <v>278</v>
      </c>
      <c r="O928" s="173">
        <f t="shared" si="219"/>
        <v>251.83333333333334</v>
      </c>
      <c r="P928" s="173">
        <f t="shared" si="220"/>
        <v>7</v>
      </c>
      <c r="Q928" s="177">
        <f t="shared" si="221"/>
        <v>2.8590878148400271E-2</v>
      </c>
    </row>
    <row r="929" spans="1:17" x14ac:dyDescent="0.2">
      <c r="B929" t="s">
        <v>287</v>
      </c>
      <c r="C929">
        <v>278</v>
      </c>
      <c r="D929">
        <v>279</v>
      </c>
      <c r="E929">
        <v>277</v>
      </c>
      <c r="F929">
        <v>279</v>
      </c>
      <c r="G929">
        <v>282</v>
      </c>
      <c r="H929">
        <v>282</v>
      </c>
      <c r="I929">
        <v>287</v>
      </c>
      <c r="J929">
        <v>293</v>
      </c>
      <c r="K929">
        <v>299</v>
      </c>
      <c r="L929">
        <v>299</v>
      </c>
      <c r="M929">
        <v>316</v>
      </c>
      <c r="N929">
        <v>325</v>
      </c>
      <c r="O929" s="173">
        <f t="shared" si="219"/>
        <v>291.33333333333331</v>
      </c>
      <c r="P929" s="173">
        <f t="shared" si="220"/>
        <v>39.499999999999972</v>
      </c>
      <c r="Q929" s="177">
        <f t="shared" si="221"/>
        <v>0.15684976836532086</v>
      </c>
    </row>
    <row r="930" spans="1:17" x14ac:dyDescent="0.2">
      <c r="B930" t="s">
        <v>297</v>
      </c>
      <c r="C930">
        <v>335</v>
      </c>
      <c r="D930">
        <v>349</v>
      </c>
      <c r="E930">
        <v>352</v>
      </c>
      <c r="F930">
        <v>352</v>
      </c>
      <c r="G930">
        <v>348</v>
      </c>
      <c r="H930">
        <v>363</v>
      </c>
      <c r="I930">
        <v>362</v>
      </c>
      <c r="J930">
        <v>370</v>
      </c>
      <c r="K930">
        <v>376</v>
      </c>
      <c r="L930">
        <v>393</v>
      </c>
      <c r="M930">
        <v>401</v>
      </c>
      <c r="N930">
        <v>400</v>
      </c>
      <c r="O930" s="173">
        <f t="shared" si="219"/>
        <v>366.75</v>
      </c>
      <c r="P930" s="173">
        <f t="shared" si="220"/>
        <v>75.416666666666686</v>
      </c>
      <c r="Q930" s="177">
        <f t="shared" si="221"/>
        <v>0.25886727688787192</v>
      </c>
    </row>
    <row r="931" spans="1:17" x14ac:dyDescent="0.2">
      <c r="B931" t="s">
        <v>300</v>
      </c>
      <c r="C931">
        <v>397</v>
      </c>
      <c r="D931">
        <v>402</v>
      </c>
      <c r="E931">
        <v>398</v>
      </c>
      <c r="F931">
        <v>408</v>
      </c>
      <c r="G931">
        <v>409</v>
      </c>
      <c r="H931">
        <v>416</v>
      </c>
      <c r="I931">
        <v>415</v>
      </c>
      <c r="J931">
        <v>414</v>
      </c>
      <c r="K931">
        <v>405</v>
      </c>
      <c r="L931">
        <v>486</v>
      </c>
      <c r="M931">
        <v>472</v>
      </c>
      <c r="N931">
        <v>409</v>
      </c>
      <c r="O931" s="173">
        <f t="shared" si="219"/>
        <v>419.25</v>
      </c>
      <c r="P931" s="173">
        <f t="shared" si="220"/>
        <v>52.5</v>
      </c>
      <c r="Q931" s="177">
        <f t="shared" si="221"/>
        <v>0.14314928425357873</v>
      </c>
    </row>
    <row r="932" spans="1:17" x14ac:dyDescent="0.2">
      <c r="B932" t="s">
        <v>301</v>
      </c>
      <c r="C932">
        <v>426</v>
      </c>
      <c r="D932">
        <v>431</v>
      </c>
      <c r="E932">
        <v>506</v>
      </c>
      <c r="F932">
        <v>455</v>
      </c>
      <c r="G932">
        <v>489</v>
      </c>
      <c r="H932">
        <v>513</v>
      </c>
      <c r="I932">
        <v>514</v>
      </c>
      <c r="J932">
        <v>518</v>
      </c>
      <c r="K932">
        <v>505</v>
      </c>
      <c r="L932">
        <v>502</v>
      </c>
      <c r="M932">
        <v>516</v>
      </c>
      <c r="N932">
        <v>530</v>
      </c>
      <c r="O932" s="173">
        <f t="shared" si="219"/>
        <v>492.08333333333331</v>
      </c>
      <c r="P932" s="173">
        <f t="shared" si="220"/>
        <v>72.833333333333314</v>
      </c>
      <c r="Q932" s="177">
        <f t="shared" ref="Q932:Q937" si="222">SUM(P932/O931)</f>
        <v>0.17372291790896438</v>
      </c>
    </row>
    <row r="933" spans="1:17" x14ac:dyDescent="0.2">
      <c r="B933" t="s">
        <v>302</v>
      </c>
      <c r="C933">
        <v>482</v>
      </c>
      <c r="D933">
        <v>466</v>
      </c>
      <c r="E933">
        <v>463</v>
      </c>
      <c r="F933">
        <v>466</v>
      </c>
      <c r="G933">
        <v>455</v>
      </c>
      <c r="H933">
        <v>458</v>
      </c>
      <c r="I933">
        <v>448</v>
      </c>
      <c r="J933">
        <v>451</v>
      </c>
      <c r="K933">
        <v>454</v>
      </c>
      <c r="L933">
        <v>449</v>
      </c>
      <c r="M933">
        <v>443</v>
      </c>
      <c r="N933">
        <v>447</v>
      </c>
      <c r="O933" s="173">
        <f>SUM(C933:N933)/12</f>
        <v>456.83333333333331</v>
      </c>
      <c r="P933" s="173">
        <f>SUM(O933-O932)</f>
        <v>-35.25</v>
      </c>
      <c r="Q933" s="177">
        <f t="shared" si="222"/>
        <v>-7.1634208298052504E-2</v>
      </c>
    </row>
    <row r="934" spans="1:17" x14ac:dyDescent="0.2">
      <c r="B934" t="s">
        <v>347</v>
      </c>
      <c r="C934">
        <v>441</v>
      </c>
      <c r="D934">
        <v>439</v>
      </c>
      <c r="E934">
        <v>439</v>
      </c>
      <c r="F934">
        <v>426</v>
      </c>
      <c r="G934">
        <v>432</v>
      </c>
      <c r="H934">
        <v>465</v>
      </c>
      <c r="I934">
        <v>452</v>
      </c>
      <c r="J934">
        <v>441</v>
      </c>
      <c r="K934">
        <v>443</v>
      </c>
      <c r="L934">
        <v>462</v>
      </c>
      <c r="M934">
        <v>480</v>
      </c>
      <c r="N934">
        <v>467</v>
      </c>
      <c r="O934" s="173">
        <f>SUM(C934:N934)/12</f>
        <v>448.91666666666669</v>
      </c>
      <c r="P934" s="173">
        <f>SUM(O934-O933)</f>
        <v>-7.9166666666666288</v>
      </c>
      <c r="Q934" s="177">
        <f t="shared" si="222"/>
        <v>-1.7329441809558473E-2</v>
      </c>
    </row>
    <row r="935" spans="1:17" x14ac:dyDescent="0.2">
      <c r="B935" t="s">
        <v>370</v>
      </c>
      <c r="C935">
        <v>465</v>
      </c>
      <c r="D935">
        <v>456</v>
      </c>
      <c r="E935">
        <v>455</v>
      </c>
      <c r="F935">
        <v>464</v>
      </c>
      <c r="G935">
        <v>461</v>
      </c>
      <c r="H935">
        <v>470</v>
      </c>
      <c r="I935">
        <v>443</v>
      </c>
      <c r="J935">
        <v>469</v>
      </c>
      <c r="K935">
        <v>478</v>
      </c>
      <c r="L935">
        <v>471</v>
      </c>
      <c r="M935">
        <v>457</v>
      </c>
      <c r="N935">
        <v>468</v>
      </c>
      <c r="O935" s="173">
        <f>SUM(C935:N935)/12</f>
        <v>463.08333333333331</v>
      </c>
      <c r="P935" s="173">
        <f>SUM(O935-O934)</f>
        <v>14.166666666666629</v>
      </c>
      <c r="Q935" s="177">
        <f t="shared" si="222"/>
        <v>3.1557453127900419E-2</v>
      </c>
    </row>
    <row r="936" spans="1:17" x14ac:dyDescent="0.2">
      <c r="B936" t="s">
        <v>452</v>
      </c>
      <c r="C936">
        <v>486</v>
      </c>
      <c r="D936">
        <v>496</v>
      </c>
      <c r="E936">
        <v>489</v>
      </c>
      <c r="F936">
        <v>495</v>
      </c>
      <c r="G936">
        <v>495</v>
      </c>
      <c r="H936">
        <v>495</v>
      </c>
      <c r="I936">
        <v>495</v>
      </c>
      <c r="J936">
        <v>500</v>
      </c>
      <c r="K936">
        <v>502</v>
      </c>
      <c r="L936">
        <v>508</v>
      </c>
      <c r="M936">
        <v>497</v>
      </c>
      <c r="N936">
        <v>504</v>
      </c>
      <c r="O936" s="173">
        <f>SUM(C936:N936)/12</f>
        <v>496.83333333333331</v>
      </c>
      <c r="P936" s="173">
        <f>SUM(O936-O935)</f>
        <v>33.75</v>
      </c>
      <c r="Q936" s="177">
        <f t="shared" si="222"/>
        <v>7.2881050926759047E-2</v>
      </c>
    </row>
    <row r="937" spans="1:17" x14ac:dyDescent="0.2">
      <c r="B937" t="s">
        <v>487</v>
      </c>
      <c r="C937">
        <v>496</v>
      </c>
      <c r="D937">
        <v>494</v>
      </c>
      <c r="E937">
        <v>478</v>
      </c>
      <c r="F937">
        <v>497</v>
      </c>
      <c r="G937">
        <v>499</v>
      </c>
      <c r="H937">
        <v>494</v>
      </c>
      <c r="I937">
        <v>489</v>
      </c>
      <c r="J937">
        <v>495</v>
      </c>
      <c r="K937">
        <v>490</v>
      </c>
      <c r="L937">
        <v>488</v>
      </c>
      <c r="M937">
        <v>497</v>
      </c>
      <c r="N937">
        <v>488</v>
      </c>
      <c r="O937" s="173">
        <f>SUM(C937:N937)/12</f>
        <v>492.08333333333331</v>
      </c>
      <c r="P937" s="173">
        <f>SUM(O937-O936)</f>
        <v>-4.75</v>
      </c>
      <c r="Q937" s="177">
        <f t="shared" si="222"/>
        <v>-9.5605501509560559E-3</v>
      </c>
    </row>
    <row r="938" spans="1:17" x14ac:dyDescent="0.2">
      <c r="B938" t="s">
        <v>561</v>
      </c>
      <c r="C938">
        <v>487</v>
      </c>
      <c r="D938">
        <v>474</v>
      </c>
      <c r="O938" s="173"/>
      <c r="P938" s="173"/>
      <c r="Q938" s="177"/>
    </row>
    <row r="939" spans="1:17" ht="25.5" x14ac:dyDescent="0.2">
      <c r="A939" s="175" t="s">
        <v>460</v>
      </c>
      <c r="B939" s="641" t="s">
        <v>433</v>
      </c>
      <c r="C939" s="642" t="s">
        <v>434</v>
      </c>
      <c r="D939" s="642" t="s">
        <v>435</v>
      </c>
      <c r="E939" s="642" t="s">
        <v>436</v>
      </c>
      <c r="F939" s="642" t="s">
        <v>437</v>
      </c>
      <c r="G939" s="642" t="s">
        <v>438</v>
      </c>
      <c r="H939" s="642" t="s">
        <v>439</v>
      </c>
      <c r="I939" s="642" t="s">
        <v>440</v>
      </c>
      <c r="J939" s="642" t="s">
        <v>441</v>
      </c>
      <c r="K939" s="642" t="s">
        <v>442</v>
      </c>
      <c r="L939" s="642" t="s">
        <v>443</v>
      </c>
      <c r="M939" s="642" t="s">
        <v>444</v>
      </c>
      <c r="N939" s="642" t="s">
        <v>445</v>
      </c>
    </row>
    <row r="940" spans="1:17" x14ac:dyDescent="0.2">
      <c r="B940" t="s">
        <v>449</v>
      </c>
      <c r="C940">
        <v>173</v>
      </c>
      <c r="D940">
        <v>167</v>
      </c>
      <c r="E940">
        <v>163</v>
      </c>
      <c r="F940">
        <v>169</v>
      </c>
      <c r="G940">
        <v>161</v>
      </c>
      <c r="H940">
        <v>164</v>
      </c>
      <c r="I940">
        <v>156</v>
      </c>
      <c r="J940">
        <v>157</v>
      </c>
      <c r="K940">
        <v>148</v>
      </c>
      <c r="L940">
        <v>156</v>
      </c>
      <c r="M940">
        <v>171</v>
      </c>
      <c r="N940">
        <v>177</v>
      </c>
      <c r="O940" s="173">
        <f t="shared" ref="O940:O948" si="223">SUM(C940:N940)/12</f>
        <v>163.5</v>
      </c>
      <c r="P940" s="173"/>
    </row>
    <row r="941" spans="1:17" x14ac:dyDescent="0.2">
      <c r="B941" t="s">
        <v>450</v>
      </c>
      <c r="C941">
        <v>169</v>
      </c>
      <c r="D941">
        <v>160</v>
      </c>
      <c r="E941">
        <v>150</v>
      </c>
      <c r="F941">
        <v>143</v>
      </c>
      <c r="G941">
        <v>143</v>
      </c>
      <c r="H941">
        <v>140</v>
      </c>
      <c r="I941">
        <v>144</v>
      </c>
      <c r="J941">
        <v>152</v>
      </c>
      <c r="K941">
        <v>152</v>
      </c>
      <c r="L941">
        <v>143</v>
      </c>
      <c r="M941">
        <v>151</v>
      </c>
      <c r="N941">
        <v>152</v>
      </c>
      <c r="O941" s="173">
        <f t="shared" si="223"/>
        <v>149.91666666666666</v>
      </c>
      <c r="P941" s="173">
        <f t="shared" ref="P941:P948" si="224">SUM(O941-O940)</f>
        <v>-13.583333333333343</v>
      </c>
      <c r="Q941" s="177">
        <f t="shared" ref="Q941:Q947" si="225">SUM(P941/O940)</f>
        <v>-8.3078491335372123E-2</v>
      </c>
    </row>
    <row r="942" spans="1:17" x14ac:dyDescent="0.2">
      <c r="B942" t="s">
        <v>451</v>
      </c>
      <c r="C942">
        <v>144</v>
      </c>
      <c r="D942">
        <v>141</v>
      </c>
      <c r="E942">
        <v>140</v>
      </c>
      <c r="F942">
        <v>142</v>
      </c>
      <c r="G942">
        <v>138</v>
      </c>
      <c r="H942">
        <v>143</v>
      </c>
      <c r="I942">
        <v>143</v>
      </c>
      <c r="J942">
        <v>152</v>
      </c>
      <c r="K942">
        <v>157</v>
      </c>
      <c r="L942">
        <v>162</v>
      </c>
      <c r="M942">
        <v>167</v>
      </c>
      <c r="N942">
        <v>172</v>
      </c>
      <c r="O942" s="173">
        <f t="shared" si="223"/>
        <v>150.08333333333334</v>
      </c>
      <c r="P942" s="173">
        <f t="shared" si="224"/>
        <v>0.16666666666668561</v>
      </c>
      <c r="Q942" s="177">
        <f t="shared" si="225"/>
        <v>1.1117287381880085E-3</v>
      </c>
    </row>
    <row r="943" spans="1:17" x14ac:dyDescent="0.2">
      <c r="B943" t="s">
        <v>267</v>
      </c>
      <c r="C943">
        <v>175</v>
      </c>
      <c r="D943">
        <v>144</v>
      </c>
      <c r="E943">
        <v>144</v>
      </c>
      <c r="F943">
        <v>144</v>
      </c>
      <c r="G943">
        <v>153</v>
      </c>
      <c r="H943">
        <v>153</v>
      </c>
      <c r="I943">
        <v>153</v>
      </c>
      <c r="J943">
        <v>153</v>
      </c>
      <c r="K943">
        <v>153</v>
      </c>
      <c r="L943">
        <v>162</v>
      </c>
      <c r="M943">
        <v>167</v>
      </c>
      <c r="N943">
        <v>172</v>
      </c>
      <c r="O943" s="173">
        <f t="shared" si="223"/>
        <v>156.08333333333334</v>
      </c>
      <c r="P943" s="173">
        <f t="shared" si="224"/>
        <v>6</v>
      </c>
      <c r="Q943" s="177">
        <f t="shared" si="225"/>
        <v>3.9977790116601887E-2</v>
      </c>
    </row>
    <row r="944" spans="1:17" x14ac:dyDescent="0.2">
      <c r="B944" t="s">
        <v>266</v>
      </c>
      <c r="C944">
        <v>189</v>
      </c>
      <c r="D944">
        <v>147</v>
      </c>
      <c r="E944">
        <v>150</v>
      </c>
      <c r="F944">
        <v>149</v>
      </c>
      <c r="G944">
        <v>143</v>
      </c>
      <c r="H944">
        <v>144</v>
      </c>
      <c r="I944">
        <v>145</v>
      </c>
      <c r="J944">
        <v>150</v>
      </c>
      <c r="K944">
        <v>156</v>
      </c>
      <c r="L944">
        <v>156</v>
      </c>
      <c r="M944">
        <v>137</v>
      </c>
      <c r="N944">
        <v>137</v>
      </c>
      <c r="O944" s="173">
        <f t="shared" si="223"/>
        <v>150.25</v>
      </c>
      <c r="P944" s="173">
        <f t="shared" si="224"/>
        <v>-5.8333333333333428</v>
      </c>
      <c r="Q944" s="177">
        <f t="shared" si="225"/>
        <v>-3.7373198077949872E-2</v>
      </c>
    </row>
    <row r="945" spans="1:17" x14ac:dyDescent="0.2">
      <c r="B945" t="s">
        <v>287</v>
      </c>
      <c r="C945">
        <v>121</v>
      </c>
      <c r="D945">
        <v>120</v>
      </c>
      <c r="E945">
        <v>127</v>
      </c>
      <c r="F945">
        <v>130</v>
      </c>
      <c r="G945">
        <v>134</v>
      </c>
      <c r="H945">
        <v>143</v>
      </c>
      <c r="I945">
        <v>142</v>
      </c>
      <c r="J945">
        <v>138</v>
      </c>
      <c r="K945">
        <v>139</v>
      </c>
      <c r="L945">
        <v>146</v>
      </c>
      <c r="M945">
        <v>148</v>
      </c>
      <c r="N945">
        <v>147</v>
      </c>
      <c r="O945" s="173">
        <f t="shared" si="223"/>
        <v>136.25</v>
      </c>
      <c r="P945" s="173">
        <f t="shared" si="224"/>
        <v>-14</v>
      </c>
      <c r="Q945" s="177">
        <f t="shared" si="225"/>
        <v>-9.3178036605657238E-2</v>
      </c>
    </row>
    <row r="946" spans="1:17" x14ac:dyDescent="0.2">
      <c r="B946" t="s">
        <v>297</v>
      </c>
      <c r="C946">
        <v>146</v>
      </c>
      <c r="D946">
        <v>146</v>
      </c>
      <c r="E946">
        <v>146</v>
      </c>
      <c r="F946">
        <v>152</v>
      </c>
      <c r="G946">
        <v>150</v>
      </c>
      <c r="H946">
        <v>141</v>
      </c>
      <c r="I946">
        <v>136</v>
      </c>
      <c r="J946">
        <v>139</v>
      </c>
      <c r="K946">
        <v>141</v>
      </c>
      <c r="L946">
        <v>149</v>
      </c>
      <c r="M946">
        <v>155</v>
      </c>
      <c r="N946">
        <v>142</v>
      </c>
      <c r="O946" s="173">
        <f t="shared" si="223"/>
        <v>145.25</v>
      </c>
      <c r="P946" s="173">
        <f t="shared" si="224"/>
        <v>9</v>
      </c>
      <c r="Q946" s="177">
        <f t="shared" si="225"/>
        <v>6.6055045871559637E-2</v>
      </c>
    </row>
    <row r="947" spans="1:17" x14ac:dyDescent="0.2">
      <c r="B947" t="s">
        <v>300</v>
      </c>
      <c r="C947">
        <v>148</v>
      </c>
      <c r="D947">
        <v>149</v>
      </c>
      <c r="E947">
        <v>149</v>
      </c>
      <c r="F947">
        <v>151</v>
      </c>
      <c r="G947">
        <v>139</v>
      </c>
      <c r="H947">
        <v>141</v>
      </c>
      <c r="I947">
        <v>136</v>
      </c>
      <c r="J947">
        <v>148</v>
      </c>
      <c r="K947">
        <v>146</v>
      </c>
      <c r="L947">
        <v>210</v>
      </c>
      <c r="M947">
        <v>211</v>
      </c>
      <c r="N947">
        <v>152</v>
      </c>
      <c r="O947" s="173">
        <f t="shared" si="223"/>
        <v>156.66666666666666</v>
      </c>
      <c r="P947" s="173">
        <f t="shared" si="224"/>
        <v>11.416666666666657</v>
      </c>
      <c r="Q947" s="177">
        <f t="shared" si="225"/>
        <v>7.8600114744692987E-2</v>
      </c>
    </row>
    <row r="948" spans="1:17" x14ac:dyDescent="0.2">
      <c r="B948" t="s">
        <v>301</v>
      </c>
      <c r="C948">
        <v>146</v>
      </c>
      <c r="D948">
        <v>150</v>
      </c>
      <c r="E948">
        <v>146</v>
      </c>
      <c r="F948">
        <v>146</v>
      </c>
      <c r="G948">
        <v>114</v>
      </c>
      <c r="H948">
        <v>99</v>
      </c>
      <c r="I948">
        <v>169</v>
      </c>
      <c r="J948">
        <v>145</v>
      </c>
      <c r="K948">
        <v>145</v>
      </c>
      <c r="L948">
        <v>145</v>
      </c>
      <c r="M948">
        <v>139</v>
      </c>
      <c r="N948">
        <v>138</v>
      </c>
      <c r="O948" s="173">
        <f t="shared" si="223"/>
        <v>140.16666666666666</v>
      </c>
      <c r="P948" s="173">
        <f t="shared" si="224"/>
        <v>-16.5</v>
      </c>
      <c r="Q948" s="177">
        <f t="shared" ref="Q948:Q953" si="226">SUM(P948/O947)</f>
        <v>-0.10531914893617023</v>
      </c>
    </row>
    <row r="949" spans="1:17" x14ac:dyDescent="0.2">
      <c r="B949" t="s">
        <v>302</v>
      </c>
      <c r="C949">
        <v>133</v>
      </c>
      <c r="D949">
        <v>135</v>
      </c>
      <c r="E949">
        <v>136</v>
      </c>
      <c r="F949">
        <v>143</v>
      </c>
      <c r="G949">
        <v>140</v>
      </c>
      <c r="H949">
        <v>144</v>
      </c>
      <c r="I949">
        <v>145</v>
      </c>
      <c r="J949">
        <v>144</v>
      </c>
      <c r="K949">
        <v>166</v>
      </c>
      <c r="L949">
        <v>162</v>
      </c>
      <c r="M949">
        <v>166</v>
      </c>
      <c r="N949">
        <v>161</v>
      </c>
      <c r="O949" s="173">
        <f>SUM(C949:N949)/12</f>
        <v>147.91666666666666</v>
      </c>
      <c r="P949" s="173">
        <f>SUM(O949-O948)</f>
        <v>7.75</v>
      </c>
      <c r="Q949" s="177">
        <f t="shared" si="226"/>
        <v>5.5291319857312726E-2</v>
      </c>
    </row>
    <row r="950" spans="1:17" x14ac:dyDescent="0.2">
      <c r="B950" t="s">
        <v>347</v>
      </c>
      <c r="C950">
        <v>159</v>
      </c>
      <c r="D950">
        <v>157</v>
      </c>
      <c r="E950">
        <v>154</v>
      </c>
      <c r="F950">
        <v>156</v>
      </c>
      <c r="G950">
        <v>155</v>
      </c>
      <c r="H950">
        <v>151</v>
      </c>
      <c r="I950">
        <v>152</v>
      </c>
      <c r="J950">
        <v>148</v>
      </c>
      <c r="K950">
        <v>152</v>
      </c>
      <c r="L950">
        <v>155</v>
      </c>
      <c r="M950">
        <v>161</v>
      </c>
      <c r="N950">
        <v>156</v>
      </c>
      <c r="O950" s="173">
        <f>SUM(C950:N950)/12</f>
        <v>154.66666666666666</v>
      </c>
      <c r="P950" s="173">
        <f>SUM(O950-O949)</f>
        <v>6.75</v>
      </c>
      <c r="Q950" s="177">
        <f t="shared" si="226"/>
        <v>4.5633802816901409E-2</v>
      </c>
    </row>
    <row r="951" spans="1:17" x14ac:dyDescent="0.2">
      <c r="B951" t="s">
        <v>370</v>
      </c>
      <c r="C951">
        <v>150</v>
      </c>
      <c r="D951">
        <v>158</v>
      </c>
      <c r="E951">
        <v>160</v>
      </c>
      <c r="F951">
        <v>142</v>
      </c>
      <c r="G951">
        <v>141</v>
      </c>
      <c r="H951">
        <v>138</v>
      </c>
      <c r="I951">
        <v>139</v>
      </c>
      <c r="J951">
        <v>136</v>
      </c>
      <c r="K951">
        <v>134</v>
      </c>
      <c r="L951">
        <v>142</v>
      </c>
      <c r="M951">
        <v>143</v>
      </c>
      <c r="N951">
        <v>135</v>
      </c>
      <c r="O951" s="173">
        <f>SUM(C951:N951)/12</f>
        <v>143.16666666666666</v>
      </c>
      <c r="P951" s="173">
        <f>SUM(O951-O950)</f>
        <v>-11.5</v>
      </c>
      <c r="Q951" s="177">
        <f t="shared" si="226"/>
        <v>-7.4353448275862072E-2</v>
      </c>
    </row>
    <row r="952" spans="1:17" x14ac:dyDescent="0.2">
      <c r="B952" t="s">
        <v>452</v>
      </c>
      <c r="C952">
        <v>137</v>
      </c>
      <c r="D952">
        <v>145</v>
      </c>
      <c r="E952">
        <v>146</v>
      </c>
      <c r="F952">
        <v>150</v>
      </c>
      <c r="G952">
        <v>146</v>
      </c>
      <c r="H952">
        <v>138</v>
      </c>
      <c r="I952">
        <v>137</v>
      </c>
      <c r="J952">
        <v>135</v>
      </c>
      <c r="K952">
        <v>138</v>
      </c>
      <c r="L952">
        <v>141</v>
      </c>
      <c r="M952">
        <v>147</v>
      </c>
      <c r="N952">
        <v>140</v>
      </c>
      <c r="O952" s="173">
        <f>SUM(C952:N952)/12</f>
        <v>141.66666666666666</v>
      </c>
      <c r="P952" s="173">
        <f>SUM(O952-O951)</f>
        <v>-1.5</v>
      </c>
      <c r="Q952" s="177">
        <f t="shared" si="226"/>
        <v>-1.0477299185098952E-2</v>
      </c>
    </row>
    <row r="953" spans="1:17" x14ac:dyDescent="0.2">
      <c r="B953" t="s">
        <v>487</v>
      </c>
      <c r="C953">
        <v>140</v>
      </c>
      <c r="D953">
        <v>137</v>
      </c>
      <c r="E953">
        <v>119</v>
      </c>
      <c r="F953">
        <v>113</v>
      </c>
      <c r="G953">
        <v>111</v>
      </c>
      <c r="H953">
        <v>112</v>
      </c>
      <c r="I953">
        <v>117</v>
      </c>
      <c r="J953">
        <v>109</v>
      </c>
      <c r="K953">
        <v>106</v>
      </c>
      <c r="L953">
        <v>117</v>
      </c>
      <c r="M953">
        <v>122</v>
      </c>
      <c r="N953">
        <v>124</v>
      </c>
      <c r="O953" s="173">
        <f>SUM(C953:N953)/12</f>
        <v>118.91666666666667</v>
      </c>
      <c r="P953" s="173">
        <f>SUM(O953-O952)</f>
        <v>-22.749999999999986</v>
      </c>
      <c r="Q953" s="177">
        <f t="shared" si="226"/>
        <v>-0.16058823529411756</v>
      </c>
    </row>
    <row r="954" spans="1:17" x14ac:dyDescent="0.2">
      <c r="B954" t="s">
        <v>561</v>
      </c>
      <c r="C954">
        <v>138</v>
      </c>
      <c r="D954">
        <v>145</v>
      </c>
      <c r="O954" s="173"/>
      <c r="P954" s="173"/>
      <c r="Q954" s="177"/>
    </row>
    <row r="955" spans="1:17" ht="25.5" x14ac:dyDescent="0.2">
      <c r="A955" s="175" t="s">
        <v>461</v>
      </c>
      <c r="B955" s="641" t="s">
        <v>433</v>
      </c>
      <c r="C955" s="642" t="s">
        <v>434</v>
      </c>
      <c r="D955" s="642" t="s">
        <v>435</v>
      </c>
      <c r="E955" s="642" t="s">
        <v>436</v>
      </c>
      <c r="F955" s="642" t="s">
        <v>437</v>
      </c>
      <c r="G955" s="642" t="s">
        <v>438</v>
      </c>
      <c r="H955" s="642" t="s">
        <v>439</v>
      </c>
      <c r="I955" s="642" t="s">
        <v>440</v>
      </c>
      <c r="J955" s="642" t="s">
        <v>441</v>
      </c>
      <c r="K955" s="642" t="s">
        <v>442</v>
      </c>
      <c r="L955" s="642" t="s">
        <v>443</v>
      </c>
      <c r="M955" s="642" t="s">
        <v>444</v>
      </c>
      <c r="N955" s="642" t="s">
        <v>445</v>
      </c>
    </row>
    <row r="956" spans="1:17" x14ac:dyDescent="0.2">
      <c r="B956" t="s">
        <v>449</v>
      </c>
      <c r="C956">
        <v>88</v>
      </c>
      <c r="D956">
        <v>88</v>
      </c>
      <c r="E956">
        <v>91</v>
      </c>
      <c r="F956">
        <v>89</v>
      </c>
      <c r="G956">
        <v>92</v>
      </c>
      <c r="H956">
        <v>87</v>
      </c>
      <c r="I956">
        <v>92</v>
      </c>
      <c r="J956">
        <v>98</v>
      </c>
      <c r="K956">
        <v>100</v>
      </c>
      <c r="L956">
        <v>101</v>
      </c>
      <c r="M956">
        <v>101</v>
      </c>
      <c r="N956">
        <v>103</v>
      </c>
      <c r="O956" s="173">
        <f t="shared" ref="O956:O964" si="227">SUM(C956:N956)/12</f>
        <v>94.166666666666671</v>
      </c>
      <c r="P956" s="173"/>
    </row>
    <row r="957" spans="1:17" x14ac:dyDescent="0.2">
      <c r="B957" t="s">
        <v>450</v>
      </c>
      <c r="C957">
        <v>99</v>
      </c>
      <c r="D957">
        <v>99</v>
      </c>
      <c r="E957">
        <v>93</v>
      </c>
      <c r="F957">
        <v>96</v>
      </c>
      <c r="G957">
        <v>87</v>
      </c>
      <c r="H957">
        <v>98</v>
      </c>
      <c r="I957">
        <v>92</v>
      </c>
      <c r="J957">
        <v>97</v>
      </c>
      <c r="K957">
        <v>96</v>
      </c>
      <c r="L957">
        <v>96</v>
      </c>
      <c r="M957">
        <v>99</v>
      </c>
      <c r="N957">
        <v>104</v>
      </c>
      <c r="O957" s="173">
        <f t="shared" si="227"/>
        <v>96.333333333333329</v>
      </c>
      <c r="P957" s="173">
        <f t="shared" ref="P957:P964" si="228">SUM(O957-O956)</f>
        <v>2.1666666666666572</v>
      </c>
      <c r="Q957" s="177">
        <f t="shared" ref="Q957:Q963" si="229">SUM(P957/O956)</f>
        <v>2.3008849557522023E-2</v>
      </c>
    </row>
    <row r="958" spans="1:17" x14ac:dyDescent="0.2">
      <c r="B958" t="s">
        <v>451</v>
      </c>
      <c r="C958">
        <v>103</v>
      </c>
      <c r="D958">
        <v>108</v>
      </c>
      <c r="E958">
        <v>99</v>
      </c>
      <c r="F958">
        <v>108</v>
      </c>
      <c r="G958">
        <v>104</v>
      </c>
      <c r="H958">
        <v>89</v>
      </c>
      <c r="I958">
        <v>81</v>
      </c>
      <c r="J958">
        <v>73</v>
      </c>
      <c r="K958">
        <v>71</v>
      </c>
      <c r="L958">
        <v>75</v>
      </c>
      <c r="M958">
        <v>110</v>
      </c>
      <c r="N958">
        <v>120</v>
      </c>
      <c r="O958" s="173">
        <f t="shared" si="227"/>
        <v>95.083333333333329</v>
      </c>
      <c r="P958" s="173">
        <f t="shared" si="228"/>
        <v>-1.25</v>
      </c>
      <c r="Q958" s="177">
        <f t="shared" si="229"/>
        <v>-1.2975778546712804E-2</v>
      </c>
    </row>
    <row r="959" spans="1:17" x14ac:dyDescent="0.2">
      <c r="B959" t="s">
        <v>267</v>
      </c>
      <c r="C959">
        <v>75</v>
      </c>
      <c r="D959">
        <v>134</v>
      </c>
      <c r="E959">
        <v>85</v>
      </c>
      <c r="F959">
        <v>85</v>
      </c>
      <c r="G959">
        <v>86</v>
      </c>
      <c r="H959">
        <v>89</v>
      </c>
      <c r="I959">
        <v>85</v>
      </c>
      <c r="J959">
        <v>85</v>
      </c>
      <c r="K959">
        <v>85</v>
      </c>
      <c r="L959">
        <v>85</v>
      </c>
      <c r="M959">
        <v>85</v>
      </c>
      <c r="N959">
        <v>85</v>
      </c>
      <c r="O959" s="173">
        <f t="shared" si="227"/>
        <v>88.666666666666671</v>
      </c>
      <c r="P959" s="173">
        <f t="shared" si="228"/>
        <v>-6.4166666666666572</v>
      </c>
      <c r="Q959" s="177">
        <f t="shared" si="229"/>
        <v>-6.7484662576687018E-2</v>
      </c>
    </row>
    <row r="960" spans="1:17" x14ac:dyDescent="0.2">
      <c r="B960" t="s">
        <v>266</v>
      </c>
      <c r="C960">
        <v>107</v>
      </c>
      <c r="D960">
        <v>90</v>
      </c>
      <c r="E960">
        <v>90</v>
      </c>
      <c r="F960">
        <v>91</v>
      </c>
      <c r="G960">
        <v>89</v>
      </c>
      <c r="H960">
        <v>89</v>
      </c>
      <c r="I960">
        <v>87</v>
      </c>
      <c r="J960">
        <v>83</v>
      </c>
      <c r="K960">
        <v>79</v>
      </c>
      <c r="L960">
        <v>83</v>
      </c>
      <c r="M960">
        <v>84</v>
      </c>
      <c r="N960">
        <v>86</v>
      </c>
      <c r="O960" s="173">
        <f t="shared" si="227"/>
        <v>88.166666666666671</v>
      </c>
      <c r="P960" s="173">
        <f t="shared" si="228"/>
        <v>-0.5</v>
      </c>
      <c r="Q960" s="177">
        <f t="shared" si="229"/>
        <v>-5.6390977443609019E-3</v>
      </c>
    </row>
    <row r="961" spans="1:17" x14ac:dyDescent="0.2">
      <c r="B961" t="s">
        <v>287</v>
      </c>
      <c r="C961">
        <v>94</v>
      </c>
      <c r="D961">
        <v>94</v>
      </c>
      <c r="E961">
        <v>95</v>
      </c>
      <c r="F961">
        <v>92</v>
      </c>
      <c r="G961">
        <v>92</v>
      </c>
      <c r="H961">
        <v>91</v>
      </c>
      <c r="I961">
        <v>93</v>
      </c>
      <c r="J961">
        <v>90</v>
      </c>
      <c r="K961">
        <v>87</v>
      </c>
      <c r="L961">
        <v>86</v>
      </c>
      <c r="M961">
        <v>86</v>
      </c>
      <c r="N961">
        <v>85</v>
      </c>
      <c r="O961" s="173">
        <f t="shared" si="227"/>
        <v>90.416666666666671</v>
      </c>
      <c r="P961" s="173">
        <f t="shared" si="228"/>
        <v>2.25</v>
      </c>
      <c r="Q961" s="177">
        <f t="shared" si="229"/>
        <v>2.5519848771266538E-2</v>
      </c>
    </row>
    <row r="962" spans="1:17" x14ac:dyDescent="0.2">
      <c r="B962" t="s">
        <v>297</v>
      </c>
      <c r="C962">
        <v>88</v>
      </c>
      <c r="D962">
        <v>90</v>
      </c>
      <c r="E962">
        <v>90</v>
      </c>
      <c r="F962">
        <v>93</v>
      </c>
      <c r="G962">
        <v>90</v>
      </c>
      <c r="H962">
        <v>89</v>
      </c>
      <c r="I962">
        <v>112</v>
      </c>
      <c r="J962">
        <v>108</v>
      </c>
      <c r="K962">
        <v>112</v>
      </c>
      <c r="L962">
        <v>113</v>
      </c>
      <c r="M962">
        <v>109</v>
      </c>
      <c r="N962">
        <v>108</v>
      </c>
      <c r="O962" s="173">
        <f t="shared" si="227"/>
        <v>100.16666666666667</v>
      </c>
      <c r="P962" s="173">
        <f t="shared" si="228"/>
        <v>9.75</v>
      </c>
      <c r="Q962" s="177">
        <f t="shared" si="229"/>
        <v>0.10783410138248847</v>
      </c>
    </row>
    <row r="963" spans="1:17" x14ac:dyDescent="0.2">
      <c r="B963" t="s">
        <v>300</v>
      </c>
      <c r="C963">
        <v>107</v>
      </c>
      <c r="D963">
        <v>106</v>
      </c>
      <c r="E963">
        <v>105</v>
      </c>
      <c r="F963">
        <v>96</v>
      </c>
      <c r="G963">
        <v>99</v>
      </c>
      <c r="H963">
        <v>101</v>
      </c>
      <c r="I963">
        <v>103</v>
      </c>
      <c r="J963">
        <v>103</v>
      </c>
      <c r="K963">
        <v>100</v>
      </c>
      <c r="L963">
        <v>113</v>
      </c>
      <c r="M963">
        <v>118</v>
      </c>
      <c r="N963">
        <v>104</v>
      </c>
      <c r="O963" s="173">
        <f t="shared" si="227"/>
        <v>104.58333333333333</v>
      </c>
      <c r="P963" s="173">
        <f t="shared" si="228"/>
        <v>4.4166666666666572</v>
      </c>
      <c r="Q963" s="177">
        <f t="shared" si="229"/>
        <v>4.4093178036605563E-2</v>
      </c>
    </row>
    <row r="964" spans="1:17" x14ac:dyDescent="0.2">
      <c r="B964" t="s">
        <v>301</v>
      </c>
      <c r="C964">
        <v>106</v>
      </c>
      <c r="D964">
        <v>102</v>
      </c>
      <c r="E964">
        <v>105</v>
      </c>
      <c r="F964">
        <v>103</v>
      </c>
      <c r="G964">
        <v>103</v>
      </c>
      <c r="H964">
        <v>103</v>
      </c>
      <c r="I964">
        <v>99</v>
      </c>
      <c r="J964">
        <v>98</v>
      </c>
      <c r="K964">
        <v>100</v>
      </c>
      <c r="L964">
        <v>101</v>
      </c>
      <c r="M964">
        <v>100</v>
      </c>
      <c r="N964">
        <v>103</v>
      </c>
      <c r="O964" s="173">
        <f t="shared" si="227"/>
        <v>101.91666666666667</v>
      </c>
      <c r="P964" s="173">
        <f t="shared" si="228"/>
        <v>-2.6666666666666572</v>
      </c>
      <c r="Q964" s="177">
        <f t="shared" ref="Q964:Q969" si="230">SUM(P964/O963)</f>
        <v>-2.5498007968127401E-2</v>
      </c>
    </row>
    <row r="965" spans="1:17" x14ac:dyDescent="0.2">
      <c r="B965" t="s">
        <v>302</v>
      </c>
      <c r="C965">
        <v>96</v>
      </c>
      <c r="D965">
        <v>95</v>
      </c>
      <c r="E965">
        <v>92</v>
      </c>
      <c r="F965">
        <v>93</v>
      </c>
      <c r="G965">
        <v>90</v>
      </c>
      <c r="H965">
        <v>90</v>
      </c>
      <c r="I965">
        <v>90</v>
      </c>
      <c r="J965">
        <v>90</v>
      </c>
      <c r="K965">
        <v>91</v>
      </c>
      <c r="L965">
        <v>90</v>
      </c>
      <c r="M965">
        <v>75</v>
      </c>
      <c r="N965">
        <v>74</v>
      </c>
      <c r="O965" s="173">
        <f>SUM(C965:N965)/12</f>
        <v>88.833333333333329</v>
      </c>
      <c r="P965" s="173">
        <f>SUM(O965-O964)</f>
        <v>-13.083333333333343</v>
      </c>
      <c r="Q965" s="177">
        <f t="shared" si="230"/>
        <v>-0.12837285363859371</v>
      </c>
    </row>
    <row r="966" spans="1:17" x14ac:dyDescent="0.2">
      <c r="B966" t="s">
        <v>347</v>
      </c>
      <c r="C966">
        <v>73</v>
      </c>
      <c r="D966">
        <v>73</v>
      </c>
      <c r="E966">
        <v>68</v>
      </c>
      <c r="F966">
        <v>69</v>
      </c>
      <c r="G966">
        <v>70</v>
      </c>
      <c r="H966">
        <v>77</v>
      </c>
      <c r="I966">
        <v>71</v>
      </c>
      <c r="J966">
        <v>74</v>
      </c>
      <c r="K966">
        <v>74</v>
      </c>
      <c r="L966">
        <v>72</v>
      </c>
      <c r="N966">
        <v>93</v>
      </c>
      <c r="O966" s="173">
        <f>SUM(C966:N966)/11</f>
        <v>74</v>
      </c>
      <c r="P966" s="173">
        <f>SUM(O966-O965)</f>
        <v>-14.833333333333329</v>
      </c>
      <c r="Q966" s="177">
        <f t="shared" si="230"/>
        <v>-0.16697936210131328</v>
      </c>
    </row>
    <row r="967" spans="1:17" x14ac:dyDescent="0.2">
      <c r="B967" t="s">
        <v>370</v>
      </c>
      <c r="C967">
        <v>95</v>
      </c>
      <c r="D967">
        <v>93</v>
      </c>
      <c r="E967">
        <v>89</v>
      </c>
      <c r="F967">
        <v>84</v>
      </c>
      <c r="G967">
        <v>84</v>
      </c>
      <c r="H967">
        <v>86</v>
      </c>
      <c r="I967">
        <v>87</v>
      </c>
      <c r="J967">
        <v>84</v>
      </c>
      <c r="K967">
        <v>86</v>
      </c>
      <c r="L967">
        <v>89</v>
      </c>
      <c r="M967">
        <v>91</v>
      </c>
      <c r="N967">
        <v>96</v>
      </c>
      <c r="O967" s="173">
        <f>SUM(C967:N967)/12</f>
        <v>88.666666666666671</v>
      </c>
      <c r="P967" s="173">
        <f>SUM(O967-O966)</f>
        <v>14.666666666666671</v>
      </c>
      <c r="Q967" s="177">
        <f t="shared" si="230"/>
        <v>0.19819819819819826</v>
      </c>
    </row>
    <row r="968" spans="1:17" x14ac:dyDescent="0.2">
      <c r="B968" t="s">
        <v>452</v>
      </c>
      <c r="C968">
        <v>100</v>
      </c>
      <c r="D968">
        <v>99</v>
      </c>
      <c r="E968">
        <v>98</v>
      </c>
      <c r="F968">
        <v>99</v>
      </c>
      <c r="G968">
        <v>98</v>
      </c>
      <c r="H968">
        <v>99</v>
      </c>
      <c r="I968">
        <v>101</v>
      </c>
      <c r="J968">
        <v>102</v>
      </c>
      <c r="K968">
        <v>101</v>
      </c>
      <c r="L968">
        <v>102</v>
      </c>
      <c r="M968">
        <v>103</v>
      </c>
      <c r="N968">
        <v>107</v>
      </c>
      <c r="O968" s="173">
        <f>SUM(C968:N968)/12</f>
        <v>100.75</v>
      </c>
      <c r="P968" s="173">
        <f>SUM(O968-O967)</f>
        <v>12.083333333333329</v>
      </c>
      <c r="Q968" s="177">
        <f t="shared" si="230"/>
        <v>0.13627819548872175</v>
      </c>
    </row>
    <row r="969" spans="1:17" x14ac:dyDescent="0.2">
      <c r="B969" t="s">
        <v>487</v>
      </c>
      <c r="C969">
        <v>108</v>
      </c>
      <c r="D969">
        <v>108</v>
      </c>
      <c r="E969">
        <v>109</v>
      </c>
      <c r="F969">
        <v>106</v>
      </c>
      <c r="G969">
        <v>102</v>
      </c>
      <c r="H969">
        <v>100</v>
      </c>
      <c r="I969">
        <v>97</v>
      </c>
      <c r="J969">
        <v>94</v>
      </c>
      <c r="K969">
        <v>98</v>
      </c>
      <c r="L969">
        <v>100</v>
      </c>
      <c r="M969">
        <v>105</v>
      </c>
      <c r="N969">
        <v>101</v>
      </c>
      <c r="O969" s="173">
        <f>SUM(C969:N969)/12</f>
        <v>102.33333333333333</v>
      </c>
      <c r="P969" s="173">
        <f>SUM(O969-O968)</f>
        <v>1.5833333333333286</v>
      </c>
      <c r="Q969" s="177">
        <f t="shared" si="230"/>
        <v>1.5715467328370508E-2</v>
      </c>
    </row>
    <row r="970" spans="1:17" x14ac:dyDescent="0.2">
      <c r="B970" t="s">
        <v>561</v>
      </c>
      <c r="C970">
        <v>100</v>
      </c>
      <c r="D970">
        <v>100</v>
      </c>
      <c r="O970" s="173"/>
      <c r="P970" s="173"/>
      <c r="Q970" s="177"/>
    </row>
    <row r="971" spans="1:17" x14ac:dyDescent="0.2">
      <c r="A971" s="178"/>
      <c r="B971" s="178"/>
      <c r="C971" s="178"/>
      <c r="D971" s="178"/>
      <c r="E971" s="178"/>
      <c r="F971" s="178"/>
      <c r="G971" s="178"/>
      <c r="H971" s="178"/>
      <c r="I971" s="178"/>
      <c r="J971" s="178"/>
      <c r="K971" s="178"/>
      <c r="L971" s="178"/>
      <c r="M971" s="178"/>
      <c r="N971" s="178"/>
      <c r="O971" s="178"/>
      <c r="P971" s="178"/>
      <c r="Q971" s="178"/>
    </row>
    <row r="972" spans="1:17" ht="25.5" x14ac:dyDescent="0.2">
      <c r="A972" s="175" t="s">
        <v>462</v>
      </c>
      <c r="B972" s="641" t="s">
        <v>433</v>
      </c>
      <c r="C972" s="642" t="s">
        <v>434</v>
      </c>
      <c r="D972" s="642" t="s">
        <v>435</v>
      </c>
      <c r="E972" s="642" t="s">
        <v>436</v>
      </c>
      <c r="F972" s="642" t="s">
        <v>437</v>
      </c>
      <c r="G972" s="642" t="s">
        <v>438</v>
      </c>
      <c r="H972" s="642" t="s">
        <v>439</v>
      </c>
      <c r="I972" s="642" t="s">
        <v>440</v>
      </c>
      <c r="J972" s="642" t="s">
        <v>441</v>
      </c>
      <c r="K972" s="642" t="s">
        <v>442</v>
      </c>
      <c r="L972" s="642" t="s">
        <v>443</v>
      </c>
      <c r="M972" s="642" t="s">
        <v>444</v>
      </c>
      <c r="N972" s="642" t="s">
        <v>445</v>
      </c>
    </row>
    <row r="973" spans="1:17" x14ac:dyDescent="0.2">
      <c r="B973" t="s">
        <v>449</v>
      </c>
      <c r="C973">
        <v>69</v>
      </c>
      <c r="D973">
        <v>69</v>
      </c>
      <c r="E973">
        <v>69</v>
      </c>
      <c r="F973">
        <v>69</v>
      </c>
      <c r="G973">
        <v>56</v>
      </c>
      <c r="H973">
        <v>58</v>
      </c>
      <c r="I973">
        <v>57</v>
      </c>
      <c r="J973">
        <v>58</v>
      </c>
      <c r="K973">
        <v>56</v>
      </c>
      <c r="L973">
        <v>62</v>
      </c>
      <c r="M973">
        <v>57</v>
      </c>
      <c r="N973">
        <v>58</v>
      </c>
      <c r="O973" s="173">
        <f t="shared" ref="O973:O981" si="231">SUM(C973:N973)/12</f>
        <v>61.5</v>
      </c>
      <c r="P973" s="173"/>
    </row>
    <row r="974" spans="1:17" x14ac:dyDescent="0.2">
      <c r="B974" t="s">
        <v>450</v>
      </c>
      <c r="C974">
        <v>52</v>
      </c>
      <c r="D974">
        <v>56</v>
      </c>
      <c r="E974">
        <v>51</v>
      </c>
      <c r="F974">
        <v>57</v>
      </c>
      <c r="G974">
        <v>60</v>
      </c>
      <c r="H974">
        <v>58</v>
      </c>
      <c r="I974">
        <v>62</v>
      </c>
      <c r="J974">
        <v>63</v>
      </c>
      <c r="K974">
        <v>59</v>
      </c>
      <c r="L974">
        <v>59</v>
      </c>
      <c r="M974">
        <v>62</v>
      </c>
      <c r="N974">
        <v>60</v>
      </c>
      <c r="O974" s="173">
        <f t="shared" si="231"/>
        <v>58.25</v>
      </c>
      <c r="P974" s="173">
        <f t="shared" ref="P974:P981" si="232">SUM(O974-O973)</f>
        <v>-3.25</v>
      </c>
      <c r="Q974" s="177">
        <f t="shared" ref="Q974:Q980" si="233">SUM(P974/O973)</f>
        <v>-5.2845528455284556E-2</v>
      </c>
    </row>
    <row r="975" spans="1:17" x14ac:dyDescent="0.2">
      <c r="B975" t="s">
        <v>451</v>
      </c>
      <c r="C975">
        <v>60</v>
      </c>
      <c r="D975">
        <v>55</v>
      </c>
      <c r="E975">
        <v>57</v>
      </c>
      <c r="F975">
        <v>55</v>
      </c>
      <c r="G975">
        <v>55</v>
      </c>
      <c r="H975">
        <v>52</v>
      </c>
      <c r="I975">
        <v>60</v>
      </c>
      <c r="J975">
        <v>72</v>
      </c>
      <c r="K975">
        <v>77</v>
      </c>
      <c r="L975">
        <v>82</v>
      </c>
      <c r="M975">
        <v>87</v>
      </c>
      <c r="N975">
        <v>92</v>
      </c>
      <c r="O975" s="173">
        <f t="shared" si="231"/>
        <v>67</v>
      </c>
      <c r="P975" s="173">
        <f t="shared" si="232"/>
        <v>8.75</v>
      </c>
      <c r="Q975" s="177">
        <f t="shared" si="233"/>
        <v>0.15021459227467812</v>
      </c>
    </row>
    <row r="976" spans="1:17" x14ac:dyDescent="0.2">
      <c r="B976" t="s">
        <v>267</v>
      </c>
      <c r="C976">
        <v>87</v>
      </c>
      <c r="D976">
        <v>86</v>
      </c>
      <c r="E976">
        <v>88</v>
      </c>
      <c r="F976">
        <v>86</v>
      </c>
      <c r="G976">
        <v>86</v>
      </c>
      <c r="H976">
        <v>86</v>
      </c>
      <c r="I976">
        <v>86</v>
      </c>
      <c r="J976">
        <v>86</v>
      </c>
      <c r="K976">
        <v>86</v>
      </c>
      <c r="L976">
        <v>86</v>
      </c>
      <c r="M976">
        <v>86</v>
      </c>
      <c r="N976">
        <v>86</v>
      </c>
      <c r="O976" s="173">
        <f t="shared" si="231"/>
        <v>86.25</v>
      </c>
      <c r="P976" s="173">
        <f t="shared" si="232"/>
        <v>19.25</v>
      </c>
      <c r="Q976" s="177">
        <f t="shared" si="233"/>
        <v>0.28731343283582089</v>
      </c>
    </row>
    <row r="977" spans="1:17" x14ac:dyDescent="0.2">
      <c r="B977" t="s">
        <v>266</v>
      </c>
      <c r="C977">
        <v>93</v>
      </c>
      <c r="D977">
        <v>80</v>
      </c>
      <c r="E977">
        <v>78</v>
      </c>
      <c r="F977">
        <v>78</v>
      </c>
      <c r="G977">
        <v>84</v>
      </c>
      <c r="H977">
        <v>90</v>
      </c>
      <c r="I977">
        <v>88</v>
      </c>
      <c r="J977">
        <v>92</v>
      </c>
      <c r="K977">
        <v>94</v>
      </c>
      <c r="L977">
        <v>84</v>
      </c>
      <c r="M977">
        <v>84</v>
      </c>
      <c r="N977">
        <v>85</v>
      </c>
      <c r="O977" s="173">
        <f t="shared" si="231"/>
        <v>85.833333333333329</v>
      </c>
      <c r="P977" s="173">
        <f t="shared" si="232"/>
        <v>-0.4166666666666714</v>
      </c>
      <c r="Q977" s="177">
        <f t="shared" si="233"/>
        <v>-4.8309178743961905E-3</v>
      </c>
    </row>
    <row r="978" spans="1:17" x14ac:dyDescent="0.2">
      <c r="B978" t="s">
        <v>287</v>
      </c>
      <c r="C978">
        <v>80</v>
      </c>
      <c r="D978">
        <v>84</v>
      </c>
      <c r="E978">
        <v>85</v>
      </c>
      <c r="F978">
        <v>88</v>
      </c>
      <c r="G978">
        <v>90</v>
      </c>
      <c r="H978">
        <v>95</v>
      </c>
      <c r="I978">
        <v>101</v>
      </c>
      <c r="J978">
        <v>94</v>
      </c>
      <c r="K978">
        <v>90</v>
      </c>
      <c r="L978">
        <v>93</v>
      </c>
      <c r="M978">
        <v>101</v>
      </c>
      <c r="N978">
        <v>107</v>
      </c>
      <c r="O978" s="173">
        <f t="shared" si="231"/>
        <v>92.333333333333329</v>
      </c>
      <c r="P978" s="173">
        <f t="shared" si="232"/>
        <v>6.5</v>
      </c>
      <c r="Q978" s="177">
        <f t="shared" si="233"/>
        <v>7.5728155339805828E-2</v>
      </c>
    </row>
    <row r="979" spans="1:17" x14ac:dyDescent="0.2">
      <c r="B979" t="s">
        <v>297</v>
      </c>
      <c r="C979">
        <v>112</v>
      </c>
      <c r="D979">
        <v>110</v>
      </c>
      <c r="E979">
        <v>108</v>
      </c>
      <c r="F979">
        <v>113</v>
      </c>
      <c r="G979">
        <v>112</v>
      </c>
      <c r="H979">
        <v>108</v>
      </c>
      <c r="I979">
        <v>107</v>
      </c>
      <c r="J979">
        <v>123</v>
      </c>
      <c r="K979">
        <v>114</v>
      </c>
      <c r="L979">
        <v>116</v>
      </c>
      <c r="M979">
        <v>117</v>
      </c>
      <c r="N979">
        <v>121</v>
      </c>
      <c r="O979" s="173">
        <f t="shared" si="231"/>
        <v>113.41666666666667</v>
      </c>
      <c r="P979" s="173">
        <f t="shared" si="232"/>
        <v>21.083333333333343</v>
      </c>
      <c r="Q979" s="177">
        <f t="shared" si="233"/>
        <v>0.22833935018050552</v>
      </c>
    </row>
    <row r="980" spans="1:17" x14ac:dyDescent="0.2">
      <c r="B980" t="s">
        <v>300</v>
      </c>
      <c r="C980">
        <v>121</v>
      </c>
      <c r="D980">
        <v>122</v>
      </c>
      <c r="E980">
        <v>122</v>
      </c>
      <c r="F980">
        <v>126</v>
      </c>
      <c r="G980">
        <v>124</v>
      </c>
      <c r="H980">
        <v>122</v>
      </c>
      <c r="I980">
        <v>124</v>
      </c>
      <c r="J980">
        <v>122</v>
      </c>
      <c r="K980">
        <v>121</v>
      </c>
      <c r="L980">
        <v>115</v>
      </c>
      <c r="M980">
        <v>114</v>
      </c>
      <c r="N980">
        <v>121</v>
      </c>
      <c r="O980" s="173">
        <f t="shared" si="231"/>
        <v>121.16666666666667</v>
      </c>
      <c r="P980" s="173">
        <f t="shared" si="232"/>
        <v>7.75</v>
      </c>
      <c r="Q980" s="177">
        <f t="shared" si="233"/>
        <v>6.8332108743570902E-2</v>
      </c>
    </row>
    <row r="981" spans="1:17" x14ac:dyDescent="0.2">
      <c r="B981" t="s">
        <v>301</v>
      </c>
      <c r="C981">
        <v>99</v>
      </c>
      <c r="D981">
        <v>100</v>
      </c>
      <c r="E981">
        <v>107</v>
      </c>
      <c r="F981">
        <v>104</v>
      </c>
      <c r="G981">
        <v>103</v>
      </c>
      <c r="H981">
        <v>100</v>
      </c>
      <c r="I981">
        <v>101</v>
      </c>
      <c r="J981">
        <v>98</v>
      </c>
      <c r="K981">
        <v>92</v>
      </c>
      <c r="L981">
        <v>85</v>
      </c>
      <c r="M981">
        <v>92</v>
      </c>
      <c r="N981">
        <v>88</v>
      </c>
      <c r="O981" s="173">
        <f t="shared" si="231"/>
        <v>97.416666666666671</v>
      </c>
      <c r="P981" s="173">
        <f t="shared" si="232"/>
        <v>-23.75</v>
      </c>
      <c r="Q981" s="177">
        <f t="shared" ref="Q981:Q986" si="234">SUM(P981/O980)</f>
        <v>-0.19601100412654746</v>
      </c>
    </row>
    <row r="982" spans="1:17" x14ac:dyDescent="0.2">
      <c r="B982" t="s">
        <v>302</v>
      </c>
      <c r="C982">
        <v>79</v>
      </c>
      <c r="D982">
        <v>82</v>
      </c>
      <c r="E982">
        <v>82</v>
      </c>
      <c r="F982">
        <v>78</v>
      </c>
      <c r="G982">
        <v>79</v>
      </c>
      <c r="H982">
        <v>83</v>
      </c>
      <c r="I982">
        <v>84</v>
      </c>
      <c r="J982">
        <v>90</v>
      </c>
      <c r="K982">
        <v>95</v>
      </c>
      <c r="L982">
        <v>94</v>
      </c>
      <c r="M982">
        <v>94</v>
      </c>
      <c r="N982">
        <v>72</v>
      </c>
      <c r="O982" s="173">
        <f>SUM(C982:N982)/12</f>
        <v>84.333333333333329</v>
      </c>
      <c r="P982" s="173">
        <f>SUM(O982-O981)</f>
        <v>-13.083333333333343</v>
      </c>
      <c r="Q982" s="177">
        <f t="shared" si="234"/>
        <v>-0.13430282292557752</v>
      </c>
    </row>
    <row r="983" spans="1:17" x14ac:dyDescent="0.2">
      <c r="B983" t="s">
        <v>347</v>
      </c>
      <c r="C983">
        <v>84</v>
      </c>
      <c r="D983">
        <v>87</v>
      </c>
      <c r="E983">
        <v>92</v>
      </c>
      <c r="F983">
        <v>97</v>
      </c>
      <c r="G983">
        <v>101</v>
      </c>
      <c r="H983">
        <v>100</v>
      </c>
      <c r="I983">
        <v>85</v>
      </c>
      <c r="J983">
        <v>86</v>
      </c>
      <c r="K983">
        <v>90</v>
      </c>
      <c r="L983">
        <v>89</v>
      </c>
      <c r="M983">
        <v>83</v>
      </c>
      <c r="N983">
        <v>82</v>
      </c>
      <c r="O983" s="173">
        <f>SUM(C983:N983)/12</f>
        <v>89.666666666666671</v>
      </c>
      <c r="P983" s="173">
        <f>SUM(O983-O982)</f>
        <v>5.3333333333333428</v>
      </c>
      <c r="Q983" s="177">
        <f t="shared" si="234"/>
        <v>6.324110671936771E-2</v>
      </c>
    </row>
    <row r="984" spans="1:17" x14ac:dyDescent="0.2">
      <c r="B984" t="s">
        <v>370</v>
      </c>
      <c r="C984">
        <v>87</v>
      </c>
      <c r="D984">
        <v>86</v>
      </c>
      <c r="E984">
        <v>87</v>
      </c>
      <c r="F984">
        <v>77</v>
      </c>
      <c r="G984">
        <v>76</v>
      </c>
      <c r="H984">
        <v>73</v>
      </c>
      <c r="I984">
        <v>69</v>
      </c>
      <c r="J984">
        <v>75</v>
      </c>
      <c r="K984">
        <v>74</v>
      </c>
      <c r="L984">
        <v>74</v>
      </c>
      <c r="M984">
        <v>72</v>
      </c>
      <c r="N984">
        <v>73</v>
      </c>
      <c r="O984" s="173">
        <f>SUM(C984:N984)/12</f>
        <v>76.916666666666671</v>
      </c>
      <c r="P984" s="173">
        <f>SUM(O984-O983)</f>
        <v>-12.75</v>
      </c>
      <c r="Q984" s="177">
        <f t="shared" si="234"/>
        <v>-0.14219330855018586</v>
      </c>
    </row>
    <row r="985" spans="1:17" x14ac:dyDescent="0.2">
      <c r="B985" t="s">
        <v>452</v>
      </c>
      <c r="C985">
        <v>74</v>
      </c>
      <c r="D985">
        <v>71</v>
      </c>
      <c r="E985">
        <v>77</v>
      </c>
      <c r="F985">
        <v>76</v>
      </c>
      <c r="G985">
        <v>78</v>
      </c>
      <c r="H985">
        <v>71</v>
      </c>
      <c r="I985">
        <v>69</v>
      </c>
      <c r="J985">
        <v>64</v>
      </c>
      <c r="K985">
        <v>62</v>
      </c>
      <c r="L985">
        <v>55</v>
      </c>
      <c r="M985">
        <v>55</v>
      </c>
      <c r="N985">
        <v>54</v>
      </c>
      <c r="O985" s="173">
        <f>SUM(C985:N985)/12</f>
        <v>67.166666666666671</v>
      </c>
      <c r="P985" s="173">
        <f>SUM(O985-O984)</f>
        <v>-9.75</v>
      </c>
      <c r="Q985" s="177">
        <f t="shared" si="234"/>
        <v>-0.12676056338028169</v>
      </c>
    </row>
    <row r="986" spans="1:17" x14ac:dyDescent="0.2">
      <c r="B986" t="s">
        <v>487</v>
      </c>
      <c r="C986">
        <v>59</v>
      </c>
      <c r="D986">
        <v>57</v>
      </c>
      <c r="E986">
        <v>54</v>
      </c>
      <c r="F986">
        <v>53</v>
      </c>
      <c r="G986">
        <v>56</v>
      </c>
      <c r="H986">
        <v>62</v>
      </c>
      <c r="I986">
        <v>55</v>
      </c>
      <c r="J986">
        <v>50</v>
      </c>
      <c r="K986">
        <v>49</v>
      </c>
      <c r="L986">
        <v>51</v>
      </c>
      <c r="M986">
        <v>52</v>
      </c>
      <c r="N986">
        <v>50</v>
      </c>
      <c r="O986" s="173">
        <f>SUM(C986:N986)/12</f>
        <v>54</v>
      </c>
      <c r="P986" s="173">
        <f>SUM(O986-O985)</f>
        <v>-13.166666666666671</v>
      </c>
      <c r="Q986" s="177">
        <f t="shared" si="234"/>
        <v>-0.19602977667493801</v>
      </c>
    </row>
    <row r="987" spans="1:17" x14ac:dyDescent="0.2">
      <c r="B987" t="s">
        <v>561</v>
      </c>
      <c r="C987">
        <v>54</v>
      </c>
      <c r="D987">
        <v>57</v>
      </c>
      <c r="O987" s="173"/>
      <c r="P987" s="173"/>
      <c r="Q987" s="177"/>
    </row>
    <row r="988" spans="1:17" ht="25.5" x14ac:dyDescent="0.2">
      <c r="A988" s="175" t="s">
        <v>463</v>
      </c>
      <c r="B988" s="641" t="s">
        <v>433</v>
      </c>
      <c r="C988" s="642" t="s">
        <v>434</v>
      </c>
      <c r="D988" s="642" t="s">
        <v>435</v>
      </c>
      <c r="E988" s="642" t="s">
        <v>436</v>
      </c>
      <c r="F988" s="642" t="s">
        <v>437</v>
      </c>
      <c r="G988" s="642" t="s">
        <v>438</v>
      </c>
      <c r="H988" s="642" t="s">
        <v>439</v>
      </c>
      <c r="I988" s="642" t="s">
        <v>440</v>
      </c>
      <c r="J988" s="642" t="s">
        <v>441</v>
      </c>
      <c r="K988" s="642" t="s">
        <v>442</v>
      </c>
      <c r="L988" s="642" t="s">
        <v>443</v>
      </c>
      <c r="M988" s="642" t="s">
        <v>444</v>
      </c>
      <c r="N988" s="642" t="s">
        <v>445</v>
      </c>
    </row>
    <row r="989" spans="1:17" x14ac:dyDescent="0.2">
      <c r="B989" t="s">
        <v>449</v>
      </c>
      <c r="C989">
        <v>92</v>
      </c>
      <c r="D989">
        <v>91</v>
      </c>
      <c r="E989">
        <v>97</v>
      </c>
      <c r="F989">
        <v>94</v>
      </c>
      <c r="G989">
        <v>87</v>
      </c>
      <c r="H989">
        <v>85</v>
      </c>
      <c r="I989">
        <v>91</v>
      </c>
      <c r="J989">
        <v>89</v>
      </c>
      <c r="K989">
        <v>92</v>
      </c>
      <c r="L989">
        <v>92</v>
      </c>
      <c r="M989">
        <v>94</v>
      </c>
      <c r="N989">
        <v>92</v>
      </c>
      <c r="O989" s="173">
        <f t="shared" ref="O989:O997" si="235">SUM(C989:N989)/12</f>
        <v>91.333333333333329</v>
      </c>
      <c r="P989" s="173"/>
    </row>
    <row r="990" spans="1:17" x14ac:dyDescent="0.2">
      <c r="B990" t="s">
        <v>450</v>
      </c>
      <c r="C990">
        <v>90</v>
      </c>
      <c r="D990">
        <v>98</v>
      </c>
      <c r="E990">
        <v>89</v>
      </c>
      <c r="F990">
        <v>84</v>
      </c>
      <c r="G990">
        <v>84</v>
      </c>
      <c r="H990">
        <v>78</v>
      </c>
      <c r="I990">
        <v>83</v>
      </c>
      <c r="J990">
        <v>87</v>
      </c>
      <c r="K990">
        <v>81</v>
      </c>
      <c r="L990">
        <v>81</v>
      </c>
      <c r="M990">
        <v>77</v>
      </c>
      <c r="N990">
        <v>79</v>
      </c>
      <c r="O990" s="173">
        <f t="shared" si="235"/>
        <v>84.25</v>
      </c>
      <c r="P990" s="173">
        <f t="shared" ref="P990:P997" si="236">SUM(O990-O989)</f>
        <v>-7.0833333333333286</v>
      </c>
      <c r="Q990" s="177">
        <f t="shared" ref="Q990:Q996" si="237">SUM(P990/O989)</f>
        <v>-7.7554744525547392E-2</v>
      </c>
    </row>
    <row r="991" spans="1:17" x14ac:dyDescent="0.2">
      <c r="B991" t="s">
        <v>451</v>
      </c>
      <c r="C991">
        <v>81</v>
      </c>
      <c r="D991">
        <v>78</v>
      </c>
      <c r="E991">
        <v>73</v>
      </c>
      <c r="F991">
        <v>77</v>
      </c>
      <c r="G991">
        <v>86</v>
      </c>
      <c r="H991">
        <v>96</v>
      </c>
      <c r="I991">
        <v>84</v>
      </c>
      <c r="J991">
        <v>72</v>
      </c>
      <c r="K991">
        <v>74</v>
      </c>
      <c r="L991">
        <v>76</v>
      </c>
      <c r="M991">
        <v>78</v>
      </c>
      <c r="N991">
        <v>88</v>
      </c>
      <c r="O991" s="173">
        <f t="shared" si="235"/>
        <v>80.25</v>
      </c>
      <c r="P991" s="173">
        <f t="shared" si="236"/>
        <v>-4</v>
      </c>
      <c r="Q991" s="177">
        <f t="shared" si="237"/>
        <v>-4.7477744807121663E-2</v>
      </c>
    </row>
    <row r="992" spans="1:17" x14ac:dyDescent="0.2">
      <c r="B992" t="s">
        <v>267</v>
      </c>
      <c r="C992">
        <v>98</v>
      </c>
      <c r="D992">
        <v>98</v>
      </c>
      <c r="E992">
        <v>100</v>
      </c>
      <c r="F992">
        <v>93</v>
      </c>
      <c r="G992">
        <v>93</v>
      </c>
      <c r="H992">
        <v>93</v>
      </c>
      <c r="I992">
        <v>93</v>
      </c>
      <c r="J992">
        <v>93</v>
      </c>
      <c r="K992">
        <v>93</v>
      </c>
      <c r="L992">
        <v>93</v>
      </c>
      <c r="M992">
        <v>93</v>
      </c>
      <c r="N992">
        <v>93</v>
      </c>
      <c r="O992" s="173">
        <f t="shared" si="235"/>
        <v>94.416666666666671</v>
      </c>
      <c r="P992" s="173">
        <f t="shared" si="236"/>
        <v>14.166666666666671</v>
      </c>
      <c r="Q992" s="177">
        <f t="shared" si="237"/>
        <v>0.17653167185877472</v>
      </c>
    </row>
    <row r="993" spans="1:17" x14ac:dyDescent="0.2">
      <c r="B993" t="s">
        <v>266</v>
      </c>
      <c r="C993">
        <v>106</v>
      </c>
      <c r="D993">
        <v>90</v>
      </c>
      <c r="E993">
        <v>91</v>
      </c>
      <c r="F993">
        <v>91</v>
      </c>
      <c r="G993">
        <v>87</v>
      </c>
      <c r="H993">
        <v>80</v>
      </c>
      <c r="I993">
        <v>76</v>
      </c>
      <c r="J993">
        <v>78</v>
      </c>
      <c r="K993">
        <v>83</v>
      </c>
      <c r="L993">
        <v>92</v>
      </c>
      <c r="M993">
        <v>99</v>
      </c>
      <c r="N993">
        <v>101</v>
      </c>
      <c r="O993" s="173">
        <f t="shared" si="235"/>
        <v>89.5</v>
      </c>
      <c r="P993" s="173">
        <f t="shared" si="236"/>
        <v>-4.9166666666666714</v>
      </c>
      <c r="Q993" s="177">
        <f t="shared" si="237"/>
        <v>-5.2074139452780277E-2</v>
      </c>
    </row>
    <row r="994" spans="1:17" x14ac:dyDescent="0.2">
      <c r="B994" t="s">
        <v>287</v>
      </c>
      <c r="C994">
        <v>93</v>
      </c>
      <c r="D994">
        <v>90</v>
      </c>
      <c r="E994">
        <v>91</v>
      </c>
      <c r="F994">
        <v>94</v>
      </c>
      <c r="G994">
        <v>91</v>
      </c>
      <c r="H994">
        <v>91</v>
      </c>
      <c r="I994">
        <v>93</v>
      </c>
      <c r="J994">
        <v>90</v>
      </c>
      <c r="K994">
        <v>83</v>
      </c>
      <c r="L994">
        <v>84</v>
      </c>
      <c r="M994">
        <v>79</v>
      </c>
      <c r="N994">
        <v>77</v>
      </c>
      <c r="O994" s="173">
        <f t="shared" si="235"/>
        <v>88</v>
      </c>
      <c r="P994" s="173">
        <f t="shared" si="236"/>
        <v>-1.5</v>
      </c>
      <c r="Q994" s="177">
        <f t="shared" si="237"/>
        <v>-1.6759776536312849E-2</v>
      </c>
    </row>
    <row r="995" spans="1:17" x14ac:dyDescent="0.2">
      <c r="B995" t="s">
        <v>297</v>
      </c>
      <c r="C995">
        <v>79</v>
      </c>
      <c r="D995">
        <v>78</v>
      </c>
      <c r="E995">
        <v>74</v>
      </c>
      <c r="F995">
        <v>69</v>
      </c>
      <c r="G995">
        <v>66</v>
      </c>
      <c r="H995">
        <v>62</v>
      </c>
      <c r="I995">
        <v>59</v>
      </c>
      <c r="J995">
        <v>64</v>
      </c>
      <c r="K995">
        <v>59</v>
      </c>
      <c r="L995">
        <v>55</v>
      </c>
      <c r="M995">
        <v>61</v>
      </c>
      <c r="N995">
        <v>64</v>
      </c>
      <c r="O995" s="173">
        <f t="shared" si="235"/>
        <v>65.833333333333329</v>
      </c>
      <c r="P995" s="173">
        <f t="shared" si="236"/>
        <v>-22.166666666666671</v>
      </c>
      <c r="Q995" s="177">
        <f t="shared" si="237"/>
        <v>-0.25189393939393945</v>
      </c>
    </row>
    <row r="996" spans="1:17" x14ac:dyDescent="0.2">
      <c r="B996" t="s">
        <v>300</v>
      </c>
      <c r="C996">
        <v>68</v>
      </c>
      <c r="D996">
        <v>67</v>
      </c>
      <c r="E996">
        <v>71</v>
      </c>
      <c r="F996">
        <v>72</v>
      </c>
      <c r="G996">
        <v>81</v>
      </c>
      <c r="H996">
        <v>85</v>
      </c>
      <c r="I996">
        <v>85</v>
      </c>
      <c r="J996">
        <v>85</v>
      </c>
      <c r="K996">
        <v>73</v>
      </c>
      <c r="L996">
        <v>82</v>
      </c>
      <c r="M996">
        <v>78</v>
      </c>
      <c r="N996">
        <v>80</v>
      </c>
      <c r="O996" s="173">
        <f t="shared" si="235"/>
        <v>77.25</v>
      </c>
      <c r="P996" s="173">
        <f t="shared" si="236"/>
        <v>11.416666666666671</v>
      </c>
      <c r="Q996" s="177">
        <f t="shared" si="237"/>
        <v>0.17341772151898743</v>
      </c>
    </row>
    <row r="997" spans="1:17" x14ac:dyDescent="0.2">
      <c r="B997" t="s">
        <v>301</v>
      </c>
      <c r="C997">
        <v>77</v>
      </c>
      <c r="D997">
        <v>75</v>
      </c>
      <c r="E997">
        <v>74</v>
      </c>
      <c r="F997">
        <v>75</v>
      </c>
      <c r="G997">
        <v>75</v>
      </c>
      <c r="H997">
        <v>77</v>
      </c>
      <c r="I997">
        <v>81</v>
      </c>
      <c r="J997">
        <v>79</v>
      </c>
      <c r="K997">
        <v>79</v>
      </c>
      <c r="L997">
        <v>79</v>
      </c>
      <c r="M997">
        <v>80</v>
      </c>
      <c r="N997">
        <v>76</v>
      </c>
      <c r="O997" s="173">
        <f t="shared" si="235"/>
        <v>77.25</v>
      </c>
      <c r="P997" s="173">
        <f t="shared" si="236"/>
        <v>0</v>
      </c>
      <c r="Q997" s="177">
        <f t="shared" ref="Q997:Q1002" si="238">SUM(P997/O996)</f>
        <v>0</v>
      </c>
    </row>
    <row r="998" spans="1:17" x14ac:dyDescent="0.2">
      <c r="B998" t="s">
        <v>302</v>
      </c>
      <c r="C998">
        <v>68</v>
      </c>
      <c r="D998">
        <v>66</v>
      </c>
      <c r="E998">
        <v>65</v>
      </c>
      <c r="F998">
        <v>61</v>
      </c>
      <c r="G998">
        <v>59</v>
      </c>
      <c r="H998">
        <v>57</v>
      </c>
      <c r="I998">
        <v>55</v>
      </c>
      <c r="J998">
        <v>56</v>
      </c>
      <c r="K998">
        <v>58</v>
      </c>
      <c r="L998">
        <v>60</v>
      </c>
      <c r="M998">
        <v>61</v>
      </c>
      <c r="N998">
        <v>62</v>
      </c>
      <c r="O998" s="173">
        <f>SUM(C998:N998)/12</f>
        <v>60.666666666666664</v>
      </c>
      <c r="P998" s="173">
        <f>SUM(O998-O997)</f>
        <v>-16.583333333333336</v>
      </c>
      <c r="Q998" s="177">
        <f t="shared" si="238"/>
        <v>-0.21467098166127296</v>
      </c>
    </row>
    <row r="999" spans="1:17" x14ac:dyDescent="0.2">
      <c r="B999" t="s">
        <v>347</v>
      </c>
      <c r="C999">
        <v>58</v>
      </c>
      <c r="D999">
        <v>59</v>
      </c>
      <c r="E999">
        <v>55</v>
      </c>
      <c r="F999">
        <v>68</v>
      </c>
      <c r="G999">
        <v>62</v>
      </c>
      <c r="H999">
        <v>58</v>
      </c>
      <c r="I999">
        <v>55</v>
      </c>
      <c r="J999">
        <v>58</v>
      </c>
      <c r="K999">
        <v>59</v>
      </c>
      <c r="L999">
        <v>57</v>
      </c>
      <c r="M999">
        <v>52</v>
      </c>
      <c r="N999">
        <v>54</v>
      </c>
      <c r="O999" s="173">
        <f>SUM(C999:N999)/12</f>
        <v>57.916666666666664</v>
      </c>
      <c r="P999" s="173">
        <f>SUM(O999-O998)</f>
        <v>-2.75</v>
      </c>
      <c r="Q999" s="177">
        <f t="shared" si="238"/>
        <v>-4.5329670329670328E-2</v>
      </c>
    </row>
    <row r="1000" spans="1:17" x14ac:dyDescent="0.2">
      <c r="B1000" t="s">
        <v>370</v>
      </c>
      <c r="C1000">
        <v>55</v>
      </c>
      <c r="D1000">
        <v>55</v>
      </c>
      <c r="E1000">
        <v>49</v>
      </c>
      <c r="F1000">
        <v>51</v>
      </c>
      <c r="G1000">
        <v>53</v>
      </c>
      <c r="H1000">
        <v>57</v>
      </c>
      <c r="I1000">
        <v>63</v>
      </c>
      <c r="J1000">
        <v>65</v>
      </c>
      <c r="K1000">
        <v>65</v>
      </c>
      <c r="L1000">
        <v>61</v>
      </c>
      <c r="M1000">
        <v>66</v>
      </c>
      <c r="N1000">
        <v>63</v>
      </c>
      <c r="O1000" s="173">
        <f>SUM(C1000:N1000)/12</f>
        <v>58.583333333333336</v>
      </c>
      <c r="P1000" s="173">
        <f>SUM(O1000-O999)</f>
        <v>0.6666666666666714</v>
      </c>
      <c r="Q1000" s="177">
        <f t="shared" si="238"/>
        <v>1.1510791366906557E-2</v>
      </c>
    </row>
    <row r="1001" spans="1:17" x14ac:dyDescent="0.2">
      <c r="B1001" t="s">
        <v>452</v>
      </c>
      <c r="C1001">
        <v>63</v>
      </c>
      <c r="D1001">
        <v>66</v>
      </c>
      <c r="E1001">
        <v>66</v>
      </c>
      <c r="F1001">
        <v>59</v>
      </c>
      <c r="G1001">
        <v>69</v>
      </c>
      <c r="H1001">
        <v>72</v>
      </c>
      <c r="I1001">
        <v>76</v>
      </c>
      <c r="J1001">
        <v>75</v>
      </c>
      <c r="K1001">
        <v>81</v>
      </c>
      <c r="L1001">
        <v>82</v>
      </c>
      <c r="M1001">
        <v>70</v>
      </c>
      <c r="N1001">
        <v>80</v>
      </c>
      <c r="O1001" s="173">
        <f>SUM(C1001:N1001)/12</f>
        <v>71.583333333333329</v>
      </c>
      <c r="P1001" s="173">
        <f>SUM(O1001-O1000)</f>
        <v>12.999999999999993</v>
      </c>
      <c r="Q1001" s="177">
        <f t="shared" si="238"/>
        <v>0.22190611664295862</v>
      </c>
    </row>
    <row r="1002" spans="1:17" x14ac:dyDescent="0.2">
      <c r="B1002" t="s">
        <v>487</v>
      </c>
      <c r="C1002">
        <v>72</v>
      </c>
      <c r="D1002">
        <v>71</v>
      </c>
      <c r="E1002">
        <v>74</v>
      </c>
      <c r="F1002">
        <v>75</v>
      </c>
      <c r="G1002">
        <v>69</v>
      </c>
      <c r="H1002">
        <v>74</v>
      </c>
      <c r="I1002">
        <v>72</v>
      </c>
      <c r="J1002">
        <v>74</v>
      </c>
      <c r="K1002">
        <v>79</v>
      </c>
      <c r="L1002">
        <v>82</v>
      </c>
      <c r="M1002">
        <v>87</v>
      </c>
      <c r="N1002">
        <v>87</v>
      </c>
      <c r="O1002" s="173">
        <f>SUM(C1002:N1002)/12</f>
        <v>76.333333333333329</v>
      </c>
      <c r="P1002" s="173">
        <f>SUM(O1002-O1001)</f>
        <v>4.75</v>
      </c>
      <c r="Q1002" s="177">
        <f t="shared" si="238"/>
        <v>6.6356228172293363E-2</v>
      </c>
    </row>
    <row r="1003" spans="1:17" x14ac:dyDescent="0.2">
      <c r="B1003" t="s">
        <v>561</v>
      </c>
      <c r="C1003">
        <v>94</v>
      </c>
      <c r="D1003">
        <v>94</v>
      </c>
      <c r="O1003" s="173"/>
      <c r="P1003" s="173"/>
      <c r="Q1003" s="177"/>
    </row>
    <row r="1004" spans="1:17" ht="25.5" x14ac:dyDescent="0.2">
      <c r="A1004" s="175" t="s">
        <v>464</v>
      </c>
      <c r="B1004" s="641" t="s">
        <v>433</v>
      </c>
      <c r="C1004" s="642" t="s">
        <v>434</v>
      </c>
      <c r="D1004" s="642" t="s">
        <v>435</v>
      </c>
      <c r="E1004" s="642" t="s">
        <v>436</v>
      </c>
      <c r="F1004" s="642" t="s">
        <v>437</v>
      </c>
      <c r="G1004" s="642" t="s">
        <v>438</v>
      </c>
      <c r="H1004" s="642" t="s">
        <v>439</v>
      </c>
      <c r="I1004" s="642" t="s">
        <v>440</v>
      </c>
      <c r="J1004" s="642" t="s">
        <v>441</v>
      </c>
      <c r="K1004" s="642" t="s">
        <v>442</v>
      </c>
      <c r="L1004" s="642" t="s">
        <v>443</v>
      </c>
      <c r="M1004" s="642" t="s">
        <v>444</v>
      </c>
      <c r="N1004" s="642" t="s">
        <v>445</v>
      </c>
    </row>
    <row r="1005" spans="1:17" x14ac:dyDescent="0.2">
      <c r="B1005" t="s">
        <v>449</v>
      </c>
      <c r="C1005">
        <v>438</v>
      </c>
      <c r="D1005">
        <v>444</v>
      </c>
      <c r="E1005">
        <v>446</v>
      </c>
      <c r="F1005">
        <v>441</v>
      </c>
      <c r="G1005">
        <v>444</v>
      </c>
      <c r="H1005">
        <v>449</v>
      </c>
      <c r="I1005">
        <v>447</v>
      </c>
      <c r="J1005">
        <v>460</v>
      </c>
      <c r="K1005">
        <v>465</v>
      </c>
      <c r="L1005">
        <v>463</v>
      </c>
      <c r="M1005">
        <v>469</v>
      </c>
      <c r="N1005">
        <v>478</v>
      </c>
      <c r="O1005" s="173">
        <f t="shared" ref="O1005:O1013" si="239">SUM(C1005:N1005)/12</f>
        <v>453.66666666666669</v>
      </c>
      <c r="P1005" s="173"/>
    </row>
    <row r="1006" spans="1:17" x14ac:dyDescent="0.2">
      <c r="B1006" t="s">
        <v>450</v>
      </c>
      <c r="C1006">
        <v>474</v>
      </c>
      <c r="D1006">
        <v>481</v>
      </c>
      <c r="E1006">
        <v>491</v>
      </c>
      <c r="F1006">
        <v>478</v>
      </c>
      <c r="G1006">
        <v>472</v>
      </c>
      <c r="H1006">
        <v>477</v>
      </c>
      <c r="I1006">
        <v>476</v>
      </c>
      <c r="J1006">
        <v>470</v>
      </c>
      <c r="K1006">
        <v>467</v>
      </c>
      <c r="L1006">
        <v>480</v>
      </c>
      <c r="M1006">
        <v>461</v>
      </c>
      <c r="N1006">
        <v>449</v>
      </c>
      <c r="O1006" s="173">
        <f t="shared" si="239"/>
        <v>473</v>
      </c>
      <c r="P1006" s="173">
        <f t="shared" ref="P1006:P1013" si="240">SUM(O1006-O1005)</f>
        <v>19.333333333333314</v>
      </c>
      <c r="Q1006" s="177">
        <f t="shared" ref="Q1006:Q1012" si="241">SUM(P1006/O1005)</f>
        <v>4.261572373254955E-2</v>
      </c>
    </row>
    <row r="1007" spans="1:17" x14ac:dyDescent="0.2">
      <c r="B1007" t="s">
        <v>451</v>
      </c>
      <c r="C1007">
        <v>463</v>
      </c>
      <c r="D1007">
        <v>474</v>
      </c>
      <c r="E1007">
        <v>480</v>
      </c>
      <c r="F1007">
        <v>457</v>
      </c>
      <c r="G1007">
        <v>459</v>
      </c>
      <c r="H1007">
        <v>469</v>
      </c>
      <c r="I1007">
        <v>460</v>
      </c>
      <c r="J1007">
        <v>446</v>
      </c>
      <c r="K1007">
        <v>457</v>
      </c>
      <c r="L1007">
        <v>468</v>
      </c>
      <c r="M1007">
        <v>479</v>
      </c>
      <c r="N1007">
        <v>490</v>
      </c>
      <c r="O1007" s="173">
        <f t="shared" si="239"/>
        <v>466.83333333333331</v>
      </c>
      <c r="P1007" s="173">
        <f t="shared" si="240"/>
        <v>-6.1666666666666856</v>
      </c>
      <c r="Q1007" s="177">
        <f t="shared" si="241"/>
        <v>-1.3037350246652613E-2</v>
      </c>
    </row>
    <row r="1008" spans="1:17" x14ac:dyDescent="0.2">
      <c r="B1008" t="s">
        <v>267</v>
      </c>
      <c r="C1008">
        <v>537</v>
      </c>
      <c r="D1008">
        <v>544</v>
      </c>
      <c r="E1008">
        <v>514</v>
      </c>
      <c r="F1008">
        <v>562</v>
      </c>
      <c r="G1008">
        <v>557</v>
      </c>
      <c r="H1008">
        <v>551</v>
      </c>
      <c r="I1008">
        <v>545</v>
      </c>
      <c r="J1008">
        <v>538</v>
      </c>
      <c r="K1008">
        <v>525</v>
      </c>
      <c r="L1008">
        <v>518</v>
      </c>
      <c r="M1008">
        <v>502</v>
      </c>
      <c r="N1008">
        <v>506</v>
      </c>
      <c r="O1008" s="173">
        <f t="shared" si="239"/>
        <v>533.25</v>
      </c>
      <c r="P1008" s="173">
        <f t="shared" si="240"/>
        <v>66.416666666666686</v>
      </c>
      <c r="Q1008" s="177">
        <f t="shared" si="241"/>
        <v>0.14227061763655841</v>
      </c>
    </row>
    <row r="1009" spans="1:17" x14ac:dyDescent="0.2">
      <c r="B1009" t="s">
        <v>266</v>
      </c>
      <c r="C1009">
        <v>519</v>
      </c>
      <c r="D1009">
        <v>507</v>
      </c>
      <c r="E1009">
        <v>516</v>
      </c>
      <c r="F1009">
        <v>509</v>
      </c>
      <c r="G1009">
        <v>495</v>
      </c>
      <c r="H1009">
        <v>503</v>
      </c>
      <c r="I1009">
        <v>484</v>
      </c>
      <c r="J1009">
        <v>484</v>
      </c>
      <c r="K1009">
        <v>477</v>
      </c>
      <c r="L1009">
        <v>470</v>
      </c>
      <c r="M1009">
        <v>474</v>
      </c>
      <c r="N1009">
        <v>464</v>
      </c>
      <c r="O1009" s="173">
        <f t="shared" si="239"/>
        <v>491.83333333333331</v>
      </c>
      <c r="P1009" s="173">
        <f t="shared" si="240"/>
        <v>-41.416666666666686</v>
      </c>
      <c r="Q1009" s="177">
        <f t="shared" si="241"/>
        <v>-7.7668385685263353E-2</v>
      </c>
    </row>
    <row r="1010" spans="1:17" x14ac:dyDescent="0.2">
      <c r="B1010" t="s">
        <v>287</v>
      </c>
      <c r="C1010">
        <v>472</v>
      </c>
      <c r="D1010">
        <v>489</v>
      </c>
      <c r="E1010">
        <v>468</v>
      </c>
      <c r="F1010">
        <v>461</v>
      </c>
      <c r="G1010">
        <v>460</v>
      </c>
      <c r="H1010">
        <v>449</v>
      </c>
      <c r="I1010">
        <v>436</v>
      </c>
      <c r="J1010">
        <v>442</v>
      </c>
      <c r="K1010">
        <v>445</v>
      </c>
      <c r="L1010">
        <v>458</v>
      </c>
      <c r="M1010">
        <v>472</v>
      </c>
      <c r="N1010">
        <v>480</v>
      </c>
      <c r="O1010" s="173">
        <f t="shared" si="239"/>
        <v>461</v>
      </c>
      <c r="P1010" s="173">
        <f t="shared" si="240"/>
        <v>-30.833333333333314</v>
      </c>
      <c r="Q1010" s="177">
        <f t="shared" si="241"/>
        <v>-6.2690613351406271E-2</v>
      </c>
    </row>
    <row r="1011" spans="1:17" x14ac:dyDescent="0.2">
      <c r="B1011" t="s">
        <v>297</v>
      </c>
      <c r="C1011">
        <v>478</v>
      </c>
      <c r="D1011">
        <v>478</v>
      </c>
      <c r="E1011">
        <v>474</v>
      </c>
      <c r="F1011">
        <v>493</v>
      </c>
      <c r="G1011">
        <v>488</v>
      </c>
      <c r="H1011">
        <v>495</v>
      </c>
      <c r="I1011">
        <v>507</v>
      </c>
      <c r="J1011">
        <v>499</v>
      </c>
      <c r="K1011">
        <v>500</v>
      </c>
      <c r="L1011">
        <v>518</v>
      </c>
      <c r="M1011">
        <v>540</v>
      </c>
      <c r="N1011">
        <v>551</v>
      </c>
      <c r="O1011" s="173">
        <f t="shared" si="239"/>
        <v>501.75</v>
      </c>
      <c r="P1011" s="173">
        <f t="shared" si="240"/>
        <v>40.75</v>
      </c>
      <c r="Q1011" s="177">
        <f t="shared" si="241"/>
        <v>8.8394793926247286E-2</v>
      </c>
    </row>
    <row r="1012" spans="1:17" x14ac:dyDescent="0.2">
      <c r="B1012" t="s">
        <v>300</v>
      </c>
      <c r="C1012">
        <v>551</v>
      </c>
      <c r="D1012">
        <v>536</v>
      </c>
      <c r="E1012">
        <v>521</v>
      </c>
      <c r="F1012">
        <v>522</v>
      </c>
      <c r="G1012">
        <v>527</v>
      </c>
      <c r="H1012">
        <v>545</v>
      </c>
      <c r="I1012">
        <v>548</v>
      </c>
      <c r="J1012">
        <v>549</v>
      </c>
      <c r="K1012">
        <v>549</v>
      </c>
      <c r="L1012">
        <v>650</v>
      </c>
      <c r="M1012">
        <v>666</v>
      </c>
      <c r="N1012">
        <v>591</v>
      </c>
      <c r="O1012" s="173">
        <f t="shared" si="239"/>
        <v>562.91666666666663</v>
      </c>
      <c r="P1012" s="173">
        <f t="shared" si="240"/>
        <v>61.166666666666629</v>
      </c>
      <c r="Q1012" s="177">
        <f t="shared" si="241"/>
        <v>0.12190666002325187</v>
      </c>
    </row>
    <row r="1013" spans="1:17" x14ac:dyDescent="0.2">
      <c r="B1013" t="s">
        <v>301</v>
      </c>
      <c r="C1013">
        <v>596</v>
      </c>
      <c r="D1013">
        <v>617</v>
      </c>
      <c r="E1013">
        <v>722</v>
      </c>
      <c r="F1013">
        <v>657</v>
      </c>
      <c r="G1013">
        <v>723</v>
      </c>
      <c r="H1013">
        <v>717</v>
      </c>
      <c r="I1013">
        <v>729</v>
      </c>
      <c r="J1013">
        <v>730</v>
      </c>
      <c r="K1013">
        <v>721</v>
      </c>
      <c r="L1013">
        <v>721</v>
      </c>
      <c r="M1013">
        <v>754</v>
      </c>
      <c r="N1013">
        <v>770</v>
      </c>
      <c r="O1013" s="173">
        <f t="shared" si="239"/>
        <v>704.75</v>
      </c>
      <c r="P1013" s="173">
        <f t="shared" si="240"/>
        <v>141.83333333333337</v>
      </c>
      <c r="Q1013" s="177">
        <f t="shared" ref="Q1013:Q1018" si="242">SUM(P1013/O1012)</f>
        <v>0.25196150999259814</v>
      </c>
    </row>
    <row r="1014" spans="1:17" x14ac:dyDescent="0.2">
      <c r="B1014" t="s">
        <v>302</v>
      </c>
      <c r="C1014">
        <v>711</v>
      </c>
      <c r="D1014">
        <v>710</v>
      </c>
      <c r="E1014">
        <v>721</v>
      </c>
      <c r="F1014">
        <v>726</v>
      </c>
      <c r="G1014">
        <v>736</v>
      </c>
      <c r="H1014">
        <v>731</v>
      </c>
      <c r="I1014">
        <v>722</v>
      </c>
      <c r="J1014">
        <v>719</v>
      </c>
      <c r="K1014">
        <v>722</v>
      </c>
      <c r="L1014">
        <v>750</v>
      </c>
      <c r="M1014">
        <v>759</v>
      </c>
      <c r="N1014">
        <v>764</v>
      </c>
      <c r="O1014" s="173">
        <f>SUM(C1014:N1014)/12</f>
        <v>730.91666666666663</v>
      </c>
      <c r="P1014" s="173">
        <f>SUM(O1014-O1013)</f>
        <v>26.166666666666629</v>
      </c>
      <c r="Q1014" s="177">
        <f t="shared" si="242"/>
        <v>3.7129005557526254E-2</v>
      </c>
    </row>
    <row r="1015" spans="1:17" x14ac:dyDescent="0.2">
      <c r="B1015" t="s">
        <v>347</v>
      </c>
      <c r="C1015">
        <v>750</v>
      </c>
      <c r="D1015">
        <v>743</v>
      </c>
      <c r="E1015">
        <v>732</v>
      </c>
      <c r="F1015">
        <v>728</v>
      </c>
      <c r="G1015">
        <v>713</v>
      </c>
      <c r="H1015">
        <v>774</v>
      </c>
      <c r="I1015">
        <v>746</v>
      </c>
      <c r="J1015">
        <v>760</v>
      </c>
      <c r="K1015">
        <v>768</v>
      </c>
      <c r="L1015">
        <v>783</v>
      </c>
      <c r="M1015">
        <v>769</v>
      </c>
      <c r="N1015">
        <v>766</v>
      </c>
      <c r="O1015" s="173">
        <f>SUM(C1015:N1015)/12</f>
        <v>752.66666666666663</v>
      </c>
      <c r="P1015" s="173">
        <f>SUM(O1015-O1014)</f>
        <v>21.75</v>
      </c>
      <c r="Q1015" s="177">
        <f t="shared" si="242"/>
        <v>2.9757154258351386E-2</v>
      </c>
    </row>
    <row r="1016" spans="1:17" x14ac:dyDescent="0.2">
      <c r="B1016" t="s">
        <v>370</v>
      </c>
      <c r="C1016">
        <v>793</v>
      </c>
      <c r="D1016">
        <v>763</v>
      </c>
      <c r="E1016">
        <v>771</v>
      </c>
      <c r="F1016">
        <v>782</v>
      </c>
      <c r="G1016">
        <v>756</v>
      </c>
      <c r="H1016">
        <v>768</v>
      </c>
      <c r="I1016">
        <v>763</v>
      </c>
      <c r="J1016">
        <v>762</v>
      </c>
      <c r="K1016">
        <v>773</v>
      </c>
      <c r="L1016">
        <v>776</v>
      </c>
      <c r="M1016">
        <v>743</v>
      </c>
      <c r="N1016">
        <v>744</v>
      </c>
      <c r="O1016" s="173">
        <f>SUM(C1016:N1016)/12</f>
        <v>766.16666666666663</v>
      </c>
      <c r="P1016" s="173">
        <f>SUM(O1016-O1015)</f>
        <v>13.5</v>
      </c>
      <c r="Q1016" s="177">
        <f t="shared" si="242"/>
        <v>1.7936226749335697E-2</v>
      </c>
    </row>
    <row r="1017" spans="1:17" x14ac:dyDescent="0.2">
      <c r="B1017" t="s">
        <v>452</v>
      </c>
      <c r="C1017">
        <v>746</v>
      </c>
      <c r="D1017">
        <v>738</v>
      </c>
      <c r="E1017">
        <v>726</v>
      </c>
      <c r="F1017">
        <v>723</v>
      </c>
      <c r="G1017">
        <v>723</v>
      </c>
      <c r="H1017">
        <v>711</v>
      </c>
      <c r="I1017">
        <v>722</v>
      </c>
      <c r="J1017">
        <v>715</v>
      </c>
      <c r="K1017">
        <v>701</v>
      </c>
      <c r="L1017">
        <v>696</v>
      </c>
      <c r="M1017">
        <v>716</v>
      </c>
      <c r="N1017">
        <v>722</v>
      </c>
      <c r="O1017" s="173">
        <f>SUM(C1017:N1017)/12</f>
        <v>719.91666666666663</v>
      </c>
      <c r="P1017" s="173">
        <f>SUM(O1017-O1016)</f>
        <v>-46.25</v>
      </c>
      <c r="Q1017" s="177">
        <f t="shared" si="242"/>
        <v>-6.0365455731999133E-2</v>
      </c>
    </row>
    <row r="1018" spans="1:17" x14ac:dyDescent="0.2">
      <c r="B1018" t="s">
        <v>487</v>
      </c>
      <c r="C1018">
        <v>720</v>
      </c>
      <c r="D1018">
        <v>754</v>
      </c>
      <c r="E1018">
        <v>702</v>
      </c>
      <c r="F1018">
        <v>720</v>
      </c>
      <c r="G1018">
        <v>705</v>
      </c>
      <c r="H1018">
        <v>715</v>
      </c>
      <c r="I1018">
        <v>712</v>
      </c>
      <c r="J1018">
        <v>720</v>
      </c>
      <c r="K1018">
        <v>712</v>
      </c>
      <c r="L1018">
        <v>709</v>
      </c>
      <c r="M1018">
        <v>704</v>
      </c>
      <c r="N1018">
        <v>720</v>
      </c>
      <c r="O1018" s="173">
        <f>SUM(C1018:N1018)/12</f>
        <v>716.08333333333337</v>
      </c>
      <c r="P1018" s="173">
        <f>SUM(O1018-O1017)</f>
        <v>-3.8333333333332575</v>
      </c>
      <c r="Q1018" s="177">
        <f t="shared" si="242"/>
        <v>-5.3246903576801823E-3</v>
      </c>
    </row>
    <row r="1019" spans="1:17" x14ac:dyDescent="0.2">
      <c r="B1019" t="s">
        <v>561</v>
      </c>
      <c r="C1019">
        <v>726</v>
      </c>
      <c r="D1019">
        <v>712</v>
      </c>
      <c r="O1019" s="173"/>
      <c r="P1019" s="173"/>
      <c r="Q1019" s="177"/>
    </row>
    <row r="1020" spans="1:17" x14ac:dyDescent="0.2">
      <c r="A1020" s="178"/>
      <c r="B1020" s="178"/>
      <c r="C1020" s="178"/>
      <c r="D1020" s="178"/>
      <c r="E1020" s="178"/>
      <c r="F1020" s="178"/>
      <c r="G1020" s="178"/>
      <c r="H1020" s="178"/>
      <c r="I1020" s="178"/>
      <c r="J1020" s="178"/>
      <c r="K1020" s="178"/>
      <c r="L1020" s="178"/>
      <c r="M1020" s="178"/>
      <c r="N1020" s="178"/>
      <c r="O1020" s="178"/>
      <c r="P1020" s="178"/>
      <c r="Q1020" s="178"/>
    </row>
    <row r="1021" spans="1:17" ht="25.5" x14ac:dyDescent="0.2">
      <c r="A1021" s="175" t="s">
        <v>465</v>
      </c>
      <c r="B1021" s="641" t="s">
        <v>433</v>
      </c>
      <c r="C1021" s="642" t="s">
        <v>434</v>
      </c>
      <c r="D1021" s="642" t="s">
        <v>435</v>
      </c>
      <c r="E1021" s="642" t="s">
        <v>436</v>
      </c>
      <c r="F1021" s="642" t="s">
        <v>437</v>
      </c>
      <c r="G1021" s="642" t="s">
        <v>438</v>
      </c>
      <c r="H1021" s="642" t="s">
        <v>439</v>
      </c>
      <c r="I1021" s="642" t="s">
        <v>440</v>
      </c>
      <c r="J1021" s="642" t="s">
        <v>441</v>
      </c>
      <c r="K1021" s="642" t="s">
        <v>442</v>
      </c>
      <c r="L1021" s="642" t="s">
        <v>443</v>
      </c>
      <c r="M1021" s="642" t="s">
        <v>444</v>
      </c>
      <c r="N1021" s="642" t="s">
        <v>445</v>
      </c>
    </row>
    <row r="1022" spans="1:17" x14ac:dyDescent="0.2">
      <c r="B1022" t="s">
        <v>449</v>
      </c>
      <c r="C1022">
        <v>51</v>
      </c>
      <c r="D1022">
        <v>44</v>
      </c>
      <c r="E1022">
        <v>43</v>
      </c>
      <c r="F1022">
        <v>39</v>
      </c>
      <c r="G1022">
        <v>39</v>
      </c>
      <c r="H1022">
        <v>39</v>
      </c>
      <c r="I1022">
        <v>43</v>
      </c>
      <c r="J1022">
        <v>41</v>
      </c>
      <c r="K1022">
        <v>42</v>
      </c>
      <c r="L1022">
        <v>42</v>
      </c>
      <c r="M1022">
        <v>43</v>
      </c>
      <c r="N1022">
        <v>40</v>
      </c>
      <c r="O1022" s="173">
        <f t="shared" ref="O1022:O1030" si="243">SUM(C1022:N1022)/12</f>
        <v>42.166666666666664</v>
      </c>
      <c r="P1022" s="173"/>
    </row>
    <row r="1023" spans="1:17" x14ac:dyDescent="0.2">
      <c r="B1023" t="s">
        <v>450</v>
      </c>
      <c r="C1023">
        <v>43</v>
      </c>
      <c r="D1023">
        <v>47</v>
      </c>
      <c r="E1023">
        <v>47</v>
      </c>
      <c r="F1023">
        <v>51</v>
      </c>
      <c r="G1023">
        <v>46</v>
      </c>
      <c r="H1023">
        <v>44</v>
      </c>
      <c r="I1023">
        <v>48</v>
      </c>
      <c r="J1023">
        <v>41</v>
      </c>
      <c r="K1023">
        <v>47</v>
      </c>
      <c r="L1023">
        <v>44</v>
      </c>
      <c r="M1023">
        <v>43</v>
      </c>
      <c r="N1023">
        <v>46</v>
      </c>
      <c r="O1023" s="173">
        <f t="shared" si="243"/>
        <v>45.583333333333336</v>
      </c>
      <c r="P1023" s="173">
        <f t="shared" ref="P1023:P1030" si="244">SUM(O1023-O1022)</f>
        <v>3.4166666666666714</v>
      </c>
      <c r="Q1023" s="177">
        <f t="shared" ref="Q1023:Q1029" si="245">SUM(P1023/O1022)</f>
        <v>8.1027667984189838E-2</v>
      </c>
    </row>
    <row r="1024" spans="1:17" x14ac:dyDescent="0.2">
      <c r="B1024" t="s">
        <v>451</v>
      </c>
      <c r="C1024">
        <v>45</v>
      </c>
      <c r="D1024">
        <v>49</v>
      </c>
      <c r="E1024">
        <v>48</v>
      </c>
      <c r="F1024">
        <v>51</v>
      </c>
      <c r="G1024">
        <v>51</v>
      </c>
      <c r="H1024">
        <v>46</v>
      </c>
      <c r="I1024">
        <v>49</v>
      </c>
      <c r="J1024">
        <v>45</v>
      </c>
      <c r="K1024">
        <v>46</v>
      </c>
      <c r="L1024">
        <v>47</v>
      </c>
      <c r="M1024">
        <v>48</v>
      </c>
      <c r="N1024">
        <v>49</v>
      </c>
      <c r="O1024" s="173">
        <f t="shared" si="243"/>
        <v>47.833333333333336</v>
      </c>
      <c r="P1024" s="173">
        <f t="shared" si="244"/>
        <v>2.25</v>
      </c>
      <c r="Q1024" s="177">
        <f t="shared" si="245"/>
        <v>4.9360146252285186E-2</v>
      </c>
    </row>
    <row r="1025" spans="1:18" x14ac:dyDescent="0.2">
      <c r="B1025" t="s">
        <v>267</v>
      </c>
      <c r="C1025">
        <v>35</v>
      </c>
      <c r="D1025">
        <v>35</v>
      </c>
      <c r="E1025">
        <v>36</v>
      </c>
      <c r="F1025">
        <v>39</v>
      </c>
      <c r="G1025">
        <v>39</v>
      </c>
      <c r="H1025">
        <v>43</v>
      </c>
      <c r="I1025">
        <v>47</v>
      </c>
      <c r="J1025">
        <v>45</v>
      </c>
      <c r="K1025">
        <v>47</v>
      </c>
      <c r="L1025">
        <v>51</v>
      </c>
      <c r="M1025">
        <v>47</v>
      </c>
      <c r="N1025">
        <v>45</v>
      </c>
      <c r="O1025" s="173">
        <f t="shared" si="243"/>
        <v>42.416666666666664</v>
      </c>
      <c r="P1025" s="173">
        <f t="shared" si="244"/>
        <v>-5.4166666666666714</v>
      </c>
      <c r="Q1025" s="177">
        <f t="shared" si="245"/>
        <v>-0.113240418118467</v>
      </c>
    </row>
    <row r="1026" spans="1:18" x14ac:dyDescent="0.2">
      <c r="B1026" t="s">
        <v>266</v>
      </c>
      <c r="C1026">
        <v>55</v>
      </c>
      <c r="D1026">
        <v>51</v>
      </c>
      <c r="E1026">
        <v>49</v>
      </c>
      <c r="F1026">
        <v>51</v>
      </c>
      <c r="G1026">
        <v>52</v>
      </c>
      <c r="H1026">
        <v>54</v>
      </c>
      <c r="I1026">
        <v>55</v>
      </c>
      <c r="J1026">
        <v>55</v>
      </c>
      <c r="K1026">
        <v>42</v>
      </c>
      <c r="L1026">
        <v>38</v>
      </c>
      <c r="M1026">
        <v>85</v>
      </c>
      <c r="N1026">
        <v>81</v>
      </c>
      <c r="O1026" s="173">
        <f t="shared" si="243"/>
        <v>55.666666666666664</v>
      </c>
      <c r="P1026" s="173">
        <f t="shared" si="244"/>
        <v>13.25</v>
      </c>
      <c r="Q1026" s="177">
        <f t="shared" si="245"/>
        <v>0.31237721021611004</v>
      </c>
    </row>
    <row r="1027" spans="1:18" x14ac:dyDescent="0.2">
      <c r="B1027" t="s">
        <v>287</v>
      </c>
      <c r="C1027">
        <v>81</v>
      </c>
      <c r="D1027">
        <v>81</v>
      </c>
      <c r="E1027">
        <v>74</v>
      </c>
      <c r="F1027">
        <v>79</v>
      </c>
      <c r="G1027">
        <v>77</v>
      </c>
      <c r="H1027">
        <v>77</v>
      </c>
      <c r="I1027">
        <v>74</v>
      </c>
      <c r="J1027">
        <v>74</v>
      </c>
      <c r="K1027">
        <v>74</v>
      </c>
      <c r="L1027">
        <v>75</v>
      </c>
      <c r="M1027">
        <v>75</v>
      </c>
      <c r="N1027">
        <v>76</v>
      </c>
      <c r="O1027" s="173">
        <f t="shared" si="243"/>
        <v>76.416666666666671</v>
      </c>
      <c r="P1027" s="173">
        <f t="shared" si="244"/>
        <v>20.750000000000007</v>
      </c>
      <c r="Q1027" s="177">
        <f t="shared" si="245"/>
        <v>0.37275449101796421</v>
      </c>
    </row>
    <row r="1028" spans="1:18" x14ac:dyDescent="0.2">
      <c r="B1028" t="s">
        <v>297</v>
      </c>
      <c r="C1028">
        <v>78</v>
      </c>
      <c r="D1028">
        <v>76</v>
      </c>
      <c r="E1028">
        <v>80</v>
      </c>
      <c r="F1028">
        <v>81</v>
      </c>
      <c r="G1028">
        <v>77</v>
      </c>
      <c r="H1028">
        <v>76</v>
      </c>
      <c r="I1028">
        <v>74</v>
      </c>
      <c r="J1028">
        <v>76</v>
      </c>
      <c r="K1028">
        <v>71</v>
      </c>
      <c r="L1028">
        <v>71</v>
      </c>
      <c r="M1028">
        <v>74</v>
      </c>
      <c r="N1028">
        <v>75</v>
      </c>
      <c r="O1028" s="173">
        <f t="shared" si="243"/>
        <v>75.75</v>
      </c>
      <c r="P1028" s="173">
        <f t="shared" si="244"/>
        <v>-0.6666666666666714</v>
      </c>
      <c r="Q1028" s="177">
        <f t="shared" si="245"/>
        <v>-8.7241003271538234E-3</v>
      </c>
    </row>
    <row r="1029" spans="1:18" x14ac:dyDescent="0.2">
      <c r="B1029" t="s">
        <v>300</v>
      </c>
      <c r="C1029">
        <v>75</v>
      </c>
      <c r="D1029">
        <v>74</v>
      </c>
      <c r="E1029">
        <v>73</v>
      </c>
      <c r="F1029">
        <v>72</v>
      </c>
      <c r="G1029">
        <v>75</v>
      </c>
      <c r="H1029">
        <v>74</v>
      </c>
      <c r="I1029">
        <v>73</v>
      </c>
      <c r="J1029">
        <v>73</v>
      </c>
      <c r="K1029">
        <v>71</v>
      </c>
      <c r="L1029">
        <v>84</v>
      </c>
      <c r="M1029">
        <v>79</v>
      </c>
      <c r="N1029">
        <v>74</v>
      </c>
      <c r="O1029" s="173">
        <f t="shared" si="243"/>
        <v>74.75</v>
      </c>
      <c r="P1029" s="173">
        <f t="shared" si="244"/>
        <v>-1</v>
      </c>
      <c r="Q1029" s="177">
        <f t="shared" si="245"/>
        <v>-1.3201320132013201E-2</v>
      </c>
      <c r="R1029" s="177"/>
    </row>
    <row r="1030" spans="1:18" x14ac:dyDescent="0.2">
      <c r="B1030" t="s">
        <v>301</v>
      </c>
      <c r="C1030">
        <v>70</v>
      </c>
      <c r="D1030">
        <v>68</v>
      </c>
      <c r="E1030">
        <v>80</v>
      </c>
      <c r="F1030">
        <v>73</v>
      </c>
      <c r="G1030">
        <v>82</v>
      </c>
      <c r="H1030">
        <v>81</v>
      </c>
      <c r="I1030">
        <v>83</v>
      </c>
      <c r="J1030">
        <v>80</v>
      </c>
      <c r="K1030">
        <v>78</v>
      </c>
      <c r="L1030">
        <v>78</v>
      </c>
      <c r="M1030">
        <v>78</v>
      </c>
      <c r="N1030">
        <v>86</v>
      </c>
      <c r="O1030" s="173">
        <f t="shared" si="243"/>
        <v>78.083333333333329</v>
      </c>
      <c r="P1030" s="173">
        <f t="shared" si="244"/>
        <v>3.3333333333333286</v>
      </c>
      <c r="Q1030" s="177">
        <f t="shared" ref="Q1030:Q1035" si="246">SUM(P1030/O1029)</f>
        <v>4.4593088071348874E-2</v>
      </c>
    </row>
    <row r="1031" spans="1:18" x14ac:dyDescent="0.2">
      <c r="B1031" t="s">
        <v>302</v>
      </c>
      <c r="C1031">
        <v>75</v>
      </c>
      <c r="D1031">
        <v>74</v>
      </c>
      <c r="E1031">
        <v>79</v>
      </c>
      <c r="F1031">
        <v>77</v>
      </c>
      <c r="G1031">
        <v>75</v>
      </c>
      <c r="H1031">
        <v>66</v>
      </c>
      <c r="I1031">
        <v>64</v>
      </c>
      <c r="J1031">
        <v>64</v>
      </c>
      <c r="K1031">
        <v>47</v>
      </c>
      <c r="L1031">
        <v>47</v>
      </c>
      <c r="M1031">
        <v>45</v>
      </c>
      <c r="N1031">
        <v>47</v>
      </c>
      <c r="O1031" s="173">
        <f>SUM(C1031:N1031)/12</f>
        <v>63.333333333333336</v>
      </c>
      <c r="P1031" s="173">
        <f>SUM(O1031-O1030)</f>
        <v>-14.749999999999993</v>
      </c>
      <c r="Q1031" s="177">
        <f t="shared" si="246"/>
        <v>-0.18890074706510132</v>
      </c>
    </row>
    <row r="1032" spans="1:18" x14ac:dyDescent="0.2">
      <c r="B1032" t="s">
        <v>347</v>
      </c>
      <c r="C1032">
        <v>42</v>
      </c>
      <c r="D1032">
        <v>43</v>
      </c>
      <c r="E1032">
        <v>41</v>
      </c>
      <c r="F1032">
        <v>41</v>
      </c>
      <c r="G1032">
        <v>38</v>
      </c>
      <c r="H1032">
        <v>54</v>
      </c>
      <c r="I1032">
        <v>60</v>
      </c>
      <c r="J1032">
        <v>53</v>
      </c>
      <c r="K1032">
        <v>57</v>
      </c>
      <c r="L1032">
        <v>45</v>
      </c>
      <c r="M1032">
        <v>48</v>
      </c>
      <c r="N1032">
        <v>49</v>
      </c>
      <c r="O1032" s="173">
        <f>SUM(C1032:N1032)/12</f>
        <v>47.583333333333336</v>
      </c>
      <c r="P1032" s="173">
        <f>SUM(O1032-O1031)</f>
        <v>-15.75</v>
      </c>
      <c r="Q1032" s="177">
        <f t="shared" si="246"/>
        <v>-0.24868421052631579</v>
      </c>
    </row>
    <row r="1033" spans="1:18" x14ac:dyDescent="0.2">
      <c r="B1033" t="s">
        <v>370</v>
      </c>
      <c r="C1033">
        <v>49</v>
      </c>
      <c r="D1033">
        <v>51</v>
      </c>
      <c r="E1033">
        <v>45</v>
      </c>
      <c r="F1033">
        <v>54</v>
      </c>
      <c r="G1033">
        <v>56</v>
      </c>
      <c r="H1033">
        <v>56</v>
      </c>
      <c r="I1033">
        <v>53</v>
      </c>
      <c r="J1033">
        <v>50</v>
      </c>
      <c r="K1033">
        <v>47</v>
      </c>
      <c r="L1033">
        <v>44</v>
      </c>
      <c r="M1033">
        <v>44</v>
      </c>
      <c r="N1033">
        <v>52</v>
      </c>
      <c r="O1033" s="173">
        <f>SUM(C1033:N1033)/12</f>
        <v>50.083333333333336</v>
      </c>
      <c r="P1033" s="173">
        <f>SUM(O1033-O1032)</f>
        <v>2.5</v>
      </c>
      <c r="Q1033" s="177">
        <f t="shared" si="246"/>
        <v>5.2539404553415062E-2</v>
      </c>
    </row>
    <row r="1034" spans="1:18" x14ac:dyDescent="0.2">
      <c r="B1034" t="s">
        <v>452</v>
      </c>
      <c r="C1034">
        <v>54</v>
      </c>
      <c r="D1034">
        <v>54</v>
      </c>
      <c r="E1034">
        <v>51</v>
      </c>
      <c r="F1034">
        <v>57</v>
      </c>
      <c r="G1034">
        <v>56</v>
      </c>
      <c r="H1034">
        <v>64</v>
      </c>
      <c r="I1034">
        <v>66</v>
      </c>
      <c r="J1034">
        <v>65</v>
      </c>
      <c r="K1034">
        <v>65</v>
      </c>
      <c r="L1034">
        <v>65</v>
      </c>
      <c r="M1034">
        <v>72</v>
      </c>
      <c r="N1034">
        <v>63</v>
      </c>
      <c r="O1034" s="173">
        <f>SUM(C1034:N1034)/12</f>
        <v>61</v>
      </c>
      <c r="P1034" s="173">
        <f>SUM(O1034-O1033)</f>
        <v>10.916666666666664</v>
      </c>
      <c r="Q1034" s="177">
        <f t="shared" si="246"/>
        <v>0.21797004991680527</v>
      </c>
    </row>
    <row r="1035" spans="1:18" x14ac:dyDescent="0.2">
      <c r="B1035" t="s">
        <v>487</v>
      </c>
      <c r="C1035">
        <v>67</v>
      </c>
      <c r="D1035">
        <v>65</v>
      </c>
      <c r="E1035">
        <v>65</v>
      </c>
      <c r="F1035">
        <v>61</v>
      </c>
      <c r="G1035">
        <v>59</v>
      </c>
      <c r="H1035">
        <v>58</v>
      </c>
      <c r="I1035">
        <v>53</v>
      </c>
      <c r="J1035">
        <v>56</v>
      </c>
      <c r="K1035">
        <v>57</v>
      </c>
      <c r="L1035">
        <v>57</v>
      </c>
      <c r="M1035">
        <v>52</v>
      </c>
      <c r="N1035">
        <v>58</v>
      </c>
      <c r="O1035" s="173">
        <f>SUM(C1035:N1035)/12</f>
        <v>59</v>
      </c>
      <c r="P1035" s="173">
        <f>SUM(O1035-O1034)</f>
        <v>-2</v>
      </c>
      <c r="Q1035" s="177">
        <f t="shared" si="246"/>
        <v>-3.2786885245901641E-2</v>
      </c>
    </row>
    <row r="1036" spans="1:18" x14ac:dyDescent="0.2">
      <c r="B1036" t="s">
        <v>561</v>
      </c>
      <c r="C1036">
        <v>55</v>
      </c>
      <c r="D1036">
        <v>43</v>
      </c>
      <c r="O1036" s="173"/>
      <c r="P1036" s="173"/>
      <c r="Q1036" s="177"/>
    </row>
    <row r="1037" spans="1:18" x14ac:dyDescent="0.2">
      <c r="A1037" s="644" t="s">
        <v>466</v>
      </c>
      <c r="B1037" s="642" t="s">
        <v>433</v>
      </c>
      <c r="C1037" s="642" t="s">
        <v>434</v>
      </c>
      <c r="D1037" s="642" t="s">
        <v>435</v>
      </c>
      <c r="E1037" s="642" t="s">
        <v>436</v>
      </c>
      <c r="F1037" s="642" t="s">
        <v>437</v>
      </c>
      <c r="G1037" s="642" t="s">
        <v>438</v>
      </c>
      <c r="H1037" s="642" t="s">
        <v>439</v>
      </c>
      <c r="I1037" s="642" t="s">
        <v>440</v>
      </c>
      <c r="J1037" s="642" t="s">
        <v>441</v>
      </c>
      <c r="K1037" s="642" t="s">
        <v>442</v>
      </c>
      <c r="L1037" s="642" t="s">
        <v>443</v>
      </c>
      <c r="M1037" s="642" t="s">
        <v>444</v>
      </c>
      <c r="N1037" s="642" t="s">
        <v>445</v>
      </c>
    </row>
    <row r="1038" spans="1:18" x14ac:dyDescent="0.2">
      <c r="B1038" t="s">
        <v>347</v>
      </c>
      <c r="H1038">
        <v>120</v>
      </c>
      <c r="I1038">
        <v>96</v>
      </c>
      <c r="J1038">
        <v>123</v>
      </c>
      <c r="K1038">
        <v>105</v>
      </c>
      <c r="L1038">
        <v>122</v>
      </c>
      <c r="M1038">
        <v>118</v>
      </c>
      <c r="N1038">
        <v>118</v>
      </c>
      <c r="O1038" s="173">
        <f>SUM(C1038:N1038)/7</f>
        <v>114.57142857142857</v>
      </c>
      <c r="P1038" s="173"/>
      <c r="Q1038" s="177"/>
    </row>
    <row r="1039" spans="1:18" x14ac:dyDescent="0.2">
      <c r="B1039" t="s">
        <v>370</v>
      </c>
      <c r="C1039">
        <v>108</v>
      </c>
      <c r="D1039">
        <v>110</v>
      </c>
      <c r="E1039">
        <v>105</v>
      </c>
      <c r="F1039">
        <v>102</v>
      </c>
      <c r="G1039">
        <v>121</v>
      </c>
      <c r="H1039">
        <v>133</v>
      </c>
      <c r="I1039">
        <v>137</v>
      </c>
      <c r="J1039">
        <v>129</v>
      </c>
      <c r="K1039">
        <v>137</v>
      </c>
      <c r="L1039">
        <v>140</v>
      </c>
      <c r="M1039">
        <v>134</v>
      </c>
      <c r="N1039">
        <v>128</v>
      </c>
      <c r="O1039" s="173">
        <f>SUM(C1039:N1039)/12</f>
        <v>123.66666666666667</v>
      </c>
      <c r="P1039" s="173">
        <f>SUM(O1039-O1038)</f>
        <v>9.095238095238102</v>
      </c>
      <c r="Q1039" s="177">
        <f>SUM(P1039/O1038)</f>
        <v>7.9384871155444778E-2</v>
      </c>
    </row>
    <row r="1040" spans="1:18" x14ac:dyDescent="0.2">
      <c r="B1040" t="s">
        <v>452</v>
      </c>
      <c r="C1040">
        <v>109</v>
      </c>
      <c r="D1040">
        <v>111</v>
      </c>
      <c r="E1040">
        <v>117</v>
      </c>
      <c r="F1040">
        <v>117</v>
      </c>
      <c r="G1040">
        <v>122</v>
      </c>
      <c r="H1040">
        <v>122</v>
      </c>
      <c r="I1040">
        <v>140</v>
      </c>
      <c r="J1040">
        <v>138</v>
      </c>
      <c r="K1040">
        <v>138</v>
      </c>
      <c r="L1040">
        <v>107</v>
      </c>
      <c r="M1040">
        <v>109</v>
      </c>
      <c r="N1040">
        <v>128</v>
      </c>
      <c r="O1040" s="173">
        <f>SUM(C1040:N1040)/12</f>
        <v>121.5</v>
      </c>
      <c r="P1040" s="173">
        <f>SUM(O1040-O1039)</f>
        <v>-2.1666666666666714</v>
      </c>
      <c r="Q1040" s="177">
        <f>SUM(P1040/O1039)</f>
        <v>-1.7520215633423219E-2</v>
      </c>
    </row>
    <row r="1041" spans="1:18" x14ac:dyDescent="0.2">
      <c r="B1041" t="s">
        <v>487</v>
      </c>
      <c r="C1041">
        <v>109</v>
      </c>
      <c r="D1041">
        <v>116</v>
      </c>
      <c r="E1041">
        <v>125</v>
      </c>
      <c r="F1041">
        <v>113</v>
      </c>
      <c r="G1041">
        <v>99</v>
      </c>
      <c r="H1041">
        <v>98</v>
      </c>
      <c r="I1041">
        <v>107</v>
      </c>
      <c r="J1041">
        <v>113</v>
      </c>
      <c r="K1041">
        <v>118</v>
      </c>
      <c r="L1041">
        <v>105</v>
      </c>
      <c r="M1041">
        <v>107</v>
      </c>
      <c r="N1041">
        <v>110</v>
      </c>
      <c r="O1041" s="173">
        <f>SUM(C1041:N1041)/12</f>
        <v>110</v>
      </c>
      <c r="P1041" s="173">
        <f>SUM(O1041-O1040)</f>
        <v>-11.5</v>
      </c>
      <c r="Q1041" s="177">
        <f>SUM(P1041/O1040)</f>
        <v>-9.4650205761316872E-2</v>
      </c>
    </row>
    <row r="1042" spans="1:18" x14ac:dyDescent="0.2">
      <c r="B1042" t="s">
        <v>561</v>
      </c>
      <c r="C1042">
        <v>111</v>
      </c>
      <c r="D1042">
        <v>102</v>
      </c>
    </row>
    <row r="1046" spans="1:18" x14ac:dyDescent="0.2">
      <c r="A1046" s="178"/>
      <c r="B1046" s="178"/>
      <c r="C1046" s="178"/>
      <c r="D1046" s="178"/>
      <c r="E1046" s="178"/>
      <c r="F1046" s="178"/>
      <c r="G1046" s="178"/>
      <c r="H1046" s="178"/>
      <c r="I1046" s="178"/>
      <c r="J1046" s="178"/>
      <c r="K1046" s="178"/>
      <c r="L1046" s="178"/>
      <c r="M1046" s="178"/>
      <c r="N1046" s="178"/>
      <c r="O1046" s="178"/>
      <c r="P1046" s="178"/>
      <c r="Q1046" s="178"/>
      <c r="R1046" s="178"/>
    </row>
    <row r="1047" spans="1:18" ht="38.25" x14ac:dyDescent="0.2">
      <c r="A1047" s="664" t="s">
        <v>467</v>
      </c>
      <c r="B1047" s="641" t="s">
        <v>433</v>
      </c>
      <c r="C1047" s="642" t="s">
        <v>434</v>
      </c>
      <c r="D1047" s="642" t="s">
        <v>435</v>
      </c>
      <c r="E1047" s="642" t="s">
        <v>436</v>
      </c>
      <c r="F1047" s="642" t="s">
        <v>437</v>
      </c>
      <c r="G1047" s="642" t="s">
        <v>438</v>
      </c>
      <c r="H1047" s="642" t="s">
        <v>439</v>
      </c>
      <c r="I1047" s="642" t="s">
        <v>440</v>
      </c>
      <c r="J1047" s="642" t="s">
        <v>441</v>
      </c>
      <c r="K1047" s="642" t="s">
        <v>442</v>
      </c>
      <c r="L1047" s="642" t="s">
        <v>443</v>
      </c>
      <c r="M1047" s="642" t="s">
        <v>444</v>
      </c>
      <c r="N1047" s="642" t="s">
        <v>445</v>
      </c>
      <c r="O1047" s="174" t="s">
        <v>446</v>
      </c>
      <c r="P1047" s="648" t="s">
        <v>447</v>
      </c>
      <c r="Q1047" s="648" t="s">
        <v>448</v>
      </c>
      <c r="R1047" s="648" t="s">
        <v>468</v>
      </c>
    </row>
    <row r="1048" spans="1:18" x14ac:dyDescent="0.2">
      <c r="A1048" s="653" t="s">
        <v>486</v>
      </c>
      <c r="B1048" t="s">
        <v>449</v>
      </c>
      <c r="C1048">
        <f t="shared" ref="C1048:N1060" si="247">SUM(C826,C842,C858,C875,C891,C907,C924,C940,C956,C973,C989,C1005,C1022)</f>
        <v>4476</v>
      </c>
      <c r="D1048">
        <f t="shared" si="247"/>
        <v>4483</v>
      </c>
      <c r="E1048">
        <f t="shared" si="247"/>
        <v>4465</v>
      </c>
      <c r="F1048">
        <f t="shared" si="247"/>
        <v>4430</v>
      </c>
      <c r="G1048">
        <f t="shared" si="247"/>
        <v>4464</v>
      </c>
      <c r="H1048">
        <f t="shared" si="247"/>
        <v>4489</v>
      </c>
      <c r="I1048">
        <f t="shared" si="247"/>
        <v>4483</v>
      </c>
      <c r="J1048">
        <f t="shared" si="247"/>
        <v>4518</v>
      </c>
      <c r="K1048">
        <f t="shared" si="247"/>
        <v>4524</v>
      </c>
      <c r="L1048">
        <f t="shared" si="247"/>
        <v>4527</v>
      </c>
      <c r="M1048">
        <f t="shared" si="247"/>
        <v>4496</v>
      </c>
      <c r="N1048">
        <f t="shared" si="247"/>
        <v>4561</v>
      </c>
      <c r="O1048">
        <f t="shared" ref="O1048:O1056" si="248">SUM(C1048:N1048)/12</f>
        <v>4493</v>
      </c>
      <c r="P1048" s="649"/>
      <c r="Q1048" s="649"/>
      <c r="R1048" s="649"/>
    </row>
    <row r="1049" spans="1:18" x14ac:dyDescent="0.2">
      <c r="B1049" t="s">
        <v>450</v>
      </c>
      <c r="C1049">
        <f t="shared" si="247"/>
        <v>4520</v>
      </c>
      <c r="D1049">
        <f t="shared" si="247"/>
        <v>4564</v>
      </c>
      <c r="E1049">
        <f t="shared" si="247"/>
        <v>4554</v>
      </c>
      <c r="F1049">
        <f t="shared" si="247"/>
        <v>4570</v>
      </c>
      <c r="G1049">
        <f t="shared" si="247"/>
        <v>4539</v>
      </c>
      <c r="H1049">
        <f t="shared" si="247"/>
        <v>4559</v>
      </c>
      <c r="I1049">
        <f t="shared" si="247"/>
        <v>4522</v>
      </c>
      <c r="J1049">
        <f t="shared" si="247"/>
        <v>4548</v>
      </c>
      <c r="K1049">
        <f t="shared" si="247"/>
        <v>4510</v>
      </c>
      <c r="L1049">
        <f t="shared" si="247"/>
        <v>4548</v>
      </c>
      <c r="M1049">
        <f t="shared" si="247"/>
        <v>4537</v>
      </c>
      <c r="N1049">
        <f t="shared" si="247"/>
        <v>4525</v>
      </c>
      <c r="O1049" s="173">
        <f t="shared" si="248"/>
        <v>4541.333333333333</v>
      </c>
      <c r="P1049" s="650">
        <f t="shared" ref="P1049:P1055" si="249">SUM(O1049-N1048)</f>
        <v>-19.66666666666697</v>
      </c>
      <c r="Q1049" s="651">
        <f t="shared" ref="Q1049:Q1057" si="250">SUM(P1049/O1048)</f>
        <v>-4.3771793159730621E-3</v>
      </c>
      <c r="R1049" s="649"/>
    </row>
    <row r="1050" spans="1:18" x14ac:dyDescent="0.2">
      <c r="B1050" t="s">
        <v>451</v>
      </c>
      <c r="C1050">
        <f t="shared" si="247"/>
        <v>4558</v>
      </c>
      <c r="D1050">
        <f t="shared" si="247"/>
        <v>4615</v>
      </c>
      <c r="E1050">
        <f t="shared" si="247"/>
        <v>4607</v>
      </c>
      <c r="F1050">
        <f t="shared" si="247"/>
        <v>4575</v>
      </c>
      <c r="G1050">
        <f t="shared" si="247"/>
        <v>4575</v>
      </c>
      <c r="H1050">
        <f t="shared" si="247"/>
        <v>4624</v>
      </c>
      <c r="I1050">
        <f t="shared" si="247"/>
        <v>4604</v>
      </c>
      <c r="J1050">
        <f t="shared" si="247"/>
        <v>4666</v>
      </c>
      <c r="K1050">
        <f t="shared" si="247"/>
        <v>4736</v>
      </c>
      <c r="L1050">
        <f t="shared" si="247"/>
        <v>4774</v>
      </c>
      <c r="M1050">
        <f t="shared" si="247"/>
        <v>4832</v>
      </c>
      <c r="N1050">
        <f t="shared" si="247"/>
        <v>4872</v>
      </c>
      <c r="O1050" s="173">
        <f t="shared" si="248"/>
        <v>4669.833333333333</v>
      </c>
      <c r="P1050" s="650">
        <f t="shared" si="249"/>
        <v>144.83333333333303</v>
      </c>
      <c r="Q1050" s="651">
        <f t="shared" si="250"/>
        <v>3.1892248972401581E-2</v>
      </c>
      <c r="R1050" s="651">
        <f>SUM(Q1049:Q1050)</f>
        <v>2.7515069656428519E-2</v>
      </c>
    </row>
    <row r="1051" spans="1:18" x14ac:dyDescent="0.2">
      <c r="B1051" t="s">
        <v>267</v>
      </c>
      <c r="C1051">
        <f t="shared" si="247"/>
        <v>4823</v>
      </c>
      <c r="D1051">
        <f t="shared" si="247"/>
        <v>4949</v>
      </c>
      <c r="E1051">
        <f t="shared" si="247"/>
        <v>4738</v>
      </c>
      <c r="F1051">
        <f t="shared" si="247"/>
        <v>4753</v>
      </c>
      <c r="G1051">
        <f t="shared" si="247"/>
        <v>4796</v>
      </c>
      <c r="H1051">
        <f t="shared" si="247"/>
        <v>4795</v>
      </c>
      <c r="I1051">
        <f t="shared" si="247"/>
        <v>4787</v>
      </c>
      <c r="J1051">
        <f t="shared" si="247"/>
        <v>4789</v>
      </c>
      <c r="K1051">
        <f t="shared" si="247"/>
        <v>4682</v>
      </c>
      <c r="L1051">
        <f t="shared" si="247"/>
        <v>4694</v>
      </c>
      <c r="M1051">
        <f t="shared" si="247"/>
        <v>4685</v>
      </c>
      <c r="N1051">
        <f t="shared" si="247"/>
        <v>4723</v>
      </c>
      <c r="O1051" s="173">
        <f t="shared" si="248"/>
        <v>4767.833333333333</v>
      </c>
      <c r="P1051" s="650">
        <f t="shared" si="249"/>
        <v>-104.16666666666697</v>
      </c>
      <c r="Q1051" s="651">
        <f t="shared" si="250"/>
        <v>-2.2306292158892245E-2</v>
      </c>
      <c r="R1051" s="651">
        <f>SUM(Q1049:Q1051)</f>
        <v>5.2087774975362738E-3</v>
      </c>
    </row>
    <row r="1052" spans="1:18" x14ac:dyDescent="0.2">
      <c r="B1052" t="s">
        <v>266</v>
      </c>
      <c r="C1052">
        <f t="shared" si="247"/>
        <v>4934</v>
      </c>
      <c r="D1052">
        <f t="shared" si="247"/>
        <v>4681</v>
      </c>
      <c r="E1052">
        <f t="shared" si="247"/>
        <v>4701</v>
      </c>
      <c r="F1052">
        <f t="shared" si="247"/>
        <v>4713</v>
      </c>
      <c r="G1052">
        <f t="shared" si="247"/>
        <v>4644</v>
      </c>
      <c r="H1052">
        <f t="shared" si="247"/>
        <v>4760</v>
      </c>
      <c r="I1052">
        <f t="shared" si="247"/>
        <v>4760</v>
      </c>
      <c r="J1052">
        <f t="shared" si="247"/>
        <v>4753</v>
      </c>
      <c r="K1052">
        <f t="shared" si="247"/>
        <v>4744</v>
      </c>
      <c r="L1052">
        <f t="shared" si="247"/>
        <v>4764</v>
      </c>
      <c r="M1052">
        <f t="shared" si="247"/>
        <v>4810</v>
      </c>
      <c r="N1052">
        <f t="shared" si="247"/>
        <v>4804</v>
      </c>
      <c r="O1052" s="173">
        <f t="shared" si="248"/>
        <v>4755.666666666667</v>
      </c>
      <c r="P1052" s="650">
        <f t="shared" si="249"/>
        <v>32.66666666666697</v>
      </c>
      <c r="Q1052" s="651">
        <f t="shared" si="250"/>
        <v>6.8514699199497264E-3</v>
      </c>
      <c r="R1052" s="651">
        <f>SUM(Q1049:Q1052)</f>
        <v>1.2060247417486E-2</v>
      </c>
    </row>
    <row r="1053" spans="1:18" x14ac:dyDescent="0.2">
      <c r="B1053" t="s">
        <v>287</v>
      </c>
      <c r="C1053">
        <f t="shared" si="247"/>
        <v>4780</v>
      </c>
      <c r="D1053">
        <f t="shared" si="247"/>
        <v>4815</v>
      </c>
      <c r="E1053">
        <f t="shared" si="247"/>
        <v>4843</v>
      </c>
      <c r="F1053">
        <f t="shared" si="247"/>
        <v>4851</v>
      </c>
      <c r="G1053">
        <f t="shared" si="247"/>
        <v>4883</v>
      </c>
      <c r="H1053">
        <f t="shared" si="247"/>
        <v>4792</v>
      </c>
      <c r="I1053">
        <f t="shared" si="247"/>
        <v>4842</v>
      </c>
      <c r="J1053">
        <f t="shared" si="247"/>
        <v>4977</v>
      </c>
      <c r="K1053">
        <f t="shared" si="247"/>
        <v>4949</v>
      </c>
      <c r="L1053">
        <f t="shared" si="247"/>
        <v>4956</v>
      </c>
      <c r="M1053">
        <f t="shared" si="247"/>
        <v>5017</v>
      </c>
      <c r="N1053">
        <f t="shared" si="247"/>
        <v>4991</v>
      </c>
      <c r="O1053" s="173">
        <f t="shared" si="248"/>
        <v>4891.333333333333</v>
      </c>
      <c r="P1053" s="650">
        <f t="shared" si="249"/>
        <v>87.33333333333303</v>
      </c>
      <c r="Q1053" s="651">
        <f t="shared" si="250"/>
        <v>1.8364056914558006E-2</v>
      </c>
      <c r="R1053" s="651">
        <f>SUM(Q1049:Q1053)</f>
        <v>3.0424304332044006E-2</v>
      </c>
    </row>
    <row r="1054" spans="1:18" x14ac:dyDescent="0.2">
      <c r="B1054" t="s">
        <v>297</v>
      </c>
      <c r="C1054">
        <f t="shared" si="247"/>
        <v>5030</v>
      </c>
      <c r="D1054">
        <f t="shared" si="247"/>
        <v>5070</v>
      </c>
      <c r="E1054">
        <f t="shared" si="247"/>
        <v>5041</v>
      </c>
      <c r="F1054">
        <f t="shared" si="247"/>
        <v>5085</v>
      </c>
      <c r="G1054">
        <f t="shared" si="247"/>
        <v>5067</v>
      </c>
      <c r="H1054">
        <f t="shared" si="247"/>
        <v>5102</v>
      </c>
      <c r="I1054">
        <f t="shared" si="247"/>
        <v>5086</v>
      </c>
      <c r="J1054">
        <f t="shared" si="247"/>
        <v>5164</v>
      </c>
      <c r="K1054">
        <f t="shared" si="247"/>
        <v>5141</v>
      </c>
      <c r="L1054">
        <f t="shared" si="247"/>
        <v>5196</v>
      </c>
      <c r="M1054">
        <f t="shared" si="247"/>
        <v>5262</v>
      </c>
      <c r="N1054">
        <f t="shared" si="247"/>
        <v>5272</v>
      </c>
      <c r="O1054" s="173">
        <f t="shared" si="248"/>
        <v>5126.333333333333</v>
      </c>
      <c r="P1054" s="650">
        <f t="shared" si="249"/>
        <v>135.33333333333303</v>
      </c>
      <c r="Q1054" s="651">
        <f t="shared" si="250"/>
        <v>2.7667984189723261E-2</v>
      </c>
      <c r="R1054" s="651">
        <f>SUM(Q1049:Q1054)</f>
        <v>5.8092288521767267E-2</v>
      </c>
    </row>
    <row r="1055" spans="1:18" x14ac:dyDescent="0.2">
      <c r="B1055" t="s">
        <v>300</v>
      </c>
      <c r="C1055">
        <f t="shared" si="247"/>
        <v>5300</v>
      </c>
      <c r="D1055">
        <f t="shared" si="247"/>
        <v>5270</v>
      </c>
      <c r="E1055">
        <f t="shared" si="247"/>
        <v>5214</v>
      </c>
      <c r="F1055">
        <f t="shared" si="247"/>
        <v>5280</v>
      </c>
      <c r="G1055">
        <f t="shared" si="247"/>
        <v>5289</v>
      </c>
      <c r="H1055">
        <f t="shared" si="247"/>
        <v>5344</v>
      </c>
      <c r="I1055">
        <f t="shared" si="247"/>
        <v>5315</v>
      </c>
      <c r="J1055">
        <f t="shared" si="247"/>
        <v>5326</v>
      </c>
      <c r="K1055">
        <f t="shared" si="247"/>
        <v>5260</v>
      </c>
      <c r="L1055">
        <f t="shared" si="247"/>
        <v>5801</v>
      </c>
      <c r="M1055">
        <f t="shared" si="247"/>
        <v>5765</v>
      </c>
      <c r="N1055">
        <f t="shared" si="247"/>
        <v>5296</v>
      </c>
      <c r="O1055" s="173">
        <f t="shared" si="248"/>
        <v>5371.666666666667</v>
      </c>
      <c r="P1055" s="650">
        <f t="shared" si="249"/>
        <v>99.66666666666697</v>
      </c>
      <c r="Q1055" s="651">
        <f t="shared" si="250"/>
        <v>1.9442096365173349E-2</v>
      </c>
      <c r="R1055" s="651">
        <f t="shared" ref="R1055:R1060" si="251">SUM(Q1049:Q1055)</f>
        <v>7.7534384886940616E-2</v>
      </c>
    </row>
    <row r="1056" spans="1:18" x14ac:dyDescent="0.2">
      <c r="B1056" t="s">
        <v>301</v>
      </c>
      <c r="C1056">
        <f t="shared" si="247"/>
        <v>5324</v>
      </c>
      <c r="D1056">
        <f t="shared" si="247"/>
        <v>5413</v>
      </c>
      <c r="E1056">
        <f t="shared" si="247"/>
        <v>5738</v>
      </c>
      <c r="F1056">
        <f t="shared" si="247"/>
        <v>5475</v>
      </c>
      <c r="G1056">
        <f t="shared" si="247"/>
        <v>5231</v>
      </c>
      <c r="H1056">
        <f t="shared" si="247"/>
        <v>5265</v>
      </c>
      <c r="I1056">
        <f t="shared" si="247"/>
        <v>5442</v>
      </c>
      <c r="J1056">
        <f t="shared" si="247"/>
        <v>5402</v>
      </c>
      <c r="K1056">
        <f t="shared" si="247"/>
        <v>5364</v>
      </c>
      <c r="L1056">
        <f t="shared" si="247"/>
        <v>5409</v>
      </c>
      <c r="M1056">
        <f t="shared" si="247"/>
        <v>5790</v>
      </c>
      <c r="N1056">
        <f t="shared" si="247"/>
        <v>5890</v>
      </c>
      <c r="O1056" s="173">
        <f t="shared" si="248"/>
        <v>5478.583333333333</v>
      </c>
      <c r="P1056" s="650">
        <f t="shared" ref="P1056:P1061" si="252">SUM(O1056-O1055)</f>
        <v>106.91666666666606</v>
      </c>
      <c r="Q1056" s="651">
        <f t="shared" si="250"/>
        <v>1.9903816320198459E-2</v>
      </c>
      <c r="R1056" s="651">
        <f t="shared" si="251"/>
        <v>0.10181538052311213</v>
      </c>
    </row>
    <row r="1057" spans="1:18" x14ac:dyDescent="0.2">
      <c r="B1057" t="s">
        <v>302</v>
      </c>
      <c r="C1057">
        <f t="shared" si="247"/>
        <v>5636</v>
      </c>
      <c r="D1057">
        <f t="shared" si="247"/>
        <v>5620</v>
      </c>
      <c r="E1057">
        <f t="shared" si="247"/>
        <v>5623</v>
      </c>
      <c r="F1057">
        <f t="shared" si="247"/>
        <v>5600</v>
      </c>
      <c r="G1057">
        <f t="shared" si="247"/>
        <v>5642</v>
      </c>
      <c r="H1057">
        <f t="shared" si="247"/>
        <v>5678</v>
      </c>
      <c r="I1057">
        <f t="shared" si="247"/>
        <v>5668</v>
      </c>
      <c r="J1057">
        <f t="shared" si="247"/>
        <v>5682</v>
      </c>
      <c r="K1057">
        <f t="shared" si="247"/>
        <v>5707</v>
      </c>
      <c r="L1057">
        <f t="shared" si="247"/>
        <v>5751</v>
      </c>
      <c r="M1057">
        <f t="shared" si="247"/>
        <v>5791</v>
      </c>
      <c r="N1057">
        <f t="shared" si="247"/>
        <v>5813</v>
      </c>
      <c r="O1057" s="173">
        <f>SUM(C1057:N1057)/12</f>
        <v>5684.25</v>
      </c>
      <c r="P1057" s="650">
        <f t="shared" si="252"/>
        <v>205.66666666666697</v>
      </c>
      <c r="Q1057" s="651">
        <f t="shared" si="250"/>
        <v>3.7540118339595148E-2</v>
      </c>
      <c r="R1057" s="651">
        <f t="shared" si="251"/>
        <v>0.1074632498903057</v>
      </c>
    </row>
    <row r="1058" spans="1:18" x14ac:dyDescent="0.2">
      <c r="B1058" t="s">
        <v>347</v>
      </c>
      <c r="C1058">
        <f t="shared" si="247"/>
        <v>5792</v>
      </c>
      <c r="D1058">
        <f t="shared" si="247"/>
        <v>5837</v>
      </c>
      <c r="E1058">
        <f t="shared" si="247"/>
        <v>5783</v>
      </c>
      <c r="F1058">
        <f t="shared" si="247"/>
        <v>5776</v>
      </c>
      <c r="G1058">
        <f t="shared" si="247"/>
        <v>5691</v>
      </c>
      <c r="H1058">
        <f t="shared" si="247"/>
        <v>5868</v>
      </c>
      <c r="I1058">
        <f t="shared" si="247"/>
        <v>5812</v>
      </c>
      <c r="J1058">
        <f t="shared" si="247"/>
        <v>5855</v>
      </c>
      <c r="K1058">
        <f t="shared" si="247"/>
        <v>5867</v>
      </c>
      <c r="L1058">
        <f t="shared" si="247"/>
        <v>5881</v>
      </c>
      <c r="M1058">
        <f t="shared" si="247"/>
        <v>5824</v>
      </c>
      <c r="N1058">
        <f t="shared" si="247"/>
        <v>5846</v>
      </c>
      <c r="O1058" s="173">
        <f>SUM(C1058:N1058)/12</f>
        <v>5819.333333333333</v>
      </c>
      <c r="P1058" s="650">
        <f t="shared" si="252"/>
        <v>135.08333333333303</v>
      </c>
      <c r="Q1058" s="651">
        <f>SUM(P1058/O1057)</f>
        <v>2.3764495462608618E-2</v>
      </c>
      <c r="R1058" s="651">
        <f t="shared" si="251"/>
        <v>0.15353403751180655</v>
      </c>
    </row>
    <row r="1059" spans="1:18" x14ac:dyDescent="0.2">
      <c r="B1059" t="s">
        <v>370</v>
      </c>
      <c r="C1059">
        <f t="shared" si="247"/>
        <v>5909</v>
      </c>
      <c r="D1059">
        <f t="shared" si="247"/>
        <v>5921</v>
      </c>
      <c r="E1059">
        <f t="shared" si="247"/>
        <v>5881</v>
      </c>
      <c r="F1059">
        <f t="shared" si="247"/>
        <v>5938</v>
      </c>
      <c r="G1059">
        <f t="shared" si="247"/>
        <v>5963</v>
      </c>
      <c r="H1059">
        <f t="shared" si="247"/>
        <v>5986</v>
      </c>
      <c r="I1059">
        <f t="shared" si="247"/>
        <v>5927</v>
      </c>
      <c r="J1059">
        <f t="shared" si="247"/>
        <v>5974</v>
      </c>
      <c r="K1059">
        <f t="shared" si="247"/>
        <v>6009</v>
      </c>
      <c r="L1059">
        <f t="shared" si="247"/>
        <v>6021</v>
      </c>
      <c r="M1059">
        <f t="shared" si="247"/>
        <v>5978</v>
      </c>
      <c r="N1059">
        <f t="shared" si="247"/>
        <v>5883</v>
      </c>
      <c r="O1059" s="173">
        <f>SUM(C1059:N1059)/12</f>
        <v>5949.166666666667</v>
      </c>
      <c r="P1059" s="650">
        <f t="shared" si="252"/>
        <v>129.83333333333394</v>
      </c>
      <c r="Q1059" s="651">
        <f>SUM(P1059/O1058)</f>
        <v>2.2310688509565919E-2</v>
      </c>
      <c r="R1059" s="651">
        <f t="shared" si="251"/>
        <v>0.16899325610142274</v>
      </c>
    </row>
    <row r="1060" spans="1:18" x14ac:dyDescent="0.2">
      <c r="B1060" t="s">
        <v>469</v>
      </c>
      <c r="C1060">
        <f t="shared" si="247"/>
        <v>5999</v>
      </c>
      <c r="D1060">
        <f t="shared" si="247"/>
        <v>6010</v>
      </c>
      <c r="E1060">
        <f t="shared" si="247"/>
        <v>6006</v>
      </c>
      <c r="F1060">
        <f t="shared" si="247"/>
        <v>6022</v>
      </c>
      <c r="G1060">
        <f t="shared" si="247"/>
        <v>6027</v>
      </c>
      <c r="H1060">
        <f t="shared" si="247"/>
        <v>6072</v>
      </c>
      <c r="I1060">
        <f t="shared" si="247"/>
        <v>6094</v>
      </c>
      <c r="J1060">
        <f t="shared" si="247"/>
        <v>6090</v>
      </c>
      <c r="K1060">
        <f t="shared" si="247"/>
        <v>6044</v>
      </c>
      <c r="L1060">
        <f t="shared" si="247"/>
        <v>6053</v>
      </c>
      <c r="M1060">
        <f t="shared" si="247"/>
        <v>6097</v>
      </c>
      <c r="N1060">
        <f t="shared" si="247"/>
        <v>6122</v>
      </c>
      <c r="O1060" s="173">
        <f>SUM(C1060:N1060)/12</f>
        <v>6053</v>
      </c>
      <c r="P1060" s="650">
        <f t="shared" si="252"/>
        <v>103.83333333333303</v>
      </c>
      <c r="Q1060" s="651">
        <f>SUM(P1060/O1059)</f>
        <v>1.7453424849418635E-2</v>
      </c>
      <c r="R1060" s="651">
        <f t="shared" si="251"/>
        <v>0.16808262403628338</v>
      </c>
    </row>
    <row r="1061" spans="1:18" x14ac:dyDescent="0.2">
      <c r="B1061" s="645" t="s">
        <v>487</v>
      </c>
      <c r="C1061" s="645">
        <f>SUM(C839,C855,C871,C888,C904,C920,C937,C953,C969,C986,C1002,C1018,C1035,C1041)</f>
        <v>6219</v>
      </c>
      <c r="D1061" s="645">
        <f>SUM(D839,D855,D871,D888,D904,D920,D937,D953,D969,D986,D1002,D1018,D1035,D1041)</f>
        <v>6195</v>
      </c>
      <c r="E1061" s="645">
        <f t="shared" ref="E1061:O1061" si="253">SUM(E839,E855,E871,E888,E904,E920,E937,E953,E969,E986,E1002,E1018,E1035,E1041)</f>
        <v>6211</v>
      </c>
      <c r="F1061" s="645">
        <f t="shared" si="253"/>
        <v>6268</v>
      </c>
      <c r="G1061" s="645">
        <f t="shared" si="253"/>
        <v>6289</v>
      </c>
      <c r="H1061" s="645">
        <f t="shared" si="253"/>
        <v>6246</v>
      </c>
      <c r="I1061" s="645">
        <f t="shared" si="253"/>
        <v>6283</v>
      </c>
      <c r="J1061" s="645">
        <f t="shared" si="253"/>
        <v>6294</v>
      </c>
      <c r="K1061" s="645">
        <f t="shared" si="253"/>
        <v>6169</v>
      </c>
      <c r="L1061" s="645">
        <f t="shared" si="253"/>
        <v>6109</v>
      </c>
      <c r="M1061" s="645">
        <f t="shared" si="253"/>
        <v>6183</v>
      </c>
      <c r="N1061" s="645">
        <f t="shared" si="253"/>
        <v>6197</v>
      </c>
      <c r="O1061" s="652">
        <f t="shared" si="253"/>
        <v>6221.9166666666652</v>
      </c>
      <c r="P1061" s="646">
        <f t="shared" si="252"/>
        <v>168.91666666666515</v>
      </c>
      <c r="Q1061" s="647">
        <f>SUM(P1061/O1060)</f>
        <v>2.7906272371826392E-2</v>
      </c>
      <c r="R1061" s="647">
        <f>SUM(Q1055:Q1061)</f>
        <v>0.16832091221838652</v>
      </c>
    </row>
    <row r="1063" spans="1:18" x14ac:dyDescent="0.2">
      <c r="A1063" s="557" t="s">
        <v>562</v>
      </c>
    </row>
    <row r="1068" spans="1:18" x14ac:dyDescent="0.2">
      <c r="A1068" s="554"/>
      <c r="B1068" s="554"/>
      <c r="C1068" s="554"/>
      <c r="D1068" s="554"/>
      <c r="E1068" s="554"/>
      <c r="F1068" s="554"/>
      <c r="G1068" s="554"/>
      <c r="H1068" s="554"/>
      <c r="I1068" s="554"/>
      <c r="J1068" s="554"/>
      <c r="K1068" s="554"/>
      <c r="L1068" s="554"/>
      <c r="M1068" s="554"/>
      <c r="N1068" s="554"/>
      <c r="O1068" s="554"/>
      <c r="P1068" s="554"/>
      <c r="Q1068" s="554"/>
    </row>
    <row r="1069" spans="1:18" ht="38.25" x14ac:dyDescent="0.2">
      <c r="A1069" s="175" t="s">
        <v>432</v>
      </c>
      <c r="B1069" s="176" t="s">
        <v>433</v>
      </c>
      <c r="C1069" s="179" t="s">
        <v>434</v>
      </c>
      <c r="D1069" s="179" t="s">
        <v>435</v>
      </c>
      <c r="E1069" s="179" t="s">
        <v>436</v>
      </c>
      <c r="F1069" s="179" t="s">
        <v>437</v>
      </c>
      <c r="G1069" s="179" t="s">
        <v>438</v>
      </c>
      <c r="H1069" s="179" t="s">
        <v>439</v>
      </c>
      <c r="I1069" s="179" t="s">
        <v>440</v>
      </c>
      <c r="J1069" s="179" t="s">
        <v>441</v>
      </c>
      <c r="K1069" s="179" t="s">
        <v>442</v>
      </c>
      <c r="L1069" s="179" t="s">
        <v>443</v>
      </c>
      <c r="M1069" s="179" t="s">
        <v>444</v>
      </c>
      <c r="N1069" s="179" t="s">
        <v>445</v>
      </c>
      <c r="O1069" s="174" t="s">
        <v>446</v>
      </c>
      <c r="P1069" s="555" t="s">
        <v>447</v>
      </c>
      <c r="Q1069" s="555" t="s">
        <v>448</v>
      </c>
    </row>
    <row r="1070" spans="1:18" x14ac:dyDescent="0.2">
      <c r="B1070" t="s">
        <v>449</v>
      </c>
      <c r="C1070">
        <v>1998</v>
      </c>
      <c r="D1070">
        <v>2016</v>
      </c>
      <c r="E1070">
        <v>1984</v>
      </c>
      <c r="F1070">
        <v>2010</v>
      </c>
      <c r="G1070">
        <v>2067</v>
      </c>
      <c r="H1070">
        <v>2078</v>
      </c>
      <c r="I1070">
        <v>2078</v>
      </c>
      <c r="J1070">
        <v>2085</v>
      </c>
      <c r="K1070">
        <v>2134</v>
      </c>
      <c r="L1070">
        <v>2136</v>
      </c>
      <c r="M1070">
        <v>2135</v>
      </c>
      <c r="N1070">
        <v>2143</v>
      </c>
      <c r="O1070">
        <f>SUM(C1070:N1070)/12</f>
        <v>2072</v>
      </c>
    </row>
    <row r="1071" spans="1:18" x14ac:dyDescent="0.2">
      <c r="B1071" t="s">
        <v>450</v>
      </c>
      <c r="C1071">
        <v>2155</v>
      </c>
      <c r="D1071">
        <v>2157</v>
      </c>
      <c r="E1071">
        <v>2172</v>
      </c>
      <c r="F1071">
        <v>2180</v>
      </c>
      <c r="G1071">
        <v>2183</v>
      </c>
      <c r="H1071">
        <v>2205</v>
      </c>
      <c r="I1071">
        <v>2192</v>
      </c>
      <c r="J1071">
        <v>2191</v>
      </c>
      <c r="K1071">
        <v>2183</v>
      </c>
      <c r="L1071">
        <v>2183</v>
      </c>
      <c r="M1071">
        <v>2191</v>
      </c>
      <c r="N1071">
        <v>2189</v>
      </c>
      <c r="O1071" s="173">
        <f t="shared" ref="O1071:O1078" si="254">SUM(C1071:N1071)/12</f>
        <v>2181.75</v>
      </c>
      <c r="P1071" s="173">
        <f t="shared" ref="P1071:P1079" si="255">SUM(O1071-O1070)</f>
        <v>109.75</v>
      </c>
      <c r="Q1071" s="177">
        <f>SUM(P1071/O1070)</f>
        <v>5.2968146718146716E-2</v>
      </c>
    </row>
    <row r="1072" spans="1:18" x14ac:dyDescent="0.2">
      <c r="B1072" t="s">
        <v>451</v>
      </c>
      <c r="C1072">
        <v>2201</v>
      </c>
      <c r="D1072">
        <v>2233</v>
      </c>
      <c r="E1072">
        <v>2235</v>
      </c>
      <c r="F1072">
        <v>2252</v>
      </c>
      <c r="G1072">
        <v>2259</v>
      </c>
      <c r="H1072">
        <v>2271</v>
      </c>
      <c r="I1072">
        <v>2271</v>
      </c>
      <c r="J1072">
        <v>2307</v>
      </c>
      <c r="K1072">
        <v>2319</v>
      </c>
      <c r="L1072">
        <v>2331</v>
      </c>
      <c r="M1072">
        <v>2343</v>
      </c>
      <c r="N1072">
        <v>2355</v>
      </c>
      <c r="O1072" s="173">
        <f t="shared" si="254"/>
        <v>2281.4166666666665</v>
      </c>
      <c r="P1072" s="173">
        <f t="shared" si="255"/>
        <v>99.666666666666515</v>
      </c>
      <c r="Q1072" s="177">
        <f t="shared" ref="Q1072:Q1077" si="256">SUM(P1072/O1071)</f>
        <v>4.5681983117527906E-2</v>
      </c>
    </row>
    <row r="1073" spans="1:17" x14ac:dyDescent="0.2">
      <c r="B1073" t="s">
        <v>267</v>
      </c>
      <c r="C1073">
        <v>2324</v>
      </c>
      <c r="D1073">
        <v>2433</v>
      </c>
      <c r="E1073">
        <v>2266</v>
      </c>
      <c r="F1073">
        <v>2266</v>
      </c>
      <c r="G1073">
        <v>2306</v>
      </c>
      <c r="H1073">
        <v>2306</v>
      </c>
      <c r="I1073">
        <v>2306</v>
      </c>
      <c r="J1073">
        <v>2334</v>
      </c>
      <c r="K1073">
        <v>2230</v>
      </c>
      <c r="L1073">
        <v>2230</v>
      </c>
      <c r="M1073">
        <v>2230</v>
      </c>
      <c r="N1073">
        <v>2230</v>
      </c>
      <c r="O1073" s="173">
        <f t="shared" si="254"/>
        <v>2288.4166666666665</v>
      </c>
      <c r="P1073" s="173">
        <f t="shared" si="255"/>
        <v>7</v>
      </c>
      <c r="Q1073" s="177">
        <f t="shared" si="256"/>
        <v>3.0682689849143444E-3</v>
      </c>
    </row>
    <row r="1074" spans="1:17" x14ac:dyDescent="0.2">
      <c r="B1074" t="s">
        <v>266</v>
      </c>
      <c r="C1074">
        <v>2408</v>
      </c>
      <c r="D1074">
        <v>2335</v>
      </c>
      <c r="E1074">
        <v>2353</v>
      </c>
      <c r="F1074">
        <v>2353</v>
      </c>
      <c r="G1074">
        <v>2311</v>
      </c>
      <c r="H1074">
        <v>2367</v>
      </c>
      <c r="I1074">
        <v>2367</v>
      </c>
      <c r="J1074">
        <v>2352</v>
      </c>
      <c r="K1074">
        <v>2336</v>
      </c>
      <c r="L1074">
        <v>2336</v>
      </c>
      <c r="M1074">
        <v>2292</v>
      </c>
      <c r="N1074">
        <v>2318</v>
      </c>
      <c r="O1074" s="173">
        <f t="shared" si="254"/>
        <v>2344</v>
      </c>
      <c r="P1074" s="173">
        <f t="shared" si="255"/>
        <v>55.583333333333485</v>
      </c>
      <c r="Q1074" s="177">
        <f t="shared" si="256"/>
        <v>2.4288991660900983E-2</v>
      </c>
    </row>
    <row r="1075" spans="1:17" x14ac:dyDescent="0.2">
      <c r="B1075" t="s">
        <v>287</v>
      </c>
      <c r="C1075">
        <v>2312</v>
      </c>
      <c r="D1075">
        <v>2305</v>
      </c>
      <c r="E1075">
        <v>2318</v>
      </c>
      <c r="F1075">
        <v>2318</v>
      </c>
      <c r="G1075">
        <v>2350</v>
      </c>
      <c r="H1075">
        <v>2314</v>
      </c>
      <c r="I1075">
        <v>2314</v>
      </c>
      <c r="J1075">
        <v>2426</v>
      </c>
      <c r="K1075">
        <v>2400</v>
      </c>
      <c r="L1075">
        <v>2454</v>
      </c>
      <c r="M1075">
        <v>2536</v>
      </c>
      <c r="N1075">
        <v>2334</v>
      </c>
      <c r="O1075" s="173">
        <f t="shared" si="254"/>
        <v>2365.0833333333335</v>
      </c>
      <c r="P1075" s="173">
        <f t="shared" si="255"/>
        <v>21.083333333333485</v>
      </c>
      <c r="Q1075" s="177">
        <f t="shared" si="256"/>
        <v>8.9945961319682095E-3</v>
      </c>
    </row>
    <row r="1076" spans="1:17" x14ac:dyDescent="0.2">
      <c r="B1076" t="s">
        <v>297</v>
      </c>
      <c r="C1076">
        <v>2357</v>
      </c>
      <c r="D1076">
        <v>2384</v>
      </c>
      <c r="E1076">
        <v>2387</v>
      </c>
      <c r="F1076">
        <v>2410</v>
      </c>
      <c r="G1076">
        <v>2414</v>
      </c>
      <c r="H1076">
        <v>2444</v>
      </c>
      <c r="I1076">
        <v>2444</v>
      </c>
      <c r="J1076">
        <v>2433</v>
      </c>
      <c r="K1076">
        <v>2417</v>
      </c>
      <c r="L1076">
        <v>2424</v>
      </c>
      <c r="M1076">
        <v>2443</v>
      </c>
      <c r="N1076">
        <v>2445</v>
      </c>
      <c r="O1076" s="173">
        <f t="shared" si="254"/>
        <v>2416.8333333333335</v>
      </c>
      <c r="P1076" s="173">
        <f t="shared" si="255"/>
        <v>51.75</v>
      </c>
      <c r="Q1076" s="177">
        <f t="shared" si="256"/>
        <v>2.1880835770409779E-2</v>
      </c>
    </row>
    <row r="1077" spans="1:17" x14ac:dyDescent="0.2">
      <c r="B1077" t="s">
        <v>300</v>
      </c>
      <c r="C1077">
        <v>2453</v>
      </c>
      <c r="D1077">
        <v>2437</v>
      </c>
      <c r="E1077">
        <v>2420</v>
      </c>
      <c r="F1077">
        <v>2487</v>
      </c>
      <c r="G1077">
        <v>2437</v>
      </c>
      <c r="H1077">
        <v>2479</v>
      </c>
      <c r="I1077">
        <v>2466</v>
      </c>
      <c r="J1077">
        <v>2488</v>
      </c>
      <c r="K1077">
        <v>2477</v>
      </c>
      <c r="L1077">
        <v>2562</v>
      </c>
      <c r="M1077">
        <v>2557</v>
      </c>
      <c r="N1077">
        <v>2455</v>
      </c>
      <c r="O1077" s="173">
        <f t="shared" si="254"/>
        <v>2476.5</v>
      </c>
      <c r="P1077" s="173">
        <f t="shared" si="255"/>
        <v>59.666666666666515</v>
      </c>
      <c r="Q1077" s="177">
        <f t="shared" si="256"/>
        <v>2.4687952554996142E-2</v>
      </c>
    </row>
    <row r="1078" spans="1:17" x14ac:dyDescent="0.2">
      <c r="B1078" t="s">
        <v>301</v>
      </c>
      <c r="C1078">
        <v>2495</v>
      </c>
      <c r="D1078">
        <v>2542</v>
      </c>
      <c r="E1078">
        <v>2644</v>
      </c>
      <c r="F1078">
        <v>2580</v>
      </c>
      <c r="G1078">
        <v>2273</v>
      </c>
      <c r="H1078">
        <v>2302</v>
      </c>
      <c r="I1078">
        <v>2395</v>
      </c>
      <c r="J1078">
        <v>2404</v>
      </c>
      <c r="K1078">
        <v>2394</v>
      </c>
      <c r="L1078">
        <v>2426</v>
      </c>
      <c r="M1078">
        <v>2689</v>
      </c>
      <c r="N1078">
        <v>2739</v>
      </c>
      <c r="O1078" s="173">
        <f t="shared" si="254"/>
        <v>2490.25</v>
      </c>
      <c r="P1078" s="173">
        <f t="shared" si="255"/>
        <v>13.75</v>
      </c>
      <c r="Q1078" s="177">
        <f>SUM(P1078/O1077)</f>
        <v>5.5521905915606705E-3</v>
      </c>
    </row>
    <row r="1079" spans="1:17" x14ac:dyDescent="0.2">
      <c r="B1079" t="s">
        <v>302</v>
      </c>
      <c r="C1079">
        <v>2704</v>
      </c>
      <c r="D1079">
        <v>2698</v>
      </c>
      <c r="E1079">
        <v>2694</v>
      </c>
      <c r="F1079">
        <v>2677</v>
      </c>
      <c r="G1079">
        <v>2732</v>
      </c>
      <c r="H1079">
        <v>2755</v>
      </c>
      <c r="I1079">
        <v>2778</v>
      </c>
      <c r="J1079">
        <v>2778</v>
      </c>
      <c r="K1079">
        <v>2775</v>
      </c>
      <c r="L1079">
        <v>2782</v>
      </c>
      <c r="M1079">
        <v>2819</v>
      </c>
      <c r="N1079">
        <v>2864</v>
      </c>
      <c r="O1079" s="173">
        <f>SUM(C1079:N1079)/12</f>
        <v>2754.6666666666665</v>
      </c>
      <c r="P1079" s="173">
        <f t="shared" si="255"/>
        <v>264.41666666666652</v>
      </c>
      <c r="Q1079" s="177">
        <f>SUM(P1079/O1078)</f>
        <v>0.10618077167620379</v>
      </c>
    </row>
    <row r="1080" spans="1:17" x14ac:dyDescent="0.2">
      <c r="B1080" t="s">
        <v>347</v>
      </c>
      <c r="C1080">
        <v>2871</v>
      </c>
      <c r="D1080">
        <v>2904</v>
      </c>
      <c r="E1080">
        <v>2884</v>
      </c>
      <c r="F1080">
        <v>2895</v>
      </c>
      <c r="G1080">
        <v>2826</v>
      </c>
      <c r="H1080">
        <v>2865</v>
      </c>
      <c r="I1080">
        <v>2853</v>
      </c>
      <c r="J1080">
        <v>2903</v>
      </c>
      <c r="K1080">
        <v>2885</v>
      </c>
      <c r="L1080">
        <v>2910</v>
      </c>
      <c r="M1080">
        <v>2930</v>
      </c>
      <c r="N1080">
        <v>2884</v>
      </c>
      <c r="O1080" s="173">
        <f>SUM(C1080:N1080)/12</f>
        <v>2884.1666666666665</v>
      </c>
      <c r="P1080" s="173">
        <f>SUM(O1080-O1079)</f>
        <v>129.5</v>
      </c>
      <c r="Q1080" s="177">
        <f>SUM(P1080/O1079)</f>
        <v>4.7011132623426911E-2</v>
      </c>
    </row>
    <row r="1081" spans="1:17" x14ac:dyDescent="0.2">
      <c r="B1081" t="s">
        <v>370</v>
      </c>
      <c r="C1081">
        <v>2896</v>
      </c>
      <c r="D1081">
        <v>2980</v>
      </c>
      <c r="E1081">
        <v>2969</v>
      </c>
      <c r="F1081">
        <v>2961</v>
      </c>
      <c r="G1081">
        <v>3022</v>
      </c>
      <c r="H1081">
        <v>3037</v>
      </c>
      <c r="I1081">
        <v>3049</v>
      </c>
      <c r="J1081">
        <v>3076</v>
      </c>
      <c r="K1081">
        <v>3088</v>
      </c>
      <c r="L1081">
        <v>3074</v>
      </c>
      <c r="M1081">
        <v>3058</v>
      </c>
      <c r="N1081">
        <v>2954</v>
      </c>
      <c r="O1081" s="173">
        <f>SUM(C1081:N1081)/12</f>
        <v>3013.6666666666665</v>
      </c>
      <c r="P1081" s="173">
        <f>SUM(O1081-O1080)</f>
        <v>129.5</v>
      </c>
      <c r="Q1081" s="177">
        <f>SUM(P1081/O1080)</f>
        <v>4.4900317827217567E-2</v>
      </c>
    </row>
    <row r="1082" spans="1:17" x14ac:dyDescent="0.2">
      <c r="B1082" t="s">
        <v>452</v>
      </c>
      <c r="C1082">
        <v>3027</v>
      </c>
      <c r="D1082">
        <v>3039</v>
      </c>
      <c r="E1082">
        <v>3034</v>
      </c>
      <c r="F1082">
        <v>3040</v>
      </c>
      <c r="G1082">
        <v>3022</v>
      </c>
      <c r="H1082">
        <v>3057</v>
      </c>
      <c r="I1082">
        <v>3074</v>
      </c>
      <c r="J1082">
        <v>3088</v>
      </c>
      <c r="K1082">
        <v>3056</v>
      </c>
      <c r="L1082">
        <v>3094</v>
      </c>
      <c r="M1082">
        <v>3138</v>
      </c>
      <c r="N1082">
        <v>3130</v>
      </c>
      <c r="O1082" s="173">
        <f>SUM(C1082:N1082)/12</f>
        <v>3066.5833333333335</v>
      </c>
      <c r="P1082" s="173">
        <f>SUM(O1082-O1081)</f>
        <v>52.91666666666697</v>
      </c>
      <c r="Q1082" s="177">
        <f>SUM(P1082/O1081)</f>
        <v>1.7558898351952318E-2</v>
      </c>
    </row>
    <row r="1083" spans="1:17" x14ac:dyDescent="0.2">
      <c r="B1083" t="s">
        <v>487</v>
      </c>
      <c r="O1083" s="173"/>
      <c r="P1083" s="173"/>
      <c r="Q1083" s="177"/>
    </row>
    <row r="1084" spans="1:17" ht="25.5" x14ac:dyDescent="0.2">
      <c r="A1084" s="175" t="s">
        <v>453</v>
      </c>
      <c r="B1084" s="176" t="s">
        <v>433</v>
      </c>
      <c r="C1084" s="179" t="s">
        <v>434</v>
      </c>
      <c r="D1084" s="179" t="s">
        <v>435</v>
      </c>
      <c r="E1084" s="179" t="s">
        <v>436</v>
      </c>
      <c r="F1084" s="179" t="s">
        <v>437</v>
      </c>
      <c r="G1084" s="179" t="s">
        <v>438</v>
      </c>
      <c r="H1084" s="179" t="s">
        <v>439</v>
      </c>
      <c r="I1084" s="179" t="s">
        <v>440</v>
      </c>
      <c r="J1084" s="179" t="s">
        <v>441</v>
      </c>
      <c r="K1084" s="179" t="s">
        <v>442</v>
      </c>
      <c r="L1084" s="179" t="s">
        <v>443</v>
      </c>
      <c r="M1084" s="179" t="s">
        <v>444</v>
      </c>
      <c r="N1084" s="179" t="s">
        <v>445</v>
      </c>
    </row>
    <row r="1085" spans="1:17" x14ac:dyDescent="0.2">
      <c r="B1085" t="s">
        <v>449</v>
      </c>
      <c r="C1085">
        <v>83</v>
      </c>
      <c r="D1085">
        <v>80</v>
      </c>
      <c r="E1085">
        <v>74</v>
      </c>
      <c r="F1085">
        <v>78</v>
      </c>
      <c r="G1085">
        <v>79</v>
      </c>
      <c r="H1085">
        <v>81</v>
      </c>
      <c r="I1085">
        <v>82</v>
      </c>
      <c r="J1085">
        <v>83</v>
      </c>
      <c r="K1085">
        <v>82</v>
      </c>
      <c r="L1085">
        <v>83</v>
      </c>
      <c r="M1085">
        <v>85</v>
      </c>
      <c r="N1085">
        <v>87</v>
      </c>
      <c r="O1085" s="173">
        <f t="shared" ref="O1085:O1093" si="257">SUM(C1085:N1085)/12</f>
        <v>81.416666666666671</v>
      </c>
      <c r="P1085" s="173"/>
    </row>
    <row r="1086" spans="1:17" x14ac:dyDescent="0.2">
      <c r="B1086" t="s">
        <v>450</v>
      </c>
      <c r="C1086">
        <v>92</v>
      </c>
      <c r="D1086">
        <v>93</v>
      </c>
      <c r="E1086">
        <v>94</v>
      </c>
      <c r="F1086">
        <v>97</v>
      </c>
      <c r="G1086">
        <v>98</v>
      </c>
      <c r="H1086">
        <v>95</v>
      </c>
      <c r="I1086">
        <v>89</v>
      </c>
      <c r="J1086">
        <v>93</v>
      </c>
      <c r="K1086">
        <v>90</v>
      </c>
      <c r="L1086">
        <v>97</v>
      </c>
      <c r="M1086">
        <v>99</v>
      </c>
      <c r="N1086">
        <v>92</v>
      </c>
      <c r="O1086" s="173">
        <f t="shared" si="257"/>
        <v>94.083333333333329</v>
      </c>
      <c r="P1086" s="173">
        <f t="shared" ref="P1086:P1093" si="258">SUM(O1086-O1085)</f>
        <v>12.666666666666657</v>
      </c>
      <c r="Q1086" s="177">
        <f t="shared" ref="Q1086:Q1092" si="259">SUM(P1086/O1085)</f>
        <v>0.15557830092118718</v>
      </c>
    </row>
    <row r="1087" spans="1:17" x14ac:dyDescent="0.2">
      <c r="B1087" t="s">
        <v>451</v>
      </c>
      <c r="C1087">
        <v>90</v>
      </c>
      <c r="D1087">
        <v>91</v>
      </c>
      <c r="E1087">
        <v>92</v>
      </c>
      <c r="F1087">
        <v>100</v>
      </c>
      <c r="G1087">
        <v>99</v>
      </c>
      <c r="H1087">
        <v>111</v>
      </c>
      <c r="I1087">
        <v>102</v>
      </c>
      <c r="J1087">
        <v>94</v>
      </c>
      <c r="K1087">
        <v>96</v>
      </c>
      <c r="L1087">
        <v>98</v>
      </c>
      <c r="M1087">
        <v>93</v>
      </c>
      <c r="N1087">
        <v>89</v>
      </c>
      <c r="O1087" s="173">
        <f t="shared" si="257"/>
        <v>96.25</v>
      </c>
      <c r="P1087" s="173">
        <f t="shared" si="258"/>
        <v>2.1666666666666714</v>
      </c>
      <c r="Q1087" s="177">
        <f t="shared" si="259"/>
        <v>2.3029229406554524E-2</v>
      </c>
    </row>
    <row r="1088" spans="1:17" x14ac:dyDescent="0.2">
      <c r="B1088" t="s">
        <v>267</v>
      </c>
      <c r="C1088">
        <v>72</v>
      </c>
      <c r="D1088">
        <v>74</v>
      </c>
      <c r="E1088">
        <v>73</v>
      </c>
      <c r="F1088">
        <v>73</v>
      </c>
      <c r="G1088">
        <v>73</v>
      </c>
      <c r="H1088">
        <v>73</v>
      </c>
      <c r="I1088">
        <v>73</v>
      </c>
      <c r="J1088">
        <v>65</v>
      </c>
      <c r="K1088">
        <v>65</v>
      </c>
      <c r="L1088">
        <v>65</v>
      </c>
      <c r="M1088">
        <v>65</v>
      </c>
      <c r="N1088">
        <v>60</v>
      </c>
      <c r="O1088" s="173">
        <f t="shared" si="257"/>
        <v>69.25</v>
      </c>
      <c r="P1088" s="173">
        <f t="shared" si="258"/>
        <v>-27</v>
      </c>
      <c r="Q1088" s="177">
        <f t="shared" si="259"/>
        <v>-0.2805194805194805</v>
      </c>
    </row>
    <row r="1089" spans="1:17" x14ac:dyDescent="0.2">
      <c r="B1089" t="s">
        <v>266</v>
      </c>
      <c r="C1089">
        <v>59</v>
      </c>
      <c r="D1089">
        <v>58</v>
      </c>
      <c r="E1089">
        <v>59</v>
      </c>
      <c r="F1089">
        <v>60</v>
      </c>
      <c r="G1089">
        <v>56</v>
      </c>
      <c r="H1089">
        <v>54</v>
      </c>
      <c r="I1089">
        <v>54</v>
      </c>
      <c r="J1089">
        <v>51</v>
      </c>
      <c r="K1089">
        <v>53</v>
      </c>
      <c r="L1089">
        <v>59</v>
      </c>
      <c r="M1089">
        <v>64</v>
      </c>
      <c r="N1089">
        <v>62</v>
      </c>
      <c r="O1089" s="173">
        <f t="shared" si="257"/>
        <v>57.416666666666664</v>
      </c>
      <c r="P1089" s="173">
        <f t="shared" si="258"/>
        <v>-11.833333333333336</v>
      </c>
      <c r="Q1089" s="177">
        <f t="shared" si="259"/>
        <v>-0.17087845968712398</v>
      </c>
    </row>
    <row r="1090" spans="1:17" x14ac:dyDescent="0.2">
      <c r="B1090" t="s">
        <v>287</v>
      </c>
      <c r="C1090">
        <v>66</v>
      </c>
      <c r="D1090">
        <v>68</v>
      </c>
      <c r="E1090">
        <v>66</v>
      </c>
      <c r="F1090">
        <v>65</v>
      </c>
      <c r="G1090">
        <v>63</v>
      </c>
      <c r="H1090">
        <v>68</v>
      </c>
      <c r="I1090">
        <v>63</v>
      </c>
      <c r="J1090">
        <v>57</v>
      </c>
      <c r="K1090">
        <v>45</v>
      </c>
      <c r="L1090">
        <v>45</v>
      </c>
      <c r="M1090">
        <v>47</v>
      </c>
      <c r="N1090">
        <v>49</v>
      </c>
      <c r="O1090" s="173">
        <f t="shared" si="257"/>
        <v>58.5</v>
      </c>
      <c r="P1090" s="173">
        <f t="shared" si="258"/>
        <v>1.0833333333333357</v>
      </c>
      <c r="Q1090" s="177">
        <f t="shared" si="259"/>
        <v>1.8867924528301928E-2</v>
      </c>
    </row>
    <row r="1091" spans="1:17" x14ac:dyDescent="0.2">
      <c r="B1091" t="s">
        <v>297</v>
      </c>
      <c r="C1091">
        <v>47</v>
      </c>
      <c r="D1091">
        <v>45</v>
      </c>
      <c r="E1091">
        <v>45</v>
      </c>
      <c r="F1091">
        <v>47</v>
      </c>
      <c r="G1091">
        <v>47</v>
      </c>
      <c r="H1091">
        <v>42</v>
      </c>
      <c r="I1091">
        <v>40</v>
      </c>
      <c r="J1091">
        <v>42</v>
      </c>
      <c r="K1091">
        <v>47</v>
      </c>
      <c r="L1091">
        <v>46</v>
      </c>
      <c r="M1091">
        <v>41</v>
      </c>
      <c r="N1091">
        <v>39</v>
      </c>
      <c r="O1091" s="173">
        <f t="shared" si="257"/>
        <v>44</v>
      </c>
      <c r="P1091" s="173">
        <f t="shared" si="258"/>
        <v>-14.5</v>
      </c>
      <c r="Q1091" s="177">
        <f t="shared" si="259"/>
        <v>-0.24786324786324787</v>
      </c>
    </row>
    <row r="1092" spans="1:17" x14ac:dyDescent="0.2">
      <c r="B1092" t="s">
        <v>300</v>
      </c>
      <c r="C1092">
        <v>40</v>
      </c>
      <c r="D1092">
        <v>40</v>
      </c>
      <c r="E1092">
        <v>40</v>
      </c>
      <c r="F1092">
        <v>43</v>
      </c>
      <c r="G1092">
        <v>37</v>
      </c>
      <c r="H1092">
        <v>38</v>
      </c>
      <c r="I1092">
        <v>37</v>
      </c>
      <c r="J1092">
        <v>39</v>
      </c>
      <c r="K1092">
        <v>41</v>
      </c>
      <c r="L1092">
        <v>51</v>
      </c>
      <c r="M1092">
        <v>50</v>
      </c>
      <c r="N1092">
        <v>37</v>
      </c>
      <c r="O1092" s="173">
        <f t="shared" si="257"/>
        <v>41.083333333333336</v>
      </c>
      <c r="P1092" s="173">
        <f t="shared" si="258"/>
        <v>-2.9166666666666643</v>
      </c>
      <c r="Q1092" s="177">
        <f t="shared" si="259"/>
        <v>-6.6287878787878729E-2</v>
      </c>
    </row>
    <row r="1093" spans="1:17" x14ac:dyDescent="0.2">
      <c r="B1093" t="s">
        <v>301</v>
      </c>
      <c r="C1093">
        <v>39</v>
      </c>
      <c r="D1093">
        <v>39</v>
      </c>
      <c r="E1093">
        <v>44</v>
      </c>
      <c r="F1093">
        <v>39</v>
      </c>
      <c r="G1093">
        <v>42</v>
      </c>
      <c r="H1093">
        <v>41</v>
      </c>
      <c r="I1093">
        <v>40</v>
      </c>
      <c r="J1093">
        <v>37</v>
      </c>
      <c r="K1093">
        <v>36</v>
      </c>
      <c r="L1093">
        <v>36</v>
      </c>
      <c r="M1093">
        <v>40</v>
      </c>
      <c r="N1093">
        <v>41</v>
      </c>
      <c r="O1093" s="173">
        <f t="shared" si="257"/>
        <v>39.5</v>
      </c>
      <c r="P1093" s="173">
        <f t="shared" si="258"/>
        <v>-1.5833333333333357</v>
      </c>
      <c r="Q1093" s="177">
        <f>SUM(P1093/O1092)</f>
        <v>-3.8539553752535552E-2</v>
      </c>
    </row>
    <row r="1094" spans="1:17" x14ac:dyDescent="0.2">
      <c r="B1094" t="s">
        <v>302</v>
      </c>
      <c r="C1094">
        <v>32</v>
      </c>
      <c r="D1094">
        <v>34</v>
      </c>
      <c r="E1094">
        <v>31</v>
      </c>
      <c r="F1094">
        <v>32</v>
      </c>
      <c r="G1094">
        <v>33</v>
      </c>
      <c r="H1094">
        <v>31</v>
      </c>
      <c r="I1094">
        <v>31</v>
      </c>
      <c r="J1094">
        <v>31</v>
      </c>
      <c r="K1094">
        <v>34</v>
      </c>
      <c r="L1094">
        <v>36</v>
      </c>
      <c r="M1094">
        <v>40</v>
      </c>
      <c r="N1094">
        <v>39</v>
      </c>
      <c r="O1094" s="173">
        <f>SUM(C1094:N1094)/12</f>
        <v>33.666666666666664</v>
      </c>
      <c r="P1094" s="173">
        <f>SUM(O1094-O1093)</f>
        <v>-5.8333333333333357</v>
      </c>
      <c r="Q1094" s="177">
        <f>SUM(P1094/O1093)</f>
        <v>-0.14767932489451482</v>
      </c>
    </row>
    <row r="1095" spans="1:17" x14ac:dyDescent="0.2">
      <c r="B1095" t="s">
        <v>347</v>
      </c>
      <c r="C1095">
        <v>43</v>
      </c>
      <c r="D1095">
        <v>43</v>
      </c>
      <c r="E1095">
        <v>41</v>
      </c>
      <c r="F1095">
        <v>0</v>
      </c>
      <c r="G1095">
        <v>0</v>
      </c>
      <c r="H1095">
        <v>0</v>
      </c>
      <c r="I1095">
        <v>35</v>
      </c>
      <c r="J1095">
        <v>35</v>
      </c>
      <c r="K1095">
        <v>38</v>
      </c>
      <c r="L1095">
        <v>36</v>
      </c>
      <c r="M1095">
        <v>35</v>
      </c>
      <c r="N1095">
        <v>32</v>
      </c>
      <c r="O1095" s="173">
        <f>SUM(C1095:N1095)/9</f>
        <v>37.555555555555557</v>
      </c>
      <c r="P1095" s="173">
        <f>SUM(O1095-O1094)</f>
        <v>3.8888888888888928</v>
      </c>
      <c r="Q1095" s="177">
        <f>SUM(P1095/O1094)</f>
        <v>0.11551155115511563</v>
      </c>
    </row>
    <row r="1096" spans="1:17" x14ac:dyDescent="0.2">
      <c r="B1096" t="s">
        <v>370</v>
      </c>
      <c r="C1096">
        <v>32</v>
      </c>
      <c r="D1096">
        <v>33</v>
      </c>
      <c r="E1096">
        <v>46</v>
      </c>
      <c r="F1096">
        <v>60</v>
      </c>
      <c r="G1096">
        <v>63</v>
      </c>
      <c r="H1096">
        <v>62</v>
      </c>
      <c r="I1096">
        <v>63</v>
      </c>
      <c r="J1096">
        <v>64</v>
      </c>
      <c r="K1096">
        <v>61</v>
      </c>
      <c r="L1096">
        <v>60</v>
      </c>
      <c r="M1096">
        <v>67</v>
      </c>
      <c r="N1096">
        <v>70</v>
      </c>
      <c r="O1096" s="173">
        <f>SUM(C1096:N1096)/12</f>
        <v>56.75</v>
      </c>
      <c r="P1096" s="173">
        <f>SUM(O1096-O1095)</f>
        <v>19.194444444444443</v>
      </c>
      <c r="Q1096" s="177">
        <f>SUM(P1096/O1095)</f>
        <v>0.51109467455621294</v>
      </c>
    </row>
    <row r="1097" spans="1:17" x14ac:dyDescent="0.2">
      <c r="B1097" t="s">
        <v>452</v>
      </c>
      <c r="C1097">
        <v>68</v>
      </c>
      <c r="D1097">
        <v>65</v>
      </c>
      <c r="E1097">
        <v>62</v>
      </c>
      <c r="F1097">
        <v>61</v>
      </c>
      <c r="G1097">
        <v>65</v>
      </c>
      <c r="H1097">
        <v>66</v>
      </c>
      <c r="I1097">
        <v>68</v>
      </c>
      <c r="J1097">
        <v>66</v>
      </c>
      <c r="K1097">
        <v>70</v>
      </c>
      <c r="L1097">
        <v>68</v>
      </c>
      <c r="M1097">
        <v>65</v>
      </c>
      <c r="N1097">
        <v>68</v>
      </c>
      <c r="O1097" s="173">
        <f>SUM(C1097:N1097)/12</f>
        <v>66</v>
      </c>
      <c r="P1097" s="173">
        <f>SUM(O1097-O1096)</f>
        <v>9.25</v>
      </c>
      <c r="Q1097" s="177">
        <f>SUM(P1097/O1096)</f>
        <v>0.16299559471365638</v>
      </c>
    </row>
    <row r="1098" spans="1:17" x14ac:dyDescent="0.2">
      <c r="B1098" t="s">
        <v>487</v>
      </c>
      <c r="O1098" s="173"/>
      <c r="P1098" s="173"/>
      <c r="Q1098" s="177"/>
    </row>
    <row r="1099" spans="1:17" ht="25.5" x14ac:dyDescent="0.2">
      <c r="A1099" s="175" t="s">
        <v>454</v>
      </c>
      <c r="B1099" s="176" t="s">
        <v>433</v>
      </c>
      <c r="C1099" s="179" t="s">
        <v>434</v>
      </c>
      <c r="D1099" s="179" t="s">
        <v>435</v>
      </c>
      <c r="E1099" s="179" t="s">
        <v>436</v>
      </c>
      <c r="F1099" s="179" t="s">
        <v>437</v>
      </c>
      <c r="G1099" s="179" t="s">
        <v>438</v>
      </c>
      <c r="H1099" s="179" t="s">
        <v>439</v>
      </c>
      <c r="I1099" s="179" t="s">
        <v>440</v>
      </c>
      <c r="J1099" s="179" t="s">
        <v>441</v>
      </c>
      <c r="K1099" s="179" t="s">
        <v>442</v>
      </c>
      <c r="L1099" s="179" t="s">
        <v>443</v>
      </c>
      <c r="M1099" s="179" t="s">
        <v>444</v>
      </c>
      <c r="N1099" s="179" t="s">
        <v>445</v>
      </c>
    </row>
    <row r="1100" spans="1:17" x14ac:dyDescent="0.2">
      <c r="B1100" t="s">
        <v>449</v>
      </c>
      <c r="C1100">
        <v>305</v>
      </c>
      <c r="D1100">
        <v>299</v>
      </c>
      <c r="E1100">
        <v>289</v>
      </c>
      <c r="F1100">
        <v>276</v>
      </c>
      <c r="G1100">
        <v>277</v>
      </c>
      <c r="H1100">
        <v>295</v>
      </c>
      <c r="I1100">
        <v>283</v>
      </c>
      <c r="J1100">
        <v>273</v>
      </c>
      <c r="K1100">
        <v>259</v>
      </c>
      <c r="L1100">
        <v>249</v>
      </c>
      <c r="M1100">
        <v>241</v>
      </c>
      <c r="N1100">
        <v>237</v>
      </c>
      <c r="O1100" s="173">
        <f t="shared" ref="O1100:O1108" si="260">SUM(C1100:N1100)/12</f>
        <v>273.58333333333331</v>
      </c>
      <c r="P1100" s="173"/>
    </row>
    <row r="1101" spans="1:17" x14ac:dyDescent="0.2">
      <c r="B1101" t="s">
        <v>450</v>
      </c>
      <c r="C1101">
        <v>237</v>
      </c>
      <c r="D1101">
        <v>230</v>
      </c>
      <c r="E1101">
        <v>230</v>
      </c>
      <c r="F1101">
        <v>230</v>
      </c>
      <c r="G1101">
        <v>231</v>
      </c>
      <c r="H1101">
        <v>215</v>
      </c>
      <c r="I1101">
        <v>218</v>
      </c>
      <c r="J1101">
        <v>212</v>
      </c>
      <c r="K1101">
        <v>214</v>
      </c>
      <c r="L1101">
        <v>217</v>
      </c>
      <c r="M1101">
        <v>220</v>
      </c>
      <c r="N1101">
        <v>218</v>
      </c>
      <c r="O1101" s="173">
        <f t="shared" si="260"/>
        <v>222.66666666666666</v>
      </c>
      <c r="P1101" s="173">
        <f t="shared" ref="P1101:P1108" si="261">SUM(O1101-O1100)</f>
        <v>-50.916666666666657</v>
      </c>
      <c r="Q1101" s="177">
        <f t="shared" ref="Q1101:Q1107" si="262">SUM(P1101/O1100)</f>
        <v>-0.18611026500152297</v>
      </c>
    </row>
    <row r="1102" spans="1:17" x14ac:dyDescent="0.2">
      <c r="B1102" t="s">
        <v>451</v>
      </c>
      <c r="C1102">
        <v>231</v>
      </c>
      <c r="D1102">
        <v>230</v>
      </c>
      <c r="E1102">
        <v>234</v>
      </c>
      <c r="F1102">
        <v>229</v>
      </c>
      <c r="G1102">
        <v>230</v>
      </c>
      <c r="H1102">
        <v>240</v>
      </c>
      <c r="I1102">
        <v>245</v>
      </c>
      <c r="J1102">
        <v>250</v>
      </c>
      <c r="K1102">
        <v>255</v>
      </c>
      <c r="L1102">
        <v>260</v>
      </c>
      <c r="M1102">
        <v>265</v>
      </c>
      <c r="N1102">
        <v>270</v>
      </c>
      <c r="O1102" s="173">
        <f t="shared" si="260"/>
        <v>244.91666666666666</v>
      </c>
      <c r="P1102" s="173">
        <f t="shared" si="261"/>
        <v>22.25</v>
      </c>
      <c r="Q1102" s="177">
        <f t="shared" si="262"/>
        <v>9.9925149700598806E-2</v>
      </c>
    </row>
    <row r="1103" spans="1:17" x14ac:dyDescent="0.2">
      <c r="B1103" t="s">
        <v>267</v>
      </c>
      <c r="C1103">
        <v>280</v>
      </c>
      <c r="D1103">
        <v>237</v>
      </c>
      <c r="E1103">
        <v>253</v>
      </c>
      <c r="F1103">
        <v>253</v>
      </c>
      <c r="G1103">
        <v>253</v>
      </c>
      <c r="H1103">
        <v>253</v>
      </c>
      <c r="I1103">
        <v>253</v>
      </c>
      <c r="J1103">
        <v>253</v>
      </c>
      <c r="K1103">
        <v>253</v>
      </c>
      <c r="L1103">
        <v>260</v>
      </c>
      <c r="M1103">
        <v>265</v>
      </c>
      <c r="N1103">
        <v>270</v>
      </c>
      <c r="O1103" s="173">
        <f t="shared" si="260"/>
        <v>256.91666666666669</v>
      </c>
      <c r="P1103" s="173">
        <f t="shared" si="261"/>
        <v>12.000000000000028</v>
      </c>
      <c r="Q1103" s="177">
        <f t="shared" si="262"/>
        <v>4.899625723035058E-2</v>
      </c>
    </row>
    <row r="1104" spans="1:17" x14ac:dyDescent="0.2">
      <c r="B1104" t="s">
        <v>266</v>
      </c>
      <c r="C1104">
        <v>288</v>
      </c>
      <c r="D1104">
        <v>261</v>
      </c>
      <c r="E1104">
        <v>258</v>
      </c>
      <c r="F1104">
        <v>267</v>
      </c>
      <c r="G1104">
        <v>259</v>
      </c>
      <c r="H1104">
        <v>267</v>
      </c>
      <c r="I1104">
        <v>272</v>
      </c>
      <c r="J1104">
        <v>273</v>
      </c>
      <c r="K1104">
        <v>300</v>
      </c>
      <c r="L1104">
        <v>296</v>
      </c>
      <c r="M1104">
        <v>319</v>
      </c>
      <c r="N1104">
        <v>317</v>
      </c>
      <c r="O1104" s="173">
        <f t="shared" si="260"/>
        <v>281.41666666666669</v>
      </c>
      <c r="P1104" s="173">
        <f t="shared" si="261"/>
        <v>24.5</v>
      </c>
      <c r="Q1104" s="177">
        <f t="shared" si="262"/>
        <v>9.5361660720077845E-2</v>
      </c>
    </row>
    <row r="1105" spans="1:18" x14ac:dyDescent="0.2">
      <c r="B1105" t="s">
        <v>287</v>
      </c>
      <c r="C1105">
        <v>297</v>
      </c>
      <c r="D1105">
        <v>306</v>
      </c>
      <c r="E1105">
        <v>312</v>
      </c>
      <c r="F1105">
        <v>311</v>
      </c>
      <c r="G1105">
        <v>312</v>
      </c>
      <c r="H1105">
        <v>252</v>
      </c>
      <c r="I1105">
        <v>312</v>
      </c>
      <c r="J1105">
        <v>314</v>
      </c>
      <c r="K1105">
        <v>316</v>
      </c>
      <c r="L1105">
        <v>235</v>
      </c>
      <c r="M1105">
        <v>248</v>
      </c>
      <c r="N1105">
        <v>323</v>
      </c>
      <c r="O1105" s="173">
        <f t="shared" si="260"/>
        <v>294.83333333333331</v>
      </c>
      <c r="P1105" s="173">
        <f t="shared" si="261"/>
        <v>13.416666666666629</v>
      </c>
      <c r="Q1105" s="177">
        <f t="shared" si="262"/>
        <v>4.7675451584246235E-2</v>
      </c>
    </row>
    <row r="1106" spans="1:18" x14ac:dyDescent="0.2">
      <c r="B1106" t="s">
        <v>297</v>
      </c>
      <c r="C1106">
        <v>322</v>
      </c>
      <c r="D1106">
        <v>318</v>
      </c>
      <c r="E1106">
        <v>302</v>
      </c>
      <c r="F1106">
        <v>299</v>
      </c>
      <c r="G1106">
        <v>301</v>
      </c>
      <c r="H1106">
        <v>296</v>
      </c>
      <c r="I1106">
        <v>286</v>
      </c>
      <c r="J1106">
        <v>290</v>
      </c>
      <c r="K1106">
        <v>283</v>
      </c>
      <c r="L1106">
        <v>284</v>
      </c>
      <c r="M1106">
        <v>289</v>
      </c>
      <c r="N1106">
        <v>279</v>
      </c>
      <c r="O1106" s="173">
        <f t="shared" si="260"/>
        <v>295.75</v>
      </c>
      <c r="P1106" s="173">
        <f t="shared" si="261"/>
        <v>0.91666666666668561</v>
      </c>
      <c r="Q1106" s="177">
        <f t="shared" si="262"/>
        <v>3.109101187111427E-3</v>
      </c>
    </row>
    <row r="1107" spans="1:18" x14ac:dyDescent="0.2">
      <c r="B1107" t="s">
        <v>300</v>
      </c>
      <c r="C1107">
        <v>278</v>
      </c>
      <c r="D1107">
        <v>270</v>
      </c>
      <c r="E1107">
        <v>262</v>
      </c>
      <c r="F1107">
        <v>253</v>
      </c>
      <c r="G1107">
        <v>261</v>
      </c>
      <c r="H1107">
        <v>259</v>
      </c>
      <c r="I1107">
        <v>254</v>
      </c>
      <c r="J1107">
        <v>255</v>
      </c>
      <c r="K1107">
        <v>249</v>
      </c>
      <c r="L1107">
        <v>267</v>
      </c>
      <c r="M1107">
        <v>263</v>
      </c>
      <c r="N1107">
        <v>250</v>
      </c>
      <c r="O1107" s="173">
        <f t="shared" si="260"/>
        <v>260.08333333333331</v>
      </c>
      <c r="P1107" s="173">
        <f t="shared" si="261"/>
        <v>-35.666666666666686</v>
      </c>
      <c r="Q1107" s="177">
        <f t="shared" si="262"/>
        <v>-0.1205973513665822</v>
      </c>
    </row>
    <row r="1108" spans="1:18" x14ac:dyDescent="0.2">
      <c r="B1108" t="s">
        <v>301</v>
      </c>
      <c r="C1108">
        <v>247</v>
      </c>
      <c r="D1108">
        <v>250</v>
      </c>
      <c r="E1108">
        <v>240</v>
      </c>
      <c r="F1108">
        <v>238</v>
      </c>
      <c r="G1108">
        <v>230</v>
      </c>
      <c r="H1108">
        <v>228</v>
      </c>
      <c r="I1108">
        <v>230</v>
      </c>
      <c r="J1108">
        <v>228</v>
      </c>
      <c r="K1108">
        <v>226</v>
      </c>
      <c r="L1108">
        <v>224</v>
      </c>
      <c r="M1108">
        <v>228</v>
      </c>
      <c r="N1108">
        <v>233</v>
      </c>
      <c r="O1108" s="173">
        <f t="shared" si="260"/>
        <v>233.5</v>
      </c>
      <c r="P1108" s="173">
        <f t="shared" si="261"/>
        <v>-26.583333333333314</v>
      </c>
      <c r="Q1108" s="177">
        <f>SUM(P1108/O1107)</f>
        <v>-0.10221082986222359</v>
      </c>
    </row>
    <row r="1109" spans="1:18" x14ac:dyDescent="0.2">
      <c r="B1109" t="s">
        <v>302</v>
      </c>
      <c r="C1109">
        <v>212</v>
      </c>
      <c r="D1109">
        <v>216</v>
      </c>
      <c r="E1109">
        <v>221</v>
      </c>
      <c r="F1109">
        <v>228</v>
      </c>
      <c r="G1109">
        <v>226</v>
      </c>
      <c r="H1109">
        <v>230</v>
      </c>
      <c r="I1109">
        <v>222</v>
      </c>
      <c r="J1109">
        <v>225</v>
      </c>
      <c r="K1109">
        <v>236</v>
      </c>
      <c r="L1109">
        <v>242</v>
      </c>
      <c r="M1109">
        <v>246</v>
      </c>
      <c r="N1109">
        <v>252</v>
      </c>
      <c r="O1109" s="173">
        <f>SUM(C1109:N1109)/12</f>
        <v>229.66666666666666</v>
      </c>
      <c r="P1109" s="173">
        <f>SUM(O1109-O1108)</f>
        <v>-3.8333333333333428</v>
      </c>
      <c r="Q1109" s="177">
        <f>SUM(P1109/O1108)</f>
        <v>-1.6416845110635302E-2</v>
      </c>
    </row>
    <row r="1110" spans="1:18" x14ac:dyDescent="0.2">
      <c r="B1110" t="s">
        <v>347</v>
      </c>
      <c r="C1110">
        <v>247</v>
      </c>
      <c r="D1110">
        <v>248</v>
      </c>
      <c r="E1110">
        <v>247</v>
      </c>
      <c r="F1110">
        <v>247</v>
      </c>
      <c r="G1110">
        <v>254</v>
      </c>
      <c r="H1110">
        <v>258</v>
      </c>
      <c r="I1110">
        <v>257</v>
      </c>
      <c r="J1110">
        <v>255</v>
      </c>
      <c r="K1110">
        <v>252</v>
      </c>
      <c r="L1110">
        <v>251</v>
      </c>
      <c r="M1110">
        <v>249</v>
      </c>
      <c r="N1110">
        <v>259</v>
      </c>
      <c r="O1110" s="173">
        <f>SUM(C1110:N1110)/12</f>
        <v>252</v>
      </c>
      <c r="P1110" s="173">
        <f>SUM(O1110-O1109)</f>
        <v>22.333333333333343</v>
      </c>
      <c r="Q1110" s="177">
        <f>SUM(P1110/O1109)</f>
        <v>9.7242380261248235E-2</v>
      </c>
    </row>
    <row r="1111" spans="1:18" x14ac:dyDescent="0.2">
      <c r="B1111" t="s">
        <v>370</v>
      </c>
      <c r="C1111">
        <v>264</v>
      </c>
      <c r="D1111">
        <v>260</v>
      </c>
      <c r="E1111">
        <v>262</v>
      </c>
      <c r="F1111">
        <v>259</v>
      </c>
      <c r="G1111">
        <v>247</v>
      </c>
      <c r="H1111">
        <v>238</v>
      </c>
      <c r="I1111">
        <v>224</v>
      </c>
      <c r="J1111">
        <v>232</v>
      </c>
      <c r="K1111">
        <v>239</v>
      </c>
      <c r="L1111">
        <v>243</v>
      </c>
      <c r="M1111">
        <v>246</v>
      </c>
      <c r="N1111">
        <v>247</v>
      </c>
      <c r="O1111" s="173">
        <f>SUM(C1111:N1111)/12</f>
        <v>246.75</v>
      </c>
      <c r="P1111" s="173">
        <f>SUM(O1111-O1110)</f>
        <v>-5.25</v>
      </c>
      <c r="Q1111" s="177">
        <f>SUM(P1111/O1110)</f>
        <v>-2.0833333333333332E-2</v>
      </c>
      <c r="R1111" t="s">
        <v>455</v>
      </c>
    </row>
    <row r="1112" spans="1:18" x14ac:dyDescent="0.2">
      <c r="B1112" t="s">
        <v>452</v>
      </c>
      <c r="C1112">
        <v>257</v>
      </c>
      <c r="D1112">
        <v>248</v>
      </c>
      <c r="E1112">
        <v>250</v>
      </c>
      <c r="F1112">
        <v>264</v>
      </c>
      <c r="G1112">
        <v>265</v>
      </c>
      <c r="H1112">
        <v>270</v>
      </c>
      <c r="I1112">
        <v>279</v>
      </c>
      <c r="J1112">
        <v>279</v>
      </c>
      <c r="K1112">
        <v>266</v>
      </c>
      <c r="L1112">
        <v>260</v>
      </c>
      <c r="M1112">
        <v>260</v>
      </c>
      <c r="N1112">
        <v>272</v>
      </c>
      <c r="O1112" s="173">
        <f>SUM(C1112:N1112)/12</f>
        <v>264.16666666666669</v>
      </c>
      <c r="P1112" s="173">
        <f>SUM(O1112-O1111)</f>
        <v>17.416666666666686</v>
      </c>
      <c r="Q1112" s="177">
        <f>SUM(P1112/O1111)</f>
        <v>7.0584262073623852E-2</v>
      </c>
    </row>
    <row r="1113" spans="1:18" x14ac:dyDescent="0.2">
      <c r="B1113" t="s">
        <v>487</v>
      </c>
      <c r="O1113" s="173"/>
      <c r="P1113" s="173"/>
      <c r="Q1113" s="177"/>
    </row>
    <row r="1114" spans="1:18" x14ac:dyDescent="0.2">
      <c r="A1114" s="178"/>
      <c r="B1114" s="178"/>
      <c r="C1114" s="178"/>
      <c r="D1114" s="178"/>
      <c r="E1114" s="178"/>
      <c r="F1114" s="178"/>
      <c r="G1114" s="178"/>
      <c r="H1114" s="178"/>
      <c r="I1114" s="178"/>
      <c r="J1114" s="178"/>
      <c r="K1114" s="178"/>
      <c r="L1114" s="178"/>
      <c r="M1114" s="178"/>
      <c r="N1114" s="178"/>
      <c r="O1114" s="178"/>
      <c r="P1114" s="178"/>
      <c r="Q1114" s="178"/>
    </row>
    <row r="1115" spans="1:18" ht="25.5" x14ac:dyDescent="0.2">
      <c r="A1115" s="175" t="s">
        <v>456</v>
      </c>
      <c r="B1115" s="176" t="s">
        <v>433</v>
      </c>
      <c r="C1115" s="179" t="s">
        <v>434</v>
      </c>
      <c r="D1115" s="179" t="s">
        <v>435</v>
      </c>
      <c r="E1115" s="179" t="s">
        <v>436</v>
      </c>
      <c r="F1115" s="179" t="s">
        <v>437</v>
      </c>
      <c r="G1115" s="179" t="s">
        <v>438</v>
      </c>
      <c r="H1115" s="179" t="s">
        <v>439</v>
      </c>
      <c r="I1115" s="179" t="s">
        <v>440</v>
      </c>
      <c r="J1115" s="179" t="s">
        <v>441</v>
      </c>
      <c r="K1115" s="179" t="s">
        <v>442</v>
      </c>
      <c r="L1115" s="179" t="s">
        <v>443</v>
      </c>
      <c r="M1115" s="179" t="s">
        <v>444</v>
      </c>
      <c r="N1115" s="179" t="s">
        <v>445</v>
      </c>
    </row>
    <row r="1116" spans="1:18" x14ac:dyDescent="0.2">
      <c r="B1116" t="s">
        <v>449</v>
      </c>
      <c r="C1116">
        <v>65</v>
      </c>
      <c r="D1116">
        <v>62</v>
      </c>
      <c r="E1116">
        <v>57</v>
      </c>
      <c r="F1116">
        <v>56</v>
      </c>
      <c r="G1116">
        <v>52</v>
      </c>
      <c r="H1116">
        <v>51</v>
      </c>
      <c r="I1116">
        <v>49</v>
      </c>
      <c r="J1116">
        <v>55</v>
      </c>
      <c r="K1116">
        <v>59</v>
      </c>
      <c r="L1116">
        <v>55</v>
      </c>
      <c r="M1116">
        <v>54</v>
      </c>
      <c r="N1116">
        <v>66</v>
      </c>
      <c r="O1116" s="173">
        <f t="shared" ref="O1116:O1124" si="263">SUM(C1116:N1116)/12</f>
        <v>56.75</v>
      </c>
      <c r="P1116" s="173"/>
    </row>
    <row r="1117" spans="1:18" x14ac:dyDescent="0.2">
      <c r="B1117" t="s">
        <v>450</v>
      </c>
      <c r="C1117">
        <v>67</v>
      </c>
      <c r="D1117">
        <v>72</v>
      </c>
      <c r="E1117">
        <v>72</v>
      </c>
      <c r="F1117">
        <v>73</v>
      </c>
      <c r="G1117">
        <v>71</v>
      </c>
      <c r="H1117">
        <v>74</v>
      </c>
      <c r="I1117">
        <v>74</v>
      </c>
      <c r="J1117">
        <v>74</v>
      </c>
      <c r="K1117">
        <v>70</v>
      </c>
      <c r="L1117">
        <v>66</v>
      </c>
      <c r="M1117">
        <v>62</v>
      </c>
      <c r="N1117">
        <v>63</v>
      </c>
      <c r="O1117" s="173">
        <f t="shared" si="263"/>
        <v>69.833333333333329</v>
      </c>
      <c r="P1117" s="173">
        <f t="shared" ref="P1117:P1124" si="264">SUM(O1117-O1116)</f>
        <v>13.083333333333329</v>
      </c>
      <c r="Q1117" s="177">
        <f t="shared" ref="Q1117:Q1123" si="265">SUM(P1117/O1116)</f>
        <v>0.23054331864904543</v>
      </c>
    </row>
    <row r="1118" spans="1:18" x14ac:dyDescent="0.2">
      <c r="B1118" t="s">
        <v>451</v>
      </c>
      <c r="C1118">
        <v>68</v>
      </c>
      <c r="D1118">
        <v>75</v>
      </c>
      <c r="E1118">
        <v>74</v>
      </c>
      <c r="F1118">
        <v>79</v>
      </c>
      <c r="G1118">
        <v>75</v>
      </c>
      <c r="H1118">
        <v>74</v>
      </c>
      <c r="I1118">
        <v>64</v>
      </c>
      <c r="J1118">
        <v>75</v>
      </c>
      <c r="K1118">
        <v>76</v>
      </c>
      <c r="L1118">
        <v>78</v>
      </c>
      <c r="M1118">
        <v>79</v>
      </c>
      <c r="N1118">
        <v>81</v>
      </c>
      <c r="O1118" s="173">
        <f t="shared" si="263"/>
        <v>74.833333333333329</v>
      </c>
      <c r="P1118" s="173">
        <f t="shared" si="264"/>
        <v>5</v>
      </c>
      <c r="Q1118" s="177">
        <f t="shared" si="265"/>
        <v>7.1599045346062054E-2</v>
      </c>
    </row>
    <row r="1119" spans="1:18" x14ac:dyDescent="0.2">
      <c r="B1119" t="s">
        <v>267</v>
      </c>
      <c r="C1119">
        <v>76</v>
      </c>
      <c r="D1119">
        <v>79</v>
      </c>
      <c r="E1119">
        <v>76</v>
      </c>
      <c r="F1119">
        <v>74</v>
      </c>
      <c r="G1119">
        <v>72</v>
      </c>
      <c r="H1119">
        <v>70</v>
      </c>
      <c r="I1119">
        <v>68</v>
      </c>
      <c r="J1119">
        <v>59</v>
      </c>
      <c r="K1119">
        <v>67</v>
      </c>
      <c r="L1119">
        <v>66</v>
      </c>
      <c r="M1119">
        <v>67</v>
      </c>
      <c r="N1119">
        <v>64</v>
      </c>
      <c r="O1119" s="173">
        <f t="shared" si="263"/>
        <v>69.833333333333329</v>
      </c>
      <c r="P1119" s="173">
        <f t="shared" si="264"/>
        <v>-5</v>
      </c>
      <c r="Q1119" s="177">
        <f t="shared" si="265"/>
        <v>-6.6815144766147E-2</v>
      </c>
    </row>
    <row r="1120" spans="1:18" x14ac:dyDescent="0.2">
      <c r="B1120" t="s">
        <v>266</v>
      </c>
      <c r="C1120">
        <v>67</v>
      </c>
      <c r="D1120">
        <v>57</v>
      </c>
      <c r="E1120">
        <v>57</v>
      </c>
      <c r="F1120">
        <v>58</v>
      </c>
      <c r="G1120">
        <v>57</v>
      </c>
      <c r="H1120">
        <v>60</v>
      </c>
      <c r="I1120">
        <v>55</v>
      </c>
      <c r="J1120">
        <v>55</v>
      </c>
      <c r="K1120">
        <v>64</v>
      </c>
      <c r="L1120">
        <v>61</v>
      </c>
      <c r="M1120">
        <v>68</v>
      </c>
      <c r="N1120">
        <v>67</v>
      </c>
      <c r="O1120" s="173">
        <f t="shared" si="263"/>
        <v>60.5</v>
      </c>
      <c r="P1120" s="173">
        <f t="shared" si="264"/>
        <v>-9.3333333333333286</v>
      </c>
      <c r="Q1120" s="177">
        <f t="shared" si="265"/>
        <v>-0.13365155131264911</v>
      </c>
    </row>
    <row r="1121" spans="1:17" x14ac:dyDescent="0.2">
      <c r="B1121" t="s">
        <v>287</v>
      </c>
      <c r="C1121">
        <v>71</v>
      </c>
      <c r="D1121">
        <v>62</v>
      </c>
      <c r="E1121">
        <v>61</v>
      </c>
      <c r="F1121">
        <v>59</v>
      </c>
      <c r="G1121">
        <v>54</v>
      </c>
      <c r="H1121">
        <v>56</v>
      </c>
      <c r="I1121">
        <v>56</v>
      </c>
      <c r="J1121">
        <v>58</v>
      </c>
      <c r="K1121">
        <v>60</v>
      </c>
      <c r="L1121">
        <v>65</v>
      </c>
      <c r="M1121">
        <v>72</v>
      </c>
      <c r="N1121">
        <v>75</v>
      </c>
      <c r="O1121" s="173">
        <f t="shared" si="263"/>
        <v>62.416666666666664</v>
      </c>
      <c r="P1121" s="173">
        <f t="shared" si="264"/>
        <v>1.9166666666666643</v>
      </c>
      <c r="Q1121" s="177">
        <f t="shared" si="265"/>
        <v>3.1680440771349822E-2</v>
      </c>
    </row>
    <row r="1122" spans="1:17" x14ac:dyDescent="0.2">
      <c r="B1122" t="s">
        <v>297</v>
      </c>
      <c r="C1122">
        <v>76</v>
      </c>
      <c r="D1122">
        <v>73</v>
      </c>
      <c r="E1122">
        <v>67</v>
      </c>
      <c r="F1122">
        <v>66</v>
      </c>
      <c r="G1122">
        <v>66</v>
      </c>
      <c r="H1122">
        <v>68</v>
      </c>
      <c r="I1122">
        <v>69</v>
      </c>
      <c r="J1122">
        <v>72</v>
      </c>
      <c r="K1122">
        <v>69</v>
      </c>
      <c r="L1122">
        <v>75</v>
      </c>
      <c r="M1122">
        <v>73</v>
      </c>
      <c r="N1122">
        <v>74</v>
      </c>
      <c r="O1122" s="173">
        <f t="shared" si="263"/>
        <v>70.666666666666671</v>
      </c>
      <c r="P1122" s="173">
        <f t="shared" si="264"/>
        <v>8.2500000000000071</v>
      </c>
      <c r="Q1122" s="177">
        <f t="shared" si="265"/>
        <v>0.13217623497997341</v>
      </c>
    </row>
    <row r="1123" spans="1:17" x14ac:dyDescent="0.2">
      <c r="B1123" t="s">
        <v>300</v>
      </c>
      <c r="C1123">
        <v>72</v>
      </c>
      <c r="D1123">
        <v>72</v>
      </c>
      <c r="E1123">
        <v>71</v>
      </c>
      <c r="F1123">
        <v>73</v>
      </c>
      <c r="G1123">
        <v>77</v>
      </c>
      <c r="H1123">
        <v>76</v>
      </c>
      <c r="I1123">
        <v>76</v>
      </c>
      <c r="J1123">
        <v>78</v>
      </c>
      <c r="K1123">
        <v>74</v>
      </c>
      <c r="L1123">
        <v>88</v>
      </c>
      <c r="M1123">
        <v>92</v>
      </c>
      <c r="N1123">
        <v>76</v>
      </c>
      <c r="O1123" s="173">
        <f t="shared" si="263"/>
        <v>77.083333333333329</v>
      </c>
      <c r="P1123" s="173">
        <f t="shared" si="264"/>
        <v>6.4166666666666572</v>
      </c>
      <c r="Q1123" s="177">
        <f t="shared" si="265"/>
        <v>9.0801886792452685E-2</v>
      </c>
    </row>
    <row r="1124" spans="1:17" x14ac:dyDescent="0.2">
      <c r="B1124" t="s">
        <v>301</v>
      </c>
      <c r="C1124">
        <v>76</v>
      </c>
      <c r="D1124">
        <v>79</v>
      </c>
      <c r="E1124">
        <v>94</v>
      </c>
      <c r="F1124">
        <v>75</v>
      </c>
      <c r="G1124">
        <v>79</v>
      </c>
      <c r="H1124">
        <v>77</v>
      </c>
      <c r="I1124">
        <v>83</v>
      </c>
      <c r="J1124">
        <v>83</v>
      </c>
      <c r="K1124">
        <v>86</v>
      </c>
      <c r="L1124">
        <v>85</v>
      </c>
      <c r="M1124">
        <v>82</v>
      </c>
      <c r="N1124">
        <v>89</v>
      </c>
      <c r="O1124" s="173">
        <f t="shared" si="263"/>
        <v>82.333333333333329</v>
      </c>
      <c r="P1124" s="173">
        <f t="shared" si="264"/>
        <v>5.25</v>
      </c>
      <c r="Q1124" s="177">
        <f>SUM(P1124/O1123)</f>
        <v>6.8108108108108106E-2</v>
      </c>
    </row>
    <row r="1125" spans="1:17" x14ac:dyDescent="0.2">
      <c r="B1125" t="s">
        <v>302</v>
      </c>
      <c r="C1125">
        <v>92</v>
      </c>
      <c r="D1125">
        <v>91</v>
      </c>
      <c r="E1125">
        <v>95</v>
      </c>
      <c r="F1125">
        <v>93</v>
      </c>
      <c r="G1125">
        <v>96</v>
      </c>
      <c r="H1125">
        <v>94</v>
      </c>
      <c r="I1125">
        <v>91</v>
      </c>
      <c r="J1125">
        <v>90</v>
      </c>
      <c r="K1125">
        <v>91</v>
      </c>
      <c r="L1125">
        <v>95</v>
      </c>
      <c r="M1125">
        <v>96</v>
      </c>
      <c r="N1125">
        <v>73</v>
      </c>
      <c r="O1125" s="173">
        <f>SUM(C1125:N1125)/12</f>
        <v>91.416666666666671</v>
      </c>
      <c r="P1125" s="173">
        <f>SUM(O1125-O1124)</f>
        <v>9.0833333333333428</v>
      </c>
      <c r="Q1125" s="177">
        <f>SUM(P1125/O1124)</f>
        <v>0.11032388663967624</v>
      </c>
    </row>
    <row r="1126" spans="1:17" x14ac:dyDescent="0.2">
      <c r="B1126" t="s">
        <v>347</v>
      </c>
      <c r="C1126">
        <v>72</v>
      </c>
      <c r="D1126">
        <v>72</v>
      </c>
      <c r="E1126">
        <v>65</v>
      </c>
      <c r="F1126">
        <v>62</v>
      </c>
      <c r="G1126">
        <v>61</v>
      </c>
      <c r="H1126">
        <v>65</v>
      </c>
      <c r="I1126">
        <v>68</v>
      </c>
      <c r="J1126">
        <v>70</v>
      </c>
      <c r="K1126">
        <v>68</v>
      </c>
      <c r="L1126">
        <v>70</v>
      </c>
      <c r="M1126">
        <v>71</v>
      </c>
      <c r="N1126">
        <v>73</v>
      </c>
      <c r="O1126" s="173">
        <f>SUM(C1126:N1126)/12</f>
        <v>68.083333333333329</v>
      </c>
      <c r="P1126" s="173">
        <f>SUM(O1126-O1125)</f>
        <v>-23.333333333333343</v>
      </c>
      <c r="Q1126" s="177">
        <f>SUM(P1126/O1125)</f>
        <v>-0.2552415679124887</v>
      </c>
    </row>
    <row r="1127" spans="1:17" x14ac:dyDescent="0.2">
      <c r="B1127" t="s">
        <v>370</v>
      </c>
      <c r="C1127">
        <v>72</v>
      </c>
      <c r="D1127">
        <v>70</v>
      </c>
      <c r="E1127">
        <v>73</v>
      </c>
      <c r="F1127">
        <v>77</v>
      </c>
      <c r="G1127">
        <v>74</v>
      </c>
      <c r="H1127">
        <v>74</v>
      </c>
      <c r="I1127">
        <v>76</v>
      </c>
      <c r="J1127">
        <v>75</v>
      </c>
      <c r="K1127">
        <v>77</v>
      </c>
      <c r="L1127">
        <v>82</v>
      </c>
      <c r="M1127">
        <v>85</v>
      </c>
      <c r="N1127">
        <v>88</v>
      </c>
      <c r="O1127" s="173">
        <f>SUM(C1127:N1127)/12</f>
        <v>76.916666666666671</v>
      </c>
      <c r="P1127" s="173">
        <f>SUM(O1127-O1126)</f>
        <v>8.8333333333333428</v>
      </c>
      <c r="Q1127" s="177">
        <f>SUM(P1127/O1126)</f>
        <v>0.1297429620563037</v>
      </c>
    </row>
    <row r="1128" spans="1:17" x14ac:dyDescent="0.2">
      <c r="B1128" t="s">
        <v>452</v>
      </c>
      <c r="C1128">
        <v>88</v>
      </c>
      <c r="D1128">
        <v>84</v>
      </c>
      <c r="E1128">
        <v>81</v>
      </c>
      <c r="F1128">
        <v>81</v>
      </c>
      <c r="G1128">
        <v>79</v>
      </c>
      <c r="H1128">
        <v>79</v>
      </c>
      <c r="I1128">
        <v>77</v>
      </c>
      <c r="J1128">
        <v>82</v>
      </c>
      <c r="K1128">
        <v>80</v>
      </c>
      <c r="L1128">
        <v>73</v>
      </c>
      <c r="M1128">
        <v>76</v>
      </c>
      <c r="N1128">
        <v>76</v>
      </c>
      <c r="O1128" s="173">
        <f>SUM(C1128:N1128)/12</f>
        <v>79.666666666666671</v>
      </c>
      <c r="P1128" s="173">
        <f>SUM(O1128-O1127)</f>
        <v>2.75</v>
      </c>
      <c r="Q1128" s="177">
        <f>SUM(P1128/O1127)</f>
        <v>3.5752979414951244E-2</v>
      </c>
    </row>
    <row r="1129" spans="1:17" x14ac:dyDescent="0.2">
      <c r="B1129" t="s">
        <v>487</v>
      </c>
      <c r="O1129" s="173"/>
      <c r="P1129" s="173"/>
      <c r="Q1129" s="177"/>
    </row>
    <row r="1130" spans="1:17" ht="25.5" x14ac:dyDescent="0.2">
      <c r="A1130" s="175" t="s">
        <v>457</v>
      </c>
      <c r="B1130" s="176" t="s">
        <v>433</v>
      </c>
      <c r="C1130" s="179" t="s">
        <v>434</v>
      </c>
      <c r="D1130" s="179" t="s">
        <v>435</v>
      </c>
      <c r="E1130" s="179" t="s">
        <v>436</v>
      </c>
      <c r="F1130" s="179" t="s">
        <v>437</v>
      </c>
      <c r="G1130" s="179" t="s">
        <v>438</v>
      </c>
      <c r="H1130" s="179" t="s">
        <v>439</v>
      </c>
      <c r="I1130" s="179" t="s">
        <v>440</v>
      </c>
      <c r="J1130" s="179" t="s">
        <v>441</v>
      </c>
      <c r="K1130" s="179" t="s">
        <v>442</v>
      </c>
      <c r="L1130" s="179" t="s">
        <v>443</v>
      </c>
      <c r="M1130" s="179" t="s">
        <v>444</v>
      </c>
      <c r="N1130" s="179" t="s">
        <v>445</v>
      </c>
    </row>
    <row r="1131" spans="1:17" x14ac:dyDescent="0.2">
      <c r="B1131" t="s">
        <v>449</v>
      </c>
      <c r="C1131">
        <v>683</v>
      </c>
      <c r="D1131">
        <v>675</v>
      </c>
      <c r="E1131">
        <v>696</v>
      </c>
      <c r="F1131">
        <v>659</v>
      </c>
      <c r="G1131">
        <v>661</v>
      </c>
      <c r="H1131">
        <v>650</v>
      </c>
      <c r="I1131">
        <v>666</v>
      </c>
      <c r="J1131">
        <v>688</v>
      </c>
      <c r="K1131">
        <v>667</v>
      </c>
      <c r="L1131">
        <v>670</v>
      </c>
      <c r="M1131">
        <v>639</v>
      </c>
      <c r="N1131">
        <v>653</v>
      </c>
      <c r="O1131" s="173">
        <f t="shared" ref="O1131:O1139" si="266">SUM(C1131:N1131)/12</f>
        <v>667.25</v>
      </c>
      <c r="P1131" s="173"/>
    </row>
    <row r="1132" spans="1:17" x14ac:dyDescent="0.2">
      <c r="B1132" t="s">
        <v>450</v>
      </c>
      <c r="C1132">
        <v>624</v>
      </c>
      <c r="D1132">
        <v>643</v>
      </c>
      <c r="E1132">
        <v>636</v>
      </c>
      <c r="F1132">
        <v>670</v>
      </c>
      <c r="G1132">
        <v>642</v>
      </c>
      <c r="H1132">
        <v>655</v>
      </c>
      <c r="I1132">
        <v>650</v>
      </c>
      <c r="J1132">
        <v>660</v>
      </c>
      <c r="K1132">
        <v>644</v>
      </c>
      <c r="L1132">
        <v>672</v>
      </c>
      <c r="M1132">
        <v>658</v>
      </c>
      <c r="N1132">
        <v>659</v>
      </c>
      <c r="O1132" s="173">
        <f t="shared" si="266"/>
        <v>651.08333333333337</v>
      </c>
      <c r="P1132" s="173">
        <f t="shared" ref="P1132:P1139" si="267">SUM(O1132-O1131)</f>
        <v>-16.166666666666629</v>
      </c>
      <c r="Q1132" s="177">
        <f t="shared" ref="Q1132:Q1138" si="268">SUM(P1132/O1131)</f>
        <v>-2.422879980017479E-2</v>
      </c>
    </row>
    <row r="1133" spans="1:17" x14ac:dyDescent="0.2">
      <c r="B1133" t="s">
        <v>451</v>
      </c>
      <c r="C1133">
        <v>661</v>
      </c>
      <c r="D1133">
        <v>673</v>
      </c>
      <c r="E1133">
        <v>672</v>
      </c>
      <c r="F1133">
        <v>632</v>
      </c>
      <c r="G1133">
        <v>611</v>
      </c>
      <c r="H1133">
        <v>620</v>
      </c>
      <c r="I1133">
        <v>633</v>
      </c>
      <c r="J1133">
        <v>653</v>
      </c>
      <c r="K1133">
        <v>659</v>
      </c>
      <c r="L1133">
        <v>665</v>
      </c>
      <c r="M1133">
        <v>671</v>
      </c>
      <c r="N1133">
        <v>677</v>
      </c>
      <c r="O1133" s="173">
        <f t="shared" si="266"/>
        <v>652.25</v>
      </c>
      <c r="P1133" s="173">
        <f t="shared" si="267"/>
        <v>1.1666666666666288</v>
      </c>
      <c r="Q1133" s="177">
        <f t="shared" si="268"/>
        <v>1.7918853193395041E-3</v>
      </c>
    </row>
    <row r="1134" spans="1:17" x14ac:dyDescent="0.2">
      <c r="B1134" t="s">
        <v>267</v>
      </c>
      <c r="C1134">
        <v>561</v>
      </c>
      <c r="D1134">
        <v>574</v>
      </c>
      <c r="E1134">
        <v>593</v>
      </c>
      <c r="F1134">
        <v>589</v>
      </c>
      <c r="G1134">
        <v>589</v>
      </c>
      <c r="H1134">
        <v>589</v>
      </c>
      <c r="I1134">
        <v>589</v>
      </c>
      <c r="J1134">
        <v>589</v>
      </c>
      <c r="K1134">
        <v>589</v>
      </c>
      <c r="L1134">
        <v>589</v>
      </c>
      <c r="M1134">
        <v>589</v>
      </c>
      <c r="N1134">
        <v>623</v>
      </c>
      <c r="O1134" s="173">
        <f t="shared" si="266"/>
        <v>588.58333333333337</v>
      </c>
      <c r="P1134" s="173">
        <f t="shared" si="267"/>
        <v>-63.666666666666629</v>
      </c>
      <c r="Q1134" s="177">
        <f t="shared" si="268"/>
        <v>-9.7610834291554816E-2</v>
      </c>
    </row>
    <row r="1135" spans="1:17" x14ac:dyDescent="0.2">
      <c r="B1135" t="s">
        <v>266</v>
      </c>
      <c r="C1135">
        <v>585</v>
      </c>
      <c r="D1135">
        <v>542</v>
      </c>
      <c r="E1135">
        <v>535</v>
      </c>
      <c r="F1135">
        <v>545</v>
      </c>
      <c r="G1135">
        <v>547</v>
      </c>
      <c r="H1135">
        <v>584</v>
      </c>
      <c r="I1135">
        <v>608</v>
      </c>
      <c r="J1135">
        <v>604</v>
      </c>
      <c r="K1135">
        <v>592</v>
      </c>
      <c r="L1135">
        <v>599</v>
      </c>
      <c r="M1135">
        <v>628</v>
      </c>
      <c r="N1135">
        <v>595</v>
      </c>
      <c r="O1135" s="173">
        <f t="shared" si="266"/>
        <v>580.33333333333337</v>
      </c>
      <c r="P1135" s="173">
        <f t="shared" si="267"/>
        <v>-8.25</v>
      </c>
      <c r="Q1135" s="177">
        <f t="shared" si="268"/>
        <v>-1.4016706781820756E-2</v>
      </c>
    </row>
    <row r="1136" spans="1:17" x14ac:dyDescent="0.2">
      <c r="B1136" t="s">
        <v>287</v>
      </c>
      <c r="C1136">
        <v>601</v>
      </c>
      <c r="D1136">
        <v>626</v>
      </c>
      <c r="E1136">
        <v>662</v>
      </c>
      <c r="F1136">
        <v>646</v>
      </c>
      <c r="G1136">
        <v>635</v>
      </c>
      <c r="H1136">
        <v>634</v>
      </c>
      <c r="I1136">
        <v>628</v>
      </c>
      <c r="J1136">
        <v>656</v>
      </c>
      <c r="K1136">
        <v>666</v>
      </c>
      <c r="L1136">
        <v>657</v>
      </c>
      <c r="M1136">
        <v>576</v>
      </c>
      <c r="N1136">
        <v>650</v>
      </c>
      <c r="O1136" s="173">
        <f t="shared" si="266"/>
        <v>636.41666666666663</v>
      </c>
      <c r="P1136" s="173">
        <f t="shared" si="267"/>
        <v>56.083333333333258</v>
      </c>
      <c r="Q1136" s="177">
        <f t="shared" si="268"/>
        <v>9.6639862148190564E-2</v>
      </c>
    </row>
    <row r="1137" spans="1:17" x14ac:dyDescent="0.2">
      <c r="B1137" t="s">
        <v>297</v>
      </c>
      <c r="C1137">
        <v>648</v>
      </c>
      <c r="D1137">
        <v>660</v>
      </c>
      <c r="E1137">
        <v>652</v>
      </c>
      <c r="F1137">
        <v>651</v>
      </c>
      <c r="G1137">
        <v>646</v>
      </c>
      <c r="H1137">
        <v>659</v>
      </c>
      <c r="I1137">
        <v>646</v>
      </c>
      <c r="J1137">
        <v>702</v>
      </c>
      <c r="K1137">
        <v>699</v>
      </c>
      <c r="L1137">
        <v>703</v>
      </c>
      <c r="M1137">
        <v>711</v>
      </c>
      <c r="N1137">
        <v>718</v>
      </c>
      <c r="O1137" s="173">
        <f t="shared" si="266"/>
        <v>674.58333333333337</v>
      </c>
      <c r="P1137" s="173">
        <f t="shared" si="267"/>
        <v>38.166666666666742</v>
      </c>
      <c r="Q1137" s="177">
        <f t="shared" si="268"/>
        <v>5.99711928767842E-2</v>
      </c>
    </row>
    <row r="1138" spans="1:17" x14ac:dyDescent="0.2">
      <c r="B1138" t="s">
        <v>300</v>
      </c>
      <c r="C1138">
        <v>731</v>
      </c>
      <c r="D1138">
        <v>726</v>
      </c>
      <c r="E1138">
        <v>720</v>
      </c>
      <c r="F1138">
        <v>696</v>
      </c>
      <c r="G1138">
        <v>731</v>
      </c>
      <c r="H1138">
        <v>721</v>
      </c>
      <c r="I1138">
        <v>713</v>
      </c>
      <c r="J1138">
        <v>701</v>
      </c>
      <c r="K1138">
        <v>691</v>
      </c>
      <c r="L1138">
        <v>789</v>
      </c>
      <c r="M1138">
        <v>764</v>
      </c>
      <c r="N1138">
        <v>691</v>
      </c>
      <c r="O1138" s="173">
        <f t="shared" si="266"/>
        <v>722.83333333333337</v>
      </c>
      <c r="P1138" s="173">
        <f t="shared" si="267"/>
        <v>48.25</v>
      </c>
      <c r="Q1138" s="177">
        <f t="shared" si="268"/>
        <v>7.1525633106856085E-2</v>
      </c>
    </row>
    <row r="1139" spans="1:17" x14ac:dyDescent="0.2">
      <c r="B1139" t="s">
        <v>301</v>
      </c>
      <c r="C1139">
        <v>684</v>
      </c>
      <c r="D1139">
        <v>691</v>
      </c>
      <c r="E1139">
        <v>716</v>
      </c>
      <c r="F1139">
        <v>676</v>
      </c>
      <c r="G1139">
        <v>671</v>
      </c>
      <c r="H1139">
        <v>676</v>
      </c>
      <c r="I1139">
        <v>674</v>
      </c>
      <c r="J1139">
        <v>667</v>
      </c>
      <c r="K1139">
        <v>669</v>
      </c>
      <c r="L1139">
        <v>676</v>
      </c>
      <c r="M1139">
        <v>714</v>
      </c>
      <c r="N1139">
        <v>718</v>
      </c>
      <c r="O1139" s="173">
        <f t="shared" si="266"/>
        <v>686</v>
      </c>
      <c r="P1139" s="173">
        <f t="shared" si="267"/>
        <v>-36.833333333333371</v>
      </c>
      <c r="Q1139" s="177">
        <f>SUM(P1139/O1138)</f>
        <v>-5.095688263776809E-2</v>
      </c>
    </row>
    <row r="1140" spans="1:17" x14ac:dyDescent="0.2">
      <c r="B1140" t="s">
        <v>302</v>
      </c>
      <c r="C1140">
        <v>681</v>
      </c>
      <c r="D1140">
        <v>689</v>
      </c>
      <c r="E1140">
        <v>680</v>
      </c>
      <c r="F1140">
        <v>661</v>
      </c>
      <c r="G1140">
        <v>661</v>
      </c>
      <c r="H1140">
        <v>678</v>
      </c>
      <c r="I1140">
        <v>672</v>
      </c>
      <c r="J1140">
        <v>687</v>
      </c>
      <c r="K1140">
        <v>677</v>
      </c>
      <c r="L1140">
        <v>674</v>
      </c>
      <c r="M1140">
        <v>674</v>
      </c>
      <c r="N1140">
        <v>691</v>
      </c>
      <c r="O1140" s="173">
        <f>SUM(C1140:N1140)/12</f>
        <v>677.08333333333337</v>
      </c>
      <c r="P1140" s="173">
        <f>SUM(O1140-O1139)</f>
        <v>-8.9166666666666288</v>
      </c>
      <c r="Q1140" s="177">
        <f>SUM(P1140/O1139)</f>
        <v>-1.2998056365403248E-2</v>
      </c>
    </row>
    <row r="1141" spans="1:17" x14ac:dyDescent="0.2">
      <c r="B1141" t="s">
        <v>347</v>
      </c>
      <c r="C1141">
        <v>685</v>
      </c>
      <c r="D1141">
        <v>703</v>
      </c>
      <c r="E1141">
        <v>697</v>
      </c>
      <c r="F1141">
        <v>714</v>
      </c>
      <c r="G1141">
        <v>713</v>
      </c>
      <c r="H1141">
        <v>746</v>
      </c>
      <c r="I1141">
        <v>722</v>
      </c>
      <c r="J1141">
        <v>724</v>
      </c>
      <c r="K1141">
        <v>728</v>
      </c>
      <c r="L1141">
        <v>696</v>
      </c>
      <c r="M1141">
        <v>695</v>
      </c>
      <c r="N1141">
        <v>676</v>
      </c>
      <c r="O1141" s="173">
        <f>SUM(C1141:N1141)/12</f>
        <v>708.25</v>
      </c>
      <c r="P1141" s="173">
        <f>SUM(O1141-O1140)</f>
        <v>31.166666666666629</v>
      </c>
      <c r="Q1141" s="177">
        <f>SUM(P1141/O1140)</f>
        <v>4.6030769230769174E-2</v>
      </c>
    </row>
    <row r="1142" spans="1:17" x14ac:dyDescent="0.2">
      <c r="B1142" t="s">
        <v>370</v>
      </c>
      <c r="C1142">
        <v>691</v>
      </c>
      <c r="D1142">
        <v>666</v>
      </c>
      <c r="E1142">
        <v>624</v>
      </c>
      <c r="F1142">
        <v>670</v>
      </c>
      <c r="G1142">
        <v>672</v>
      </c>
      <c r="H1142">
        <v>675</v>
      </c>
      <c r="I1142">
        <v>651</v>
      </c>
      <c r="J1142">
        <v>642</v>
      </c>
      <c r="K1142">
        <v>588</v>
      </c>
      <c r="L1142">
        <v>663</v>
      </c>
      <c r="M1142">
        <v>660</v>
      </c>
      <c r="N1142">
        <v>646</v>
      </c>
      <c r="O1142" s="173">
        <f>SUM(C1142:N1142)/12</f>
        <v>654</v>
      </c>
      <c r="P1142" s="173">
        <f>SUM(O1142-O1141)</f>
        <v>-54.25</v>
      </c>
      <c r="Q1142" s="177">
        <f>SUM(P1142/O1141)</f>
        <v>-7.6597246734909988E-2</v>
      </c>
    </row>
    <row r="1143" spans="1:17" x14ac:dyDescent="0.2">
      <c r="B1143" t="s">
        <v>452</v>
      </c>
      <c r="C1143">
        <v>652</v>
      </c>
      <c r="D1143">
        <v>655</v>
      </c>
      <c r="E1143">
        <v>667</v>
      </c>
      <c r="F1143">
        <v>658</v>
      </c>
      <c r="G1143">
        <v>671</v>
      </c>
      <c r="H1143">
        <v>681</v>
      </c>
      <c r="I1143">
        <v>677</v>
      </c>
      <c r="J1143">
        <v>673</v>
      </c>
      <c r="K1143">
        <v>663</v>
      </c>
      <c r="L1143">
        <v>656</v>
      </c>
      <c r="M1143">
        <v>662</v>
      </c>
      <c r="N1143">
        <v>679</v>
      </c>
      <c r="O1143" s="173">
        <f>SUM(C1143:N1143)/12</f>
        <v>666.16666666666663</v>
      </c>
      <c r="P1143" s="173">
        <f>SUM(O1143-O1142)</f>
        <v>12.166666666666629</v>
      </c>
      <c r="Q1143" s="177">
        <f>SUM(P1143/O1142)</f>
        <v>1.8603465851172216E-2</v>
      </c>
    </row>
    <row r="1144" spans="1:17" x14ac:dyDescent="0.2">
      <c r="B1144" t="s">
        <v>487</v>
      </c>
      <c r="O1144" s="173"/>
      <c r="P1144" s="173"/>
      <c r="Q1144" s="177"/>
    </row>
    <row r="1145" spans="1:17" ht="25.5" x14ac:dyDescent="0.2">
      <c r="A1145" s="175" t="s">
        <v>458</v>
      </c>
      <c r="B1145" s="176" t="s">
        <v>433</v>
      </c>
      <c r="C1145" s="179" t="s">
        <v>434</v>
      </c>
      <c r="D1145" s="179" t="s">
        <v>435</v>
      </c>
      <c r="E1145" s="179" t="s">
        <v>436</v>
      </c>
      <c r="F1145" s="179" t="s">
        <v>437</v>
      </c>
      <c r="G1145" s="179" t="s">
        <v>438</v>
      </c>
      <c r="H1145" s="179" t="s">
        <v>439</v>
      </c>
      <c r="I1145" s="179" t="s">
        <v>440</v>
      </c>
      <c r="J1145" s="179" t="s">
        <v>441</v>
      </c>
      <c r="K1145" s="179" t="s">
        <v>442</v>
      </c>
      <c r="L1145" s="179" t="s">
        <v>443</v>
      </c>
      <c r="M1145" s="179" t="s">
        <v>444</v>
      </c>
      <c r="N1145" s="179" t="s">
        <v>445</v>
      </c>
    </row>
    <row r="1146" spans="1:17" x14ac:dyDescent="0.2">
      <c r="B1146" t="s">
        <v>449</v>
      </c>
      <c r="C1146">
        <v>227</v>
      </c>
      <c r="D1146">
        <v>238</v>
      </c>
      <c r="E1146">
        <v>241</v>
      </c>
      <c r="F1146">
        <v>237</v>
      </c>
      <c r="G1146">
        <v>237</v>
      </c>
      <c r="H1146">
        <v>245</v>
      </c>
      <c r="I1146">
        <v>239</v>
      </c>
      <c r="J1146">
        <v>232</v>
      </c>
      <c r="K1146">
        <v>228</v>
      </c>
      <c r="L1146">
        <v>226</v>
      </c>
      <c r="M1146">
        <v>226</v>
      </c>
      <c r="N1146">
        <v>238</v>
      </c>
      <c r="O1146" s="173">
        <f t="shared" ref="O1146:O1154" si="269">SUM(C1146:N1146)/12</f>
        <v>234.5</v>
      </c>
      <c r="P1146" s="173"/>
    </row>
    <row r="1147" spans="1:17" x14ac:dyDescent="0.2">
      <c r="B1147" t="s">
        <v>450</v>
      </c>
      <c r="C1147">
        <v>227</v>
      </c>
      <c r="D1147">
        <v>234</v>
      </c>
      <c r="E1147">
        <v>235</v>
      </c>
      <c r="F1147">
        <v>220</v>
      </c>
      <c r="G1147">
        <v>231</v>
      </c>
      <c r="H1147">
        <v>222</v>
      </c>
      <c r="I1147">
        <v>209</v>
      </c>
      <c r="J1147">
        <v>216</v>
      </c>
      <c r="K1147">
        <v>219</v>
      </c>
      <c r="L1147">
        <v>212</v>
      </c>
      <c r="M1147">
        <v>211</v>
      </c>
      <c r="N1147">
        <v>211</v>
      </c>
      <c r="O1147" s="173">
        <f t="shared" si="269"/>
        <v>220.58333333333334</v>
      </c>
      <c r="P1147" s="173">
        <f t="shared" ref="P1147:P1154" si="270">SUM(O1147-O1146)</f>
        <v>-13.916666666666657</v>
      </c>
      <c r="Q1147" s="177">
        <f t="shared" ref="Q1147:Q1153" si="271">SUM(P1147/O1146)</f>
        <v>-5.9346126510305575E-2</v>
      </c>
    </row>
    <row r="1148" spans="1:17" x14ac:dyDescent="0.2">
      <c r="B1148" t="s">
        <v>451</v>
      </c>
      <c r="C1148">
        <v>210</v>
      </c>
      <c r="D1148">
        <v>212</v>
      </c>
      <c r="E1148">
        <v>205</v>
      </c>
      <c r="F1148">
        <v>205</v>
      </c>
      <c r="G1148">
        <v>220</v>
      </c>
      <c r="H1148">
        <v>221</v>
      </c>
      <c r="I1148">
        <v>223</v>
      </c>
      <c r="J1148">
        <v>227</v>
      </c>
      <c r="K1148">
        <v>230</v>
      </c>
      <c r="L1148">
        <v>204</v>
      </c>
      <c r="M1148">
        <v>178</v>
      </c>
      <c r="N1148">
        <v>152</v>
      </c>
      <c r="O1148" s="173">
        <f t="shared" si="269"/>
        <v>207.25</v>
      </c>
      <c r="P1148" s="173">
        <f t="shared" si="270"/>
        <v>-13.333333333333343</v>
      </c>
      <c r="Q1148" s="177">
        <f t="shared" si="271"/>
        <v>-6.0445787684170797E-2</v>
      </c>
    </row>
    <row r="1149" spans="1:17" x14ac:dyDescent="0.2">
      <c r="B1149" t="s">
        <v>267</v>
      </c>
      <c r="C1149">
        <v>257</v>
      </c>
      <c r="D1149">
        <v>269</v>
      </c>
      <c r="E1149">
        <v>265</v>
      </c>
      <c r="F1149">
        <v>244</v>
      </c>
      <c r="G1149">
        <v>244</v>
      </c>
      <c r="H1149">
        <v>244</v>
      </c>
      <c r="I1149">
        <v>244</v>
      </c>
      <c r="J1149">
        <v>244</v>
      </c>
      <c r="K1149">
        <v>244</v>
      </c>
      <c r="L1149">
        <v>244</v>
      </c>
      <c r="M1149">
        <v>244</v>
      </c>
      <c r="N1149">
        <v>244</v>
      </c>
      <c r="O1149" s="173">
        <f t="shared" si="269"/>
        <v>248.91666666666666</v>
      </c>
      <c r="P1149" s="173">
        <f t="shared" si="270"/>
        <v>41.666666666666657</v>
      </c>
      <c r="Q1149" s="177">
        <f t="shared" si="271"/>
        <v>0.20104543626859667</v>
      </c>
    </row>
    <row r="1150" spans="1:17" x14ac:dyDescent="0.2">
      <c r="B1150" t="s">
        <v>266</v>
      </c>
      <c r="C1150">
        <v>239</v>
      </c>
      <c r="D1150">
        <v>224</v>
      </c>
      <c r="E1150">
        <v>226</v>
      </c>
      <c r="F1150">
        <v>219</v>
      </c>
      <c r="G1150">
        <v>227</v>
      </c>
      <c r="H1150">
        <v>220</v>
      </c>
      <c r="I1150">
        <v>214</v>
      </c>
      <c r="J1150">
        <v>214</v>
      </c>
      <c r="K1150">
        <v>205</v>
      </c>
      <c r="L1150">
        <v>216</v>
      </c>
      <c r="M1150">
        <v>210</v>
      </c>
      <c r="N1150">
        <v>213</v>
      </c>
      <c r="O1150" s="173">
        <f t="shared" si="269"/>
        <v>218.91666666666666</v>
      </c>
      <c r="P1150" s="173">
        <f t="shared" si="270"/>
        <v>-30</v>
      </c>
      <c r="Q1150" s="177">
        <f t="shared" si="271"/>
        <v>-0.12052226314027453</v>
      </c>
    </row>
    <row r="1151" spans="1:17" x14ac:dyDescent="0.2">
      <c r="B1151" t="s">
        <v>287</v>
      </c>
      <c r="C1151">
        <v>214</v>
      </c>
      <c r="D1151">
        <v>211</v>
      </c>
      <c r="E1151">
        <v>207</v>
      </c>
      <c r="F1151">
        <v>229</v>
      </c>
      <c r="G1151">
        <v>243</v>
      </c>
      <c r="H1151">
        <v>240</v>
      </c>
      <c r="I1151">
        <v>243</v>
      </c>
      <c r="J1151">
        <v>245</v>
      </c>
      <c r="K1151">
        <v>245</v>
      </c>
      <c r="L1151">
        <v>259</v>
      </c>
      <c r="M1151">
        <v>261</v>
      </c>
      <c r="N1151">
        <v>263</v>
      </c>
      <c r="O1151" s="173">
        <f t="shared" si="269"/>
        <v>238.33333333333334</v>
      </c>
      <c r="P1151" s="173">
        <f t="shared" si="270"/>
        <v>19.416666666666686</v>
      </c>
      <c r="Q1151" s="177">
        <f t="shared" si="271"/>
        <v>8.8694328130947936E-2</v>
      </c>
    </row>
    <row r="1152" spans="1:17" x14ac:dyDescent="0.2">
      <c r="B1152" t="s">
        <v>297</v>
      </c>
      <c r="C1152">
        <v>264</v>
      </c>
      <c r="D1152">
        <v>263</v>
      </c>
      <c r="E1152">
        <v>264</v>
      </c>
      <c r="F1152">
        <v>259</v>
      </c>
      <c r="G1152">
        <v>262</v>
      </c>
      <c r="H1152">
        <v>259</v>
      </c>
      <c r="I1152">
        <v>244</v>
      </c>
      <c r="J1152">
        <v>246</v>
      </c>
      <c r="K1152">
        <v>253</v>
      </c>
      <c r="L1152">
        <v>249</v>
      </c>
      <c r="M1152">
        <v>248</v>
      </c>
      <c r="N1152">
        <v>256</v>
      </c>
      <c r="O1152" s="173">
        <f t="shared" si="269"/>
        <v>255.58333333333334</v>
      </c>
      <c r="P1152" s="173">
        <f t="shared" si="270"/>
        <v>17.25</v>
      </c>
      <c r="Q1152" s="177">
        <f t="shared" si="271"/>
        <v>7.237762237762238E-2</v>
      </c>
    </row>
    <row r="1153" spans="1:17" x14ac:dyDescent="0.2">
      <c r="B1153" t="s">
        <v>300</v>
      </c>
      <c r="C1153">
        <v>259</v>
      </c>
      <c r="D1153">
        <v>269</v>
      </c>
      <c r="E1153">
        <v>262</v>
      </c>
      <c r="F1153">
        <v>281</v>
      </c>
      <c r="G1153">
        <v>292</v>
      </c>
      <c r="H1153">
        <v>287</v>
      </c>
      <c r="I1153">
        <v>285</v>
      </c>
      <c r="J1153">
        <v>271</v>
      </c>
      <c r="K1153">
        <v>263</v>
      </c>
      <c r="L1153">
        <v>304</v>
      </c>
      <c r="M1153">
        <v>301</v>
      </c>
      <c r="N1153">
        <v>256</v>
      </c>
      <c r="O1153" s="173">
        <f t="shared" si="269"/>
        <v>277.5</v>
      </c>
      <c r="P1153" s="173">
        <f t="shared" si="270"/>
        <v>21.916666666666657</v>
      </c>
      <c r="Q1153" s="177">
        <f t="shared" si="271"/>
        <v>8.5751548744701617E-2</v>
      </c>
    </row>
    <row r="1154" spans="1:17" x14ac:dyDescent="0.2">
      <c r="B1154" t="s">
        <v>301</v>
      </c>
      <c r="C1154">
        <v>263</v>
      </c>
      <c r="D1154">
        <v>269</v>
      </c>
      <c r="E1154">
        <v>260</v>
      </c>
      <c r="F1154">
        <v>254</v>
      </c>
      <c r="G1154">
        <v>247</v>
      </c>
      <c r="H1154">
        <v>251</v>
      </c>
      <c r="I1154">
        <v>244</v>
      </c>
      <c r="J1154">
        <v>235</v>
      </c>
      <c r="K1154">
        <v>233</v>
      </c>
      <c r="L1154">
        <v>251</v>
      </c>
      <c r="M1154">
        <v>278</v>
      </c>
      <c r="N1154">
        <v>279</v>
      </c>
      <c r="O1154" s="173">
        <f t="shared" si="269"/>
        <v>255.33333333333334</v>
      </c>
      <c r="P1154" s="173">
        <f t="shared" si="270"/>
        <v>-22.166666666666657</v>
      </c>
      <c r="Q1154" s="177">
        <f>SUM(P1154/O1153)</f>
        <v>-7.987987987987985E-2</v>
      </c>
    </row>
    <row r="1155" spans="1:17" x14ac:dyDescent="0.2">
      <c r="B1155" t="s">
        <v>302</v>
      </c>
      <c r="C1155">
        <v>271</v>
      </c>
      <c r="D1155">
        <v>264</v>
      </c>
      <c r="E1155">
        <v>264</v>
      </c>
      <c r="F1155">
        <v>265</v>
      </c>
      <c r="G1155">
        <v>260</v>
      </c>
      <c r="H1155">
        <v>261</v>
      </c>
      <c r="I1155">
        <v>266</v>
      </c>
      <c r="J1155">
        <v>257</v>
      </c>
      <c r="K1155">
        <v>261</v>
      </c>
      <c r="L1155">
        <v>270</v>
      </c>
      <c r="M1155">
        <v>273</v>
      </c>
      <c r="N1155">
        <v>267</v>
      </c>
      <c r="O1155" s="173">
        <f>SUM(C1155:N1155)/12</f>
        <v>264.91666666666669</v>
      </c>
      <c r="P1155" s="173">
        <f>SUM(O1155-O1154)</f>
        <v>9.5833333333333428</v>
      </c>
      <c r="Q1155" s="177">
        <f>SUM(P1155/O1154)</f>
        <v>3.7532637075718051E-2</v>
      </c>
    </row>
    <row r="1156" spans="1:17" x14ac:dyDescent="0.2">
      <c r="B1156" t="s">
        <v>347</v>
      </c>
      <c r="C1156">
        <v>267</v>
      </c>
      <c r="D1156">
        <v>266</v>
      </c>
      <c r="E1156">
        <v>268</v>
      </c>
      <c r="F1156">
        <v>273</v>
      </c>
      <c r="G1156">
        <v>266</v>
      </c>
      <c r="H1156">
        <v>255</v>
      </c>
      <c r="I1156">
        <v>256</v>
      </c>
      <c r="J1156">
        <v>248</v>
      </c>
      <c r="K1156">
        <v>253</v>
      </c>
      <c r="L1156">
        <v>255</v>
      </c>
      <c r="M1156">
        <v>251</v>
      </c>
      <c r="N1156">
        <v>255</v>
      </c>
      <c r="O1156" s="173">
        <f>SUM(C1156:N1156)/12</f>
        <v>259.41666666666669</v>
      </c>
      <c r="P1156" s="173">
        <f>SUM(O1156-O1155)</f>
        <v>-5.5</v>
      </c>
      <c r="Q1156" s="177">
        <f>SUM(P1156/O1155)</f>
        <v>-2.0761245674740483E-2</v>
      </c>
    </row>
    <row r="1157" spans="1:17" x14ac:dyDescent="0.2">
      <c r="B1157" t="s">
        <v>370</v>
      </c>
      <c r="C1157">
        <v>260</v>
      </c>
      <c r="D1157">
        <v>250</v>
      </c>
      <c r="E1157">
        <v>251</v>
      </c>
      <c r="F1157">
        <v>257</v>
      </c>
      <c r="G1157">
        <v>258</v>
      </c>
      <c r="H1157">
        <v>252</v>
      </c>
      <c r="I1157">
        <v>247</v>
      </c>
      <c r="J1157">
        <v>244</v>
      </c>
      <c r="K1157">
        <v>299</v>
      </c>
      <c r="L1157">
        <v>242</v>
      </c>
      <c r="M1157">
        <v>246</v>
      </c>
      <c r="N1157">
        <v>247</v>
      </c>
      <c r="O1157" s="173">
        <f>SUM(C1157:N1157)/12</f>
        <v>254.41666666666666</v>
      </c>
      <c r="P1157" s="173">
        <f>SUM(O1157-O1156)</f>
        <v>-5.0000000000000284</v>
      </c>
      <c r="Q1157" s="177">
        <f>SUM(P1157/O1156)</f>
        <v>-1.9274012206874507E-2</v>
      </c>
    </row>
    <row r="1158" spans="1:17" x14ac:dyDescent="0.2">
      <c r="B1158" t="s">
        <v>452</v>
      </c>
      <c r="C1158">
        <v>247</v>
      </c>
      <c r="D1158">
        <v>250</v>
      </c>
      <c r="E1158">
        <v>259</v>
      </c>
      <c r="F1158">
        <v>259</v>
      </c>
      <c r="G1158">
        <v>260</v>
      </c>
      <c r="H1158">
        <v>269</v>
      </c>
      <c r="I1158">
        <v>253</v>
      </c>
      <c r="J1158">
        <v>246</v>
      </c>
      <c r="K1158">
        <v>259</v>
      </c>
      <c r="L1158">
        <v>253</v>
      </c>
      <c r="M1158">
        <v>236</v>
      </c>
      <c r="N1158">
        <v>227</v>
      </c>
      <c r="O1158" s="173">
        <f>SUM(C1158:N1158)/12</f>
        <v>251.5</v>
      </c>
      <c r="P1158" s="173">
        <f>SUM(O1158-O1157)</f>
        <v>-2.9166666666666572</v>
      </c>
      <c r="Q1158" s="177">
        <f>SUM(P1158/O1157)</f>
        <v>-1.1464133639043526E-2</v>
      </c>
    </row>
    <row r="1159" spans="1:17" x14ac:dyDescent="0.2">
      <c r="B1159" t="s">
        <v>487</v>
      </c>
      <c r="O1159" s="173"/>
      <c r="P1159" s="173"/>
      <c r="Q1159" s="177"/>
    </row>
    <row r="1160" spans="1:17" x14ac:dyDescent="0.2">
      <c r="A1160" s="178"/>
      <c r="B1160" s="178"/>
      <c r="C1160" s="178"/>
      <c r="D1160" s="178"/>
      <c r="E1160" s="178"/>
      <c r="F1160" s="178"/>
      <c r="G1160" s="178"/>
      <c r="H1160" s="178"/>
      <c r="I1160" s="178"/>
      <c r="J1160" s="178"/>
      <c r="K1160" s="178"/>
      <c r="L1160" s="178"/>
      <c r="M1160" s="178"/>
      <c r="N1160" s="178"/>
      <c r="O1160" s="178"/>
      <c r="P1160" s="178"/>
      <c r="Q1160" s="178"/>
    </row>
    <row r="1161" spans="1:17" ht="25.5" x14ac:dyDescent="0.2">
      <c r="A1161" s="175" t="s">
        <v>459</v>
      </c>
      <c r="B1161" s="176" t="s">
        <v>433</v>
      </c>
      <c r="C1161" s="179" t="s">
        <v>434</v>
      </c>
      <c r="D1161" s="179" t="s">
        <v>435</v>
      </c>
      <c r="E1161" s="179" t="s">
        <v>436</v>
      </c>
      <c r="F1161" s="179" t="s">
        <v>437</v>
      </c>
      <c r="G1161" s="179" t="s">
        <v>438</v>
      </c>
      <c r="H1161" s="179" t="s">
        <v>439</v>
      </c>
      <c r="I1161" s="179" t="s">
        <v>440</v>
      </c>
      <c r="J1161" s="179" t="s">
        <v>441</v>
      </c>
      <c r="K1161" s="179" t="s">
        <v>442</v>
      </c>
      <c r="L1161" s="179" t="s">
        <v>443</v>
      </c>
      <c r="M1161" s="179" t="s">
        <v>444</v>
      </c>
      <c r="N1161" s="179" t="s">
        <v>445</v>
      </c>
    </row>
    <row r="1162" spans="1:17" x14ac:dyDescent="0.2">
      <c r="B1162" t="s">
        <v>449</v>
      </c>
      <c r="C1162">
        <v>204</v>
      </c>
      <c r="D1162">
        <v>210</v>
      </c>
      <c r="E1162">
        <v>215</v>
      </c>
      <c r="F1162">
        <v>213</v>
      </c>
      <c r="G1162">
        <v>212</v>
      </c>
      <c r="H1162">
        <v>207</v>
      </c>
      <c r="I1162">
        <v>200</v>
      </c>
      <c r="J1162">
        <v>199</v>
      </c>
      <c r="K1162">
        <v>192</v>
      </c>
      <c r="L1162">
        <v>192</v>
      </c>
      <c r="M1162">
        <v>181</v>
      </c>
      <c r="N1162">
        <v>189</v>
      </c>
      <c r="O1162" s="173">
        <f t="shared" ref="O1162:O1170" si="272">SUM(C1162:N1162)/12</f>
        <v>201.16666666666666</v>
      </c>
      <c r="P1162" s="173"/>
    </row>
    <row r="1163" spans="1:17" x14ac:dyDescent="0.2">
      <c r="B1163" t="s">
        <v>450</v>
      </c>
      <c r="C1163">
        <v>191</v>
      </c>
      <c r="D1163">
        <v>194</v>
      </c>
      <c r="E1163">
        <v>194</v>
      </c>
      <c r="F1163">
        <v>191</v>
      </c>
      <c r="G1163">
        <v>191</v>
      </c>
      <c r="H1163">
        <v>198</v>
      </c>
      <c r="I1163">
        <v>185</v>
      </c>
      <c r="J1163">
        <v>192</v>
      </c>
      <c r="K1163">
        <v>188</v>
      </c>
      <c r="L1163">
        <v>198</v>
      </c>
      <c r="M1163">
        <v>203</v>
      </c>
      <c r="N1163">
        <v>203</v>
      </c>
      <c r="O1163" s="173">
        <f t="shared" si="272"/>
        <v>194</v>
      </c>
      <c r="P1163" s="173">
        <f t="shared" ref="P1163:P1170" si="273">SUM(O1163-O1162)</f>
        <v>-7.1666666666666572</v>
      </c>
      <c r="Q1163" s="177">
        <f t="shared" ref="Q1163:Q1169" si="274">SUM(P1163/O1162)</f>
        <v>-3.5625517812758863E-2</v>
      </c>
    </row>
    <row r="1164" spans="1:17" x14ac:dyDescent="0.2">
      <c r="B1164" t="s">
        <v>451</v>
      </c>
      <c r="C1164">
        <v>201</v>
      </c>
      <c r="D1164">
        <v>196</v>
      </c>
      <c r="E1164">
        <v>198</v>
      </c>
      <c r="F1164">
        <v>188</v>
      </c>
      <c r="G1164">
        <v>188</v>
      </c>
      <c r="H1164">
        <v>192</v>
      </c>
      <c r="I1164">
        <v>189</v>
      </c>
      <c r="J1164">
        <v>200</v>
      </c>
      <c r="K1164">
        <v>219</v>
      </c>
      <c r="L1164">
        <v>228</v>
      </c>
      <c r="M1164">
        <v>234</v>
      </c>
      <c r="N1164">
        <v>237</v>
      </c>
      <c r="O1164" s="173">
        <f t="shared" si="272"/>
        <v>205.83333333333334</v>
      </c>
      <c r="P1164" s="173">
        <f t="shared" si="273"/>
        <v>11.833333333333343</v>
      </c>
      <c r="Q1164" s="177">
        <f t="shared" si="274"/>
        <v>6.0996563573883208E-2</v>
      </c>
    </row>
    <row r="1165" spans="1:17" x14ac:dyDescent="0.2">
      <c r="B1165" t="s">
        <v>267</v>
      </c>
      <c r="C1165">
        <v>246</v>
      </c>
      <c r="D1165">
        <v>242</v>
      </c>
      <c r="E1165">
        <v>245</v>
      </c>
      <c r="F1165">
        <v>245</v>
      </c>
      <c r="G1165">
        <v>245</v>
      </c>
      <c r="H1165">
        <v>245</v>
      </c>
      <c r="I1165">
        <v>245</v>
      </c>
      <c r="J1165">
        <v>245</v>
      </c>
      <c r="K1165">
        <v>245</v>
      </c>
      <c r="L1165">
        <v>245</v>
      </c>
      <c r="M1165">
        <v>245</v>
      </c>
      <c r="N1165">
        <v>245</v>
      </c>
      <c r="O1165" s="173">
        <f t="shared" si="272"/>
        <v>244.83333333333334</v>
      </c>
      <c r="P1165" s="173">
        <f t="shared" si="273"/>
        <v>39</v>
      </c>
      <c r="Q1165" s="177">
        <f t="shared" si="274"/>
        <v>0.18947368421052629</v>
      </c>
    </row>
    <row r="1166" spans="1:17" x14ac:dyDescent="0.2">
      <c r="B1166" t="s">
        <v>266</v>
      </c>
      <c r="C1166">
        <v>219</v>
      </c>
      <c r="D1166">
        <v>239</v>
      </c>
      <c r="E1166">
        <v>239</v>
      </c>
      <c r="F1166">
        <v>242</v>
      </c>
      <c r="G1166">
        <v>237</v>
      </c>
      <c r="H1166">
        <v>248</v>
      </c>
      <c r="I1166">
        <v>255</v>
      </c>
      <c r="J1166">
        <v>262</v>
      </c>
      <c r="K1166">
        <v>263</v>
      </c>
      <c r="L1166">
        <v>274</v>
      </c>
      <c r="M1166">
        <v>266</v>
      </c>
      <c r="N1166">
        <v>278</v>
      </c>
      <c r="O1166" s="173">
        <f t="shared" si="272"/>
        <v>251.83333333333334</v>
      </c>
      <c r="P1166" s="173">
        <f t="shared" si="273"/>
        <v>7</v>
      </c>
      <c r="Q1166" s="177">
        <f t="shared" si="274"/>
        <v>2.8590878148400271E-2</v>
      </c>
    </row>
    <row r="1167" spans="1:17" x14ac:dyDescent="0.2">
      <c r="B1167" t="s">
        <v>287</v>
      </c>
      <c r="C1167">
        <v>278</v>
      </c>
      <c r="D1167">
        <v>279</v>
      </c>
      <c r="E1167">
        <v>277</v>
      </c>
      <c r="F1167">
        <v>279</v>
      </c>
      <c r="G1167">
        <v>282</v>
      </c>
      <c r="H1167">
        <v>282</v>
      </c>
      <c r="I1167">
        <v>287</v>
      </c>
      <c r="J1167">
        <v>293</v>
      </c>
      <c r="K1167">
        <v>299</v>
      </c>
      <c r="L1167">
        <v>299</v>
      </c>
      <c r="M1167">
        <v>316</v>
      </c>
      <c r="N1167">
        <v>325</v>
      </c>
      <c r="O1167" s="173">
        <f t="shared" si="272"/>
        <v>291.33333333333331</v>
      </c>
      <c r="P1167" s="173">
        <f t="shared" si="273"/>
        <v>39.499999999999972</v>
      </c>
      <c r="Q1167" s="177">
        <f t="shared" si="274"/>
        <v>0.15684976836532086</v>
      </c>
    </row>
    <row r="1168" spans="1:17" x14ac:dyDescent="0.2">
      <c r="B1168" t="s">
        <v>297</v>
      </c>
      <c r="C1168">
        <v>335</v>
      </c>
      <c r="D1168">
        <v>349</v>
      </c>
      <c r="E1168">
        <v>352</v>
      </c>
      <c r="F1168">
        <v>352</v>
      </c>
      <c r="G1168">
        <v>348</v>
      </c>
      <c r="H1168">
        <v>363</v>
      </c>
      <c r="I1168">
        <v>362</v>
      </c>
      <c r="J1168">
        <v>370</v>
      </c>
      <c r="K1168">
        <v>376</v>
      </c>
      <c r="L1168">
        <v>393</v>
      </c>
      <c r="M1168">
        <v>401</v>
      </c>
      <c r="N1168">
        <v>400</v>
      </c>
      <c r="O1168" s="173">
        <f t="shared" si="272"/>
        <v>366.75</v>
      </c>
      <c r="P1168" s="173">
        <f t="shared" si="273"/>
        <v>75.416666666666686</v>
      </c>
      <c r="Q1168" s="177">
        <f t="shared" si="274"/>
        <v>0.25886727688787192</v>
      </c>
    </row>
    <row r="1169" spans="1:17" x14ac:dyDescent="0.2">
      <c r="B1169" t="s">
        <v>300</v>
      </c>
      <c r="C1169">
        <v>397</v>
      </c>
      <c r="D1169">
        <v>402</v>
      </c>
      <c r="E1169">
        <v>398</v>
      </c>
      <c r="F1169">
        <v>408</v>
      </c>
      <c r="G1169">
        <v>409</v>
      </c>
      <c r="H1169">
        <v>416</v>
      </c>
      <c r="I1169">
        <v>415</v>
      </c>
      <c r="J1169">
        <v>414</v>
      </c>
      <c r="K1169">
        <v>405</v>
      </c>
      <c r="L1169">
        <v>486</v>
      </c>
      <c r="M1169">
        <v>472</v>
      </c>
      <c r="N1169">
        <v>409</v>
      </c>
      <c r="O1169" s="173">
        <f t="shared" si="272"/>
        <v>419.25</v>
      </c>
      <c r="P1169" s="173">
        <f t="shared" si="273"/>
        <v>52.5</v>
      </c>
      <c r="Q1169" s="177">
        <f t="shared" si="274"/>
        <v>0.14314928425357873</v>
      </c>
    </row>
    <row r="1170" spans="1:17" x14ac:dyDescent="0.2">
      <c r="B1170" t="s">
        <v>301</v>
      </c>
      <c r="C1170">
        <v>426</v>
      </c>
      <c r="D1170">
        <v>431</v>
      </c>
      <c r="E1170">
        <v>506</v>
      </c>
      <c r="F1170">
        <v>455</v>
      </c>
      <c r="G1170">
        <v>489</v>
      </c>
      <c r="H1170">
        <v>513</v>
      </c>
      <c r="I1170">
        <v>514</v>
      </c>
      <c r="J1170">
        <v>518</v>
      </c>
      <c r="K1170">
        <v>505</v>
      </c>
      <c r="L1170">
        <v>502</v>
      </c>
      <c r="M1170">
        <v>516</v>
      </c>
      <c r="N1170">
        <v>530</v>
      </c>
      <c r="O1170" s="173">
        <f t="shared" si="272"/>
        <v>492.08333333333331</v>
      </c>
      <c r="P1170" s="173">
        <f t="shared" si="273"/>
        <v>72.833333333333314</v>
      </c>
      <c r="Q1170" s="177">
        <f>SUM(P1170/O1169)</f>
        <v>0.17372291790896438</v>
      </c>
    </row>
    <row r="1171" spans="1:17" x14ac:dyDescent="0.2">
      <c r="B1171" t="s">
        <v>302</v>
      </c>
      <c r="C1171">
        <v>482</v>
      </c>
      <c r="D1171">
        <v>466</v>
      </c>
      <c r="E1171">
        <v>463</v>
      </c>
      <c r="F1171">
        <v>466</v>
      </c>
      <c r="G1171">
        <v>455</v>
      </c>
      <c r="H1171">
        <v>458</v>
      </c>
      <c r="I1171">
        <v>448</v>
      </c>
      <c r="J1171">
        <v>451</v>
      </c>
      <c r="K1171">
        <v>454</v>
      </c>
      <c r="L1171">
        <v>449</v>
      </c>
      <c r="M1171">
        <v>443</v>
      </c>
      <c r="N1171">
        <v>447</v>
      </c>
      <c r="O1171" s="173">
        <f>SUM(C1171:N1171)/12</f>
        <v>456.83333333333331</v>
      </c>
      <c r="P1171" s="173">
        <f>SUM(O1171-O1170)</f>
        <v>-35.25</v>
      </c>
      <c r="Q1171" s="177">
        <f>SUM(P1171/O1170)</f>
        <v>-7.1634208298052504E-2</v>
      </c>
    </row>
    <row r="1172" spans="1:17" x14ac:dyDescent="0.2">
      <c r="B1172" t="s">
        <v>347</v>
      </c>
      <c r="C1172">
        <v>441</v>
      </c>
      <c r="D1172">
        <v>439</v>
      </c>
      <c r="E1172">
        <v>439</v>
      </c>
      <c r="F1172">
        <v>426</v>
      </c>
      <c r="G1172">
        <v>432</v>
      </c>
      <c r="H1172">
        <v>465</v>
      </c>
      <c r="I1172">
        <v>452</v>
      </c>
      <c r="J1172">
        <v>441</v>
      </c>
      <c r="K1172">
        <v>443</v>
      </c>
      <c r="L1172">
        <v>462</v>
      </c>
      <c r="M1172">
        <v>480</v>
      </c>
      <c r="N1172">
        <v>467</v>
      </c>
      <c r="O1172" s="173">
        <f>SUM(C1172:N1172)/12</f>
        <v>448.91666666666669</v>
      </c>
      <c r="P1172" s="173">
        <f>SUM(O1172-O1171)</f>
        <v>-7.9166666666666288</v>
      </c>
      <c r="Q1172" s="177">
        <f>SUM(P1172/O1171)</f>
        <v>-1.7329441809558473E-2</v>
      </c>
    </row>
    <row r="1173" spans="1:17" x14ac:dyDescent="0.2">
      <c r="B1173" t="s">
        <v>370</v>
      </c>
      <c r="C1173">
        <v>465</v>
      </c>
      <c r="D1173">
        <v>456</v>
      </c>
      <c r="E1173">
        <v>455</v>
      </c>
      <c r="F1173">
        <v>464</v>
      </c>
      <c r="G1173">
        <v>461</v>
      </c>
      <c r="H1173">
        <v>470</v>
      </c>
      <c r="I1173">
        <v>443</v>
      </c>
      <c r="J1173">
        <v>469</v>
      </c>
      <c r="K1173">
        <v>478</v>
      </c>
      <c r="L1173">
        <v>471</v>
      </c>
      <c r="M1173">
        <v>457</v>
      </c>
      <c r="N1173">
        <v>468</v>
      </c>
      <c r="O1173" s="173">
        <f>SUM(C1173:N1173)/12</f>
        <v>463.08333333333331</v>
      </c>
      <c r="P1173" s="173">
        <f>SUM(O1173-O1172)</f>
        <v>14.166666666666629</v>
      </c>
      <c r="Q1173" s="177">
        <f>SUM(P1173/O1172)</f>
        <v>3.1557453127900419E-2</v>
      </c>
    </row>
    <row r="1174" spans="1:17" x14ac:dyDescent="0.2">
      <c r="B1174" t="s">
        <v>452</v>
      </c>
      <c r="C1174">
        <v>486</v>
      </c>
      <c r="D1174">
        <v>496</v>
      </c>
      <c r="E1174">
        <v>489</v>
      </c>
      <c r="F1174">
        <v>495</v>
      </c>
      <c r="G1174">
        <v>495</v>
      </c>
      <c r="H1174">
        <v>495</v>
      </c>
      <c r="I1174">
        <v>495</v>
      </c>
      <c r="J1174">
        <v>500</v>
      </c>
      <c r="K1174">
        <v>502</v>
      </c>
      <c r="L1174">
        <v>508</v>
      </c>
      <c r="M1174">
        <v>497</v>
      </c>
      <c r="N1174">
        <v>504</v>
      </c>
      <c r="O1174" s="173">
        <f>SUM(C1174:N1174)/12</f>
        <v>496.83333333333331</v>
      </c>
      <c r="P1174" s="173">
        <f>SUM(O1174-O1173)</f>
        <v>33.75</v>
      </c>
      <c r="Q1174" s="177">
        <f>SUM(P1174/O1173)</f>
        <v>7.2881050926759047E-2</v>
      </c>
    </row>
    <row r="1175" spans="1:17" x14ac:dyDescent="0.2">
      <c r="B1175" t="s">
        <v>487</v>
      </c>
      <c r="O1175" s="173"/>
      <c r="P1175" s="173"/>
      <c r="Q1175" s="177"/>
    </row>
    <row r="1176" spans="1:17" ht="25.5" x14ac:dyDescent="0.2">
      <c r="A1176" s="175" t="s">
        <v>460</v>
      </c>
      <c r="B1176" s="176" t="s">
        <v>433</v>
      </c>
      <c r="C1176" s="179" t="s">
        <v>434</v>
      </c>
      <c r="D1176" s="179" t="s">
        <v>435</v>
      </c>
      <c r="E1176" s="179" t="s">
        <v>436</v>
      </c>
      <c r="F1176" s="179" t="s">
        <v>437</v>
      </c>
      <c r="G1176" s="179" t="s">
        <v>438</v>
      </c>
      <c r="H1176" s="179" t="s">
        <v>439</v>
      </c>
      <c r="I1176" s="179" t="s">
        <v>440</v>
      </c>
      <c r="J1176" s="179" t="s">
        <v>441</v>
      </c>
      <c r="K1176" s="179" t="s">
        <v>442</v>
      </c>
      <c r="L1176" s="179" t="s">
        <v>443</v>
      </c>
      <c r="M1176" s="179" t="s">
        <v>444</v>
      </c>
      <c r="N1176" s="179" t="s">
        <v>445</v>
      </c>
    </row>
    <row r="1177" spans="1:17" x14ac:dyDescent="0.2">
      <c r="B1177" t="s">
        <v>449</v>
      </c>
      <c r="C1177">
        <v>173</v>
      </c>
      <c r="D1177">
        <v>167</v>
      </c>
      <c r="E1177">
        <v>163</v>
      </c>
      <c r="F1177">
        <v>169</v>
      </c>
      <c r="G1177">
        <v>161</v>
      </c>
      <c r="H1177">
        <v>164</v>
      </c>
      <c r="I1177">
        <v>156</v>
      </c>
      <c r="J1177">
        <v>157</v>
      </c>
      <c r="K1177">
        <v>148</v>
      </c>
      <c r="L1177">
        <v>156</v>
      </c>
      <c r="M1177">
        <v>171</v>
      </c>
      <c r="N1177">
        <v>177</v>
      </c>
      <c r="O1177" s="173">
        <f t="shared" ref="O1177:O1185" si="275">SUM(C1177:N1177)/12</f>
        <v>163.5</v>
      </c>
      <c r="P1177" s="173"/>
    </row>
    <row r="1178" spans="1:17" x14ac:dyDescent="0.2">
      <c r="B1178" t="s">
        <v>450</v>
      </c>
      <c r="C1178">
        <v>169</v>
      </c>
      <c r="D1178">
        <v>160</v>
      </c>
      <c r="E1178">
        <v>150</v>
      </c>
      <c r="F1178">
        <v>143</v>
      </c>
      <c r="G1178">
        <v>143</v>
      </c>
      <c r="H1178">
        <v>140</v>
      </c>
      <c r="I1178">
        <v>144</v>
      </c>
      <c r="J1178">
        <v>152</v>
      </c>
      <c r="K1178">
        <v>152</v>
      </c>
      <c r="L1178">
        <v>143</v>
      </c>
      <c r="M1178">
        <v>151</v>
      </c>
      <c r="N1178">
        <v>152</v>
      </c>
      <c r="O1178" s="173">
        <f t="shared" si="275"/>
        <v>149.91666666666666</v>
      </c>
      <c r="P1178" s="173">
        <f t="shared" ref="P1178:P1185" si="276">SUM(O1178-O1177)</f>
        <v>-13.583333333333343</v>
      </c>
      <c r="Q1178" s="177">
        <f t="shared" ref="Q1178:Q1184" si="277">SUM(P1178/O1177)</f>
        <v>-8.3078491335372123E-2</v>
      </c>
    </row>
    <row r="1179" spans="1:17" x14ac:dyDescent="0.2">
      <c r="B1179" t="s">
        <v>451</v>
      </c>
      <c r="C1179">
        <v>144</v>
      </c>
      <c r="D1179">
        <v>141</v>
      </c>
      <c r="E1179">
        <v>140</v>
      </c>
      <c r="F1179">
        <v>142</v>
      </c>
      <c r="G1179">
        <v>138</v>
      </c>
      <c r="H1179">
        <v>143</v>
      </c>
      <c r="I1179">
        <v>143</v>
      </c>
      <c r="J1179">
        <v>152</v>
      </c>
      <c r="K1179">
        <v>157</v>
      </c>
      <c r="L1179">
        <v>162</v>
      </c>
      <c r="M1179">
        <v>167</v>
      </c>
      <c r="N1179">
        <v>172</v>
      </c>
      <c r="O1179" s="173">
        <f t="shared" si="275"/>
        <v>150.08333333333334</v>
      </c>
      <c r="P1179" s="173">
        <f t="shared" si="276"/>
        <v>0.16666666666668561</v>
      </c>
      <c r="Q1179" s="177">
        <f t="shared" si="277"/>
        <v>1.1117287381880085E-3</v>
      </c>
    </row>
    <row r="1180" spans="1:17" x14ac:dyDescent="0.2">
      <c r="B1180" t="s">
        <v>267</v>
      </c>
      <c r="C1180">
        <v>175</v>
      </c>
      <c r="D1180">
        <v>144</v>
      </c>
      <c r="E1180">
        <v>144</v>
      </c>
      <c r="F1180">
        <v>144</v>
      </c>
      <c r="G1180">
        <v>153</v>
      </c>
      <c r="H1180">
        <v>153</v>
      </c>
      <c r="I1180">
        <v>153</v>
      </c>
      <c r="J1180">
        <v>153</v>
      </c>
      <c r="K1180">
        <v>153</v>
      </c>
      <c r="L1180">
        <v>162</v>
      </c>
      <c r="M1180">
        <v>167</v>
      </c>
      <c r="N1180">
        <v>172</v>
      </c>
      <c r="O1180" s="173">
        <f t="shared" si="275"/>
        <v>156.08333333333334</v>
      </c>
      <c r="P1180" s="173">
        <f t="shared" si="276"/>
        <v>6</v>
      </c>
      <c r="Q1180" s="177">
        <f t="shared" si="277"/>
        <v>3.9977790116601887E-2</v>
      </c>
    </row>
    <row r="1181" spans="1:17" x14ac:dyDescent="0.2">
      <c r="B1181" t="s">
        <v>266</v>
      </c>
      <c r="C1181">
        <v>189</v>
      </c>
      <c r="D1181">
        <v>147</v>
      </c>
      <c r="E1181">
        <v>150</v>
      </c>
      <c r="F1181">
        <v>149</v>
      </c>
      <c r="G1181">
        <v>143</v>
      </c>
      <c r="H1181">
        <v>144</v>
      </c>
      <c r="I1181">
        <v>145</v>
      </c>
      <c r="J1181">
        <v>150</v>
      </c>
      <c r="K1181">
        <v>156</v>
      </c>
      <c r="L1181">
        <v>156</v>
      </c>
      <c r="M1181">
        <v>137</v>
      </c>
      <c r="N1181">
        <v>137</v>
      </c>
      <c r="O1181" s="173">
        <f t="shared" si="275"/>
        <v>150.25</v>
      </c>
      <c r="P1181" s="173">
        <f t="shared" si="276"/>
        <v>-5.8333333333333428</v>
      </c>
      <c r="Q1181" s="177">
        <f t="shared" si="277"/>
        <v>-3.7373198077949872E-2</v>
      </c>
    </row>
    <row r="1182" spans="1:17" x14ac:dyDescent="0.2">
      <c r="B1182" t="s">
        <v>287</v>
      </c>
      <c r="C1182">
        <v>121</v>
      </c>
      <c r="D1182">
        <v>120</v>
      </c>
      <c r="E1182">
        <v>127</v>
      </c>
      <c r="F1182">
        <v>130</v>
      </c>
      <c r="G1182">
        <v>134</v>
      </c>
      <c r="H1182">
        <v>143</v>
      </c>
      <c r="I1182">
        <v>142</v>
      </c>
      <c r="J1182">
        <v>138</v>
      </c>
      <c r="K1182">
        <v>139</v>
      </c>
      <c r="L1182">
        <v>146</v>
      </c>
      <c r="M1182">
        <v>148</v>
      </c>
      <c r="N1182">
        <v>147</v>
      </c>
      <c r="O1182" s="173">
        <f t="shared" si="275"/>
        <v>136.25</v>
      </c>
      <c r="P1182" s="173">
        <f t="shared" si="276"/>
        <v>-14</v>
      </c>
      <c r="Q1182" s="177">
        <f t="shared" si="277"/>
        <v>-9.3178036605657238E-2</v>
      </c>
    </row>
    <row r="1183" spans="1:17" x14ac:dyDescent="0.2">
      <c r="B1183" t="s">
        <v>297</v>
      </c>
      <c r="C1183">
        <v>146</v>
      </c>
      <c r="D1183">
        <v>146</v>
      </c>
      <c r="E1183">
        <v>146</v>
      </c>
      <c r="F1183">
        <v>152</v>
      </c>
      <c r="G1183">
        <v>150</v>
      </c>
      <c r="H1183">
        <v>141</v>
      </c>
      <c r="I1183">
        <v>136</v>
      </c>
      <c r="J1183">
        <v>139</v>
      </c>
      <c r="K1183">
        <v>141</v>
      </c>
      <c r="L1183">
        <v>149</v>
      </c>
      <c r="M1183">
        <v>155</v>
      </c>
      <c r="N1183">
        <v>142</v>
      </c>
      <c r="O1183" s="173">
        <f t="shared" si="275"/>
        <v>145.25</v>
      </c>
      <c r="P1183" s="173">
        <f t="shared" si="276"/>
        <v>9</v>
      </c>
      <c r="Q1183" s="177">
        <f t="shared" si="277"/>
        <v>6.6055045871559637E-2</v>
      </c>
    </row>
    <row r="1184" spans="1:17" x14ac:dyDescent="0.2">
      <c r="B1184" t="s">
        <v>300</v>
      </c>
      <c r="C1184">
        <v>148</v>
      </c>
      <c r="D1184">
        <v>149</v>
      </c>
      <c r="E1184">
        <v>149</v>
      </c>
      <c r="F1184">
        <v>151</v>
      </c>
      <c r="G1184">
        <v>139</v>
      </c>
      <c r="H1184">
        <v>141</v>
      </c>
      <c r="I1184">
        <v>136</v>
      </c>
      <c r="J1184">
        <v>148</v>
      </c>
      <c r="K1184">
        <v>146</v>
      </c>
      <c r="L1184">
        <v>210</v>
      </c>
      <c r="M1184">
        <v>211</v>
      </c>
      <c r="N1184">
        <v>152</v>
      </c>
      <c r="O1184" s="173">
        <f t="shared" si="275"/>
        <v>156.66666666666666</v>
      </c>
      <c r="P1184" s="173">
        <f t="shared" si="276"/>
        <v>11.416666666666657</v>
      </c>
      <c r="Q1184" s="177">
        <f t="shared" si="277"/>
        <v>7.8600114744692987E-2</v>
      </c>
    </row>
    <row r="1185" spans="1:17" x14ac:dyDescent="0.2">
      <c r="B1185" t="s">
        <v>301</v>
      </c>
      <c r="C1185">
        <v>146</v>
      </c>
      <c r="D1185">
        <v>150</v>
      </c>
      <c r="E1185">
        <v>146</v>
      </c>
      <c r="F1185">
        <v>146</v>
      </c>
      <c r="G1185">
        <v>114</v>
      </c>
      <c r="H1185">
        <v>99</v>
      </c>
      <c r="I1185">
        <v>169</v>
      </c>
      <c r="J1185">
        <v>145</v>
      </c>
      <c r="K1185">
        <v>145</v>
      </c>
      <c r="L1185">
        <v>145</v>
      </c>
      <c r="M1185">
        <v>139</v>
      </c>
      <c r="N1185">
        <v>138</v>
      </c>
      <c r="O1185" s="173">
        <f t="shared" si="275"/>
        <v>140.16666666666666</v>
      </c>
      <c r="P1185" s="173">
        <f t="shared" si="276"/>
        <v>-16.5</v>
      </c>
      <c r="Q1185" s="177">
        <f>SUM(P1185/O1184)</f>
        <v>-0.10531914893617023</v>
      </c>
    </row>
    <row r="1186" spans="1:17" x14ac:dyDescent="0.2">
      <c r="B1186" t="s">
        <v>302</v>
      </c>
      <c r="C1186">
        <v>133</v>
      </c>
      <c r="D1186">
        <v>135</v>
      </c>
      <c r="E1186">
        <v>136</v>
      </c>
      <c r="F1186">
        <v>143</v>
      </c>
      <c r="G1186">
        <v>140</v>
      </c>
      <c r="H1186">
        <v>144</v>
      </c>
      <c r="I1186">
        <v>145</v>
      </c>
      <c r="J1186">
        <v>144</v>
      </c>
      <c r="K1186">
        <v>166</v>
      </c>
      <c r="L1186">
        <v>162</v>
      </c>
      <c r="M1186">
        <v>166</v>
      </c>
      <c r="N1186">
        <v>161</v>
      </c>
      <c r="O1186" s="173">
        <f>SUM(C1186:N1186)/12</f>
        <v>147.91666666666666</v>
      </c>
      <c r="P1186" s="173">
        <f>SUM(O1186-O1185)</f>
        <v>7.75</v>
      </c>
      <c r="Q1186" s="177">
        <f>SUM(P1186/O1185)</f>
        <v>5.5291319857312726E-2</v>
      </c>
    </row>
    <row r="1187" spans="1:17" x14ac:dyDescent="0.2">
      <c r="B1187" t="s">
        <v>347</v>
      </c>
      <c r="C1187">
        <v>159</v>
      </c>
      <c r="D1187">
        <v>157</v>
      </c>
      <c r="E1187">
        <v>154</v>
      </c>
      <c r="F1187">
        <v>156</v>
      </c>
      <c r="G1187">
        <v>155</v>
      </c>
      <c r="H1187">
        <v>151</v>
      </c>
      <c r="I1187">
        <v>152</v>
      </c>
      <c r="J1187">
        <v>148</v>
      </c>
      <c r="K1187">
        <v>152</v>
      </c>
      <c r="L1187">
        <v>155</v>
      </c>
      <c r="M1187">
        <v>161</v>
      </c>
      <c r="N1187">
        <v>156</v>
      </c>
      <c r="O1187" s="173">
        <f>SUM(C1187:N1187)/12</f>
        <v>154.66666666666666</v>
      </c>
      <c r="P1187" s="173">
        <f>SUM(O1187-O1186)</f>
        <v>6.75</v>
      </c>
      <c r="Q1187" s="177">
        <f>SUM(P1187/O1186)</f>
        <v>4.5633802816901409E-2</v>
      </c>
    </row>
    <row r="1188" spans="1:17" x14ac:dyDescent="0.2">
      <c r="B1188" t="s">
        <v>370</v>
      </c>
      <c r="C1188">
        <v>150</v>
      </c>
      <c r="D1188">
        <v>158</v>
      </c>
      <c r="E1188">
        <v>160</v>
      </c>
      <c r="F1188">
        <v>142</v>
      </c>
      <c r="G1188">
        <v>141</v>
      </c>
      <c r="H1188">
        <v>138</v>
      </c>
      <c r="I1188">
        <v>139</v>
      </c>
      <c r="J1188">
        <v>136</v>
      </c>
      <c r="K1188">
        <v>134</v>
      </c>
      <c r="L1188">
        <v>142</v>
      </c>
      <c r="M1188">
        <v>143</v>
      </c>
      <c r="N1188">
        <v>135</v>
      </c>
      <c r="O1188" s="173">
        <f>SUM(C1188:N1188)/12</f>
        <v>143.16666666666666</v>
      </c>
      <c r="P1188" s="173">
        <f>SUM(O1188-O1187)</f>
        <v>-11.5</v>
      </c>
      <c r="Q1188" s="177">
        <f>SUM(P1188/O1187)</f>
        <v>-7.4353448275862072E-2</v>
      </c>
    </row>
    <row r="1189" spans="1:17" x14ac:dyDescent="0.2">
      <c r="B1189" t="s">
        <v>452</v>
      </c>
      <c r="C1189">
        <v>137</v>
      </c>
      <c r="D1189">
        <v>145</v>
      </c>
      <c r="E1189">
        <v>146</v>
      </c>
      <c r="F1189">
        <v>150</v>
      </c>
      <c r="G1189">
        <v>146</v>
      </c>
      <c r="H1189">
        <v>138</v>
      </c>
      <c r="I1189">
        <v>137</v>
      </c>
      <c r="J1189">
        <v>135</v>
      </c>
      <c r="K1189">
        <v>138</v>
      </c>
      <c r="L1189">
        <v>141</v>
      </c>
      <c r="M1189">
        <v>147</v>
      </c>
      <c r="N1189">
        <v>140</v>
      </c>
      <c r="O1189" s="173">
        <f>SUM(C1189:N1189)/12</f>
        <v>141.66666666666666</v>
      </c>
      <c r="P1189" s="173">
        <f>SUM(O1189-O1188)</f>
        <v>-1.5</v>
      </c>
      <c r="Q1189" s="177">
        <f>SUM(P1189/O1188)</f>
        <v>-1.0477299185098952E-2</v>
      </c>
    </row>
    <row r="1190" spans="1:17" x14ac:dyDescent="0.2">
      <c r="B1190" t="s">
        <v>487</v>
      </c>
      <c r="O1190" s="173"/>
      <c r="P1190" s="173"/>
      <c r="Q1190" s="177"/>
    </row>
    <row r="1191" spans="1:17" ht="25.5" x14ac:dyDescent="0.2">
      <c r="A1191" s="175" t="s">
        <v>461</v>
      </c>
      <c r="B1191" s="176" t="s">
        <v>433</v>
      </c>
      <c r="C1191" s="179" t="s">
        <v>434</v>
      </c>
      <c r="D1191" s="179" t="s">
        <v>435</v>
      </c>
      <c r="E1191" s="179" t="s">
        <v>436</v>
      </c>
      <c r="F1191" s="179" t="s">
        <v>437</v>
      </c>
      <c r="G1191" s="179" t="s">
        <v>438</v>
      </c>
      <c r="H1191" s="179" t="s">
        <v>439</v>
      </c>
      <c r="I1191" s="179" t="s">
        <v>440</v>
      </c>
      <c r="J1191" s="179" t="s">
        <v>441</v>
      </c>
      <c r="K1191" s="179" t="s">
        <v>442</v>
      </c>
      <c r="L1191" s="179" t="s">
        <v>443</v>
      </c>
      <c r="M1191" s="179" t="s">
        <v>444</v>
      </c>
      <c r="N1191" s="179" t="s">
        <v>445</v>
      </c>
    </row>
    <row r="1192" spans="1:17" x14ac:dyDescent="0.2">
      <c r="B1192" t="s">
        <v>449</v>
      </c>
      <c r="C1192">
        <v>88</v>
      </c>
      <c r="D1192">
        <v>88</v>
      </c>
      <c r="E1192">
        <v>91</v>
      </c>
      <c r="F1192">
        <v>89</v>
      </c>
      <c r="G1192">
        <v>92</v>
      </c>
      <c r="H1192">
        <v>87</v>
      </c>
      <c r="I1192">
        <v>92</v>
      </c>
      <c r="J1192">
        <v>98</v>
      </c>
      <c r="K1192">
        <v>100</v>
      </c>
      <c r="L1192">
        <v>101</v>
      </c>
      <c r="M1192">
        <v>101</v>
      </c>
      <c r="N1192">
        <v>103</v>
      </c>
      <c r="O1192" s="173">
        <f t="shared" ref="O1192:O1200" si="278">SUM(C1192:N1192)/12</f>
        <v>94.166666666666671</v>
      </c>
      <c r="P1192" s="173"/>
    </row>
    <row r="1193" spans="1:17" x14ac:dyDescent="0.2">
      <c r="B1193" t="s">
        <v>450</v>
      </c>
      <c r="C1193">
        <v>99</v>
      </c>
      <c r="D1193">
        <v>99</v>
      </c>
      <c r="E1193">
        <v>93</v>
      </c>
      <c r="F1193">
        <v>96</v>
      </c>
      <c r="G1193">
        <v>87</v>
      </c>
      <c r="H1193">
        <v>98</v>
      </c>
      <c r="I1193">
        <v>92</v>
      </c>
      <c r="J1193">
        <v>97</v>
      </c>
      <c r="K1193">
        <v>96</v>
      </c>
      <c r="L1193">
        <v>96</v>
      </c>
      <c r="M1193">
        <v>99</v>
      </c>
      <c r="N1193">
        <v>104</v>
      </c>
      <c r="O1193" s="173">
        <f t="shared" si="278"/>
        <v>96.333333333333329</v>
      </c>
      <c r="P1193" s="173">
        <f t="shared" ref="P1193:P1200" si="279">SUM(O1193-O1192)</f>
        <v>2.1666666666666572</v>
      </c>
      <c r="Q1193" s="177">
        <f t="shared" ref="Q1193:Q1199" si="280">SUM(P1193/O1192)</f>
        <v>2.3008849557522023E-2</v>
      </c>
    </row>
    <row r="1194" spans="1:17" x14ac:dyDescent="0.2">
      <c r="B1194" t="s">
        <v>451</v>
      </c>
      <c r="C1194">
        <v>103</v>
      </c>
      <c r="D1194">
        <v>108</v>
      </c>
      <c r="E1194">
        <v>99</v>
      </c>
      <c r="F1194">
        <v>108</v>
      </c>
      <c r="G1194">
        <v>104</v>
      </c>
      <c r="H1194">
        <v>89</v>
      </c>
      <c r="I1194">
        <v>81</v>
      </c>
      <c r="J1194">
        <v>73</v>
      </c>
      <c r="K1194">
        <v>71</v>
      </c>
      <c r="L1194">
        <v>75</v>
      </c>
      <c r="M1194">
        <v>110</v>
      </c>
      <c r="N1194">
        <v>120</v>
      </c>
      <c r="O1194" s="173">
        <f t="shared" si="278"/>
        <v>95.083333333333329</v>
      </c>
      <c r="P1194" s="173">
        <f t="shared" si="279"/>
        <v>-1.25</v>
      </c>
      <c r="Q1194" s="177">
        <f t="shared" si="280"/>
        <v>-1.2975778546712804E-2</v>
      </c>
    </row>
    <row r="1195" spans="1:17" x14ac:dyDescent="0.2">
      <c r="B1195" t="s">
        <v>267</v>
      </c>
      <c r="C1195">
        <v>75</v>
      </c>
      <c r="D1195">
        <v>134</v>
      </c>
      <c r="E1195">
        <v>85</v>
      </c>
      <c r="F1195">
        <v>85</v>
      </c>
      <c r="G1195">
        <v>86</v>
      </c>
      <c r="H1195">
        <v>89</v>
      </c>
      <c r="I1195">
        <v>85</v>
      </c>
      <c r="J1195">
        <v>85</v>
      </c>
      <c r="K1195">
        <v>85</v>
      </c>
      <c r="L1195">
        <v>85</v>
      </c>
      <c r="M1195">
        <v>85</v>
      </c>
      <c r="N1195">
        <v>85</v>
      </c>
      <c r="O1195" s="173">
        <f t="shared" si="278"/>
        <v>88.666666666666671</v>
      </c>
      <c r="P1195" s="173">
        <f t="shared" si="279"/>
        <v>-6.4166666666666572</v>
      </c>
      <c r="Q1195" s="177">
        <f t="shared" si="280"/>
        <v>-6.7484662576687018E-2</v>
      </c>
    </row>
    <row r="1196" spans="1:17" x14ac:dyDescent="0.2">
      <c r="B1196" t="s">
        <v>266</v>
      </c>
      <c r="C1196">
        <v>107</v>
      </c>
      <c r="D1196">
        <v>90</v>
      </c>
      <c r="E1196">
        <v>90</v>
      </c>
      <c r="F1196">
        <v>91</v>
      </c>
      <c r="G1196">
        <v>89</v>
      </c>
      <c r="H1196">
        <v>89</v>
      </c>
      <c r="I1196">
        <v>87</v>
      </c>
      <c r="J1196">
        <v>83</v>
      </c>
      <c r="K1196">
        <v>79</v>
      </c>
      <c r="L1196">
        <v>83</v>
      </c>
      <c r="M1196">
        <v>84</v>
      </c>
      <c r="N1196">
        <v>86</v>
      </c>
      <c r="O1196" s="173">
        <f t="shared" si="278"/>
        <v>88.166666666666671</v>
      </c>
      <c r="P1196" s="173">
        <f t="shared" si="279"/>
        <v>-0.5</v>
      </c>
      <c r="Q1196" s="177">
        <f t="shared" si="280"/>
        <v>-5.6390977443609019E-3</v>
      </c>
    </row>
    <row r="1197" spans="1:17" x14ac:dyDescent="0.2">
      <c r="B1197" t="s">
        <v>287</v>
      </c>
      <c r="C1197">
        <v>94</v>
      </c>
      <c r="D1197">
        <v>94</v>
      </c>
      <c r="E1197">
        <v>95</v>
      </c>
      <c r="F1197">
        <v>92</v>
      </c>
      <c r="G1197">
        <v>92</v>
      </c>
      <c r="H1197">
        <v>91</v>
      </c>
      <c r="I1197">
        <v>93</v>
      </c>
      <c r="J1197">
        <v>90</v>
      </c>
      <c r="K1197">
        <v>87</v>
      </c>
      <c r="L1197">
        <v>86</v>
      </c>
      <c r="M1197">
        <v>86</v>
      </c>
      <c r="N1197">
        <v>85</v>
      </c>
      <c r="O1197" s="173">
        <f t="shared" si="278"/>
        <v>90.416666666666671</v>
      </c>
      <c r="P1197" s="173">
        <f t="shared" si="279"/>
        <v>2.25</v>
      </c>
      <c r="Q1197" s="177">
        <f t="shared" si="280"/>
        <v>2.5519848771266538E-2</v>
      </c>
    </row>
    <row r="1198" spans="1:17" x14ac:dyDescent="0.2">
      <c r="B1198" t="s">
        <v>297</v>
      </c>
      <c r="C1198">
        <v>88</v>
      </c>
      <c r="D1198">
        <v>90</v>
      </c>
      <c r="E1198">
        <v>90</v>
      </c>
      <c r="F1198">
        <v>93</v>
      </c>
      <c r="G1198">
        <v>90</v>
      </c>
      <c r="H1198">
        <v>89</v>
      </c>
      <c r="I1198">
        <v>112</v>
      </c>
      <c r="J1198">
        <v>108</v>
      </c>
      <c r="K1198">
        <v>112</v>
      </c>
      <c r="L1198">
        <v>113</v>
      </c>
      <c r="M1198">
        <v>109</v>
      </c>
      <c r="N1198">
        <v>108</v>
      </c>
      <c r="O1198" s="173">
        <f t="shared" si="278"/>
        <v>100.16666666666667</v>
      </c>
      <c r="P1198" s="173">
        <f t="shared" si="279"/>
        <v>9.75</v>
      </c>
      <c r="Q1198" s="177">
        <f t="shared" si="280"/>
        <v>0.10783410138248847</v>
      </c>
    </row>
    <row r="1199" spans="1:17" x14ac:dyDescent="0.2">
      <c r="B1199" t="s">
        <v>300</v>
      </c>
      <c r="C1199">
        <v>107</v>
      </c>
      <c r="D1199">
        <v>106</v>
      </c>
      <c r="E1199">
        <v>105</v>
      </c>
      <c r="F1199">
        <v>96</v>
      </c>
      <c r="G1199">
        <v>99</v>
      </c>
      <c r="H1199">
        <v>101</v>
      </c>
      <c r="I1199">
        <v>103</v>
      </c>
      <c r="J1199">
        <v>103</v>
      </c>
      <c r="K1199">
        <v>100</v>
      </c>
      <c r="L1199">
        <v>113</v>
      </c>
      <c r="M1199">
        <v>118</v>
      </c>
      <c r="N1199">
        <v>104</v>
      </c>
      <c r="O1199" s="173">
        <f t="shared" si="278"/>
        <v>104.58333333333333</v>
      </c>
      <c r="P1199" s="173">
        <f t="shared" si="279"/>
        <v>4.4166666666666572</v>
      </c>
      <c r="Q1199" s="177">
        <f t="shared" si="280"/>
        <v>4.4093178036605563E-2</v>
      </c>
    </row>
    <row r="1200" spans="1:17" x14ac:dyDescent="0.2">
      <c r="B1200" t="s">
        <v>301</v>
      </c>
      <c r="C1200">
        <v>106</v>
      </c>
      <c r="D1200">
        <v>102</v>
      </c>
      <c r="E1200">
        <v>105</v>
      </c>
      <c r="F1200">
        <v>103</v>
      </c>
      <c r="G1200">
        <v>103</v>
      </c>
      <c r="H1200">
        <v>103</v>
      </c>
      <c r="I1200">
        <v>99</v>
      </c>
      <c r="J1200">
        <v>98</v>
      </c>
      <c r="K1200">
        <v>100</v>
      </c>
      <c r="L1200">
        <v>101</v>
      </c>
      <c r="M1200">
        <v>100</v>
      </c>
      <c r="N1200">
        <v>103</v>
      </c>
      <c r="O1200" s="173">
        <f t="shared" si="278"/>
        <v>101.91666666666667</v>
      </c>
      <c r="P1200" s="173">
        <f t="shared" si="279"/>
        <v>-2.6666666666666572</v>
      </c>
      <c r="Q1200" s="177">
        <f>SUM(P1200/O1199)</f>
        <v>-2.5498007968127401E-2</v>
      </c>
    </row>
    <row r="1201" spans="1:17" x14ac:dyDescent="0.2">
      <c r="B1201" t="s">
        <v>302</v>
      </c>
      <c r="C1201">
        <v>96</v>
      </c>
      <c r="D1201">
        <v>95</v>
      </c>
      <c r="E1201">
        <v>92</v>
      </c>
      <c r="F1201">
        <v>93</v>
      </c>
      <c r="G1201">
        <v>90</v>
      </c>
      <c r="H1201">
        <v>90</v>
      </c>
      <c r="I1201">
        <v>90</v>
      </c>
      <c r="J1201">
        <v>90</v>
      </c>
      <c r="K1201">
        <v>91</v>
      </c>
      <c r="L1201">
        <v>90</v>
      </c>
      <c r="M1201">
        <v>75</v>
      </c>
      <c r="N1201">
        <v>74</v>
      </c>
      <c r="O1201" s="173">
        <f>SUM(C1201:N1201)/12</f>
        <v>88.833333333333329</v>
      </c>
      <c r="P1201" s="173">
        <f>SUM(O1201-O1200)</f>
        <v>-13.083333333333343</v>
      </c>
      <c r="Q1201" s="177">
        <f>SUM(P1201/O1200)</f>
        <v>-0.12837285363859371</v>
      </c>
    </row>
    <row r="1202" spans="1:17" x14ac:dyDescent="0.2">
      <c r="B1202" t="s">
        <v>347</v>
      </c>
      <c r="C1202">
        <v>73</v>
      </c>
      <c r="D1202">
        <v>73</v>
      </c>
      <c r="E1202">
        <v>68</v>
      </c>
      <c r="F1202">
        <v>69</v>
      </c>
      <c r="G1202">
        <v>70</v>
      </c>
      <c r="H1202">
        <v>77</v>
      </c>
      <c r="I1202">
        <v>71</v>
      </c>
      <c r="J1202">
        <v>74</v>
      </c>
      <c r="K1202">
        <v>74</v>
      </c>
      <c r="L1202">
        <v>72</v>
      </c>
      <c r="N1202">
        <v>93</v>
      </c>
      <c r="O1202" s="173">
        <f>SUM(C1202:N1202)/11</f>
        <v>74</v>
      </c>
      <c r="P1202" s="173">
        <f>SUM(O1202-O1201)</f>
        <v>-14.833333333333329</v>
      </c>
      <c r="Q1202" s="177">
        <f>SUM(P1202/O1201)</f>
        <v>-0.16697936210131328</v>
      </c>
    </row>
    <row r="1203" spans="1:17" x14ac:dyDescent="0.2">
      <c r="B1203" t="s">
        <v>370</v>
      </c>
      <c r="C1203">
        <v>95</v>
      </c>
      <c r="D1203">
        <v>93</v>
      </c>
      <c r="E1203">
        <v>89</v>
      </c>
      <c r="F1203">
        <v>84</v>
      </c>
      <c r="G1203">
        <v>84</v>
      </c>
      <c r="H1203">
        <v>86</v>
      </c>
      <c r="I1203">
        <v>87</v>
      </c>
      <c r="J1203">
        <v>84</v>
      </c>
      <c r="K1203">
        <v>86</v>
      </c>
      <c r="L1203">
        <v>89</v>
      </c>
      <c r="M1203">
        <v>91</v>
      </c>
      <c r="N1203">
        <v>96</v>
      </c>
      <c r="O1203" s="173">
        <f>SUM(C1203:N1203)/12</f>
        <v>88.666666666666671</v>
      </c>
      <c r="P1203" s="173">
        <f>SUM(O1203-O1202)</f>
        <v>14.666666666666671</v>
      </c>
      <c r="Q1203" s="177">
        <f>SUM(P1203/O1202)</f>
        <v>0.19819819819819826</v>
      </c>
    </row>
    <row r="1204" spans="1:17" x14ac:dyDescent="0.2">
      <c r="B1204" t="s">
        <v>452</v>
      </c>
      <c r="C1204">
        <v>100</v>
      </c>
      <c r="D1204">
        <v>99</v>
      </c>
      <c r="E1204">
        <v>98</v>
      </c>
      <c r="F1204">
        <v>99</v>
      </c>
      <c r="G1204">
        <v>98</v>
      </c>
      <c r="H1204">
        <v>99</v>
      </c>
      <c r="I1204">
        <v>101</v>
      </c>
      <c r="J1204">
        <v>102</v>
      </c>
      <c r="K1204">
        <v>101</v>
      </c>
      <c r="L1204">
        <v>102</v>
      </c>
      <c r="M1204">
        <v>103</v>
      </c>
      <c r="N1204">
        <v>107</v>
      </c>
      <c r="O1204" s="173">
        <f>SUM(C1204:N1204)/12</f>
        <v>100.75</v>
      </c>
      <c r="P1204" s="173">
        <f>SUM(O1204-O1203)</f>
        <v>12.083333333333329</v>
      </c>
      <c r="Q1204" s="177">
        <f>SUM(P1204/O1203)</f>
        <v>0.13627819548872175</v>
      </c>
    </row>
    <row r="1205" spans="1:17" x14ac:dyDescent="0.2">
      <c r="B1205" t="s">
        <v>487</v>
      </c>
      <c r="O1205" s="173"/>
      <c r="P1205" s="173"/>
      <c r="Q1205" s="177"/>
    </row>
    <row r="1206" spans="1:17" x14ac:dyDescent="0.2">
      <c r="A1206" s="178"/>
      <c r="B1206" s="178"/>
      <c r="C1206" s="178"/>
      <c r="D1206" s="178"/>
      <c r="E1206" s="178"/>
      <c r="F1206" s="178"/>
      <c r="G1206" s="178"/>
      <c r="H1206" s="178"/>
      <c r="I1206" s="178"/>
      <c r="J1206" s="178"/>
      <c r="K1206" s="178"/>
      <c r="L1206" s="178"/>
      <c r="M1206" s="178"/>
      <c r="N1206" s="178"/>
      <c r="O1206" s="178"/>
      <c r="P1206" s="178"/>
      <c r="Q1206" s="178"/>
    </row>
    <row r="1207" spans="1:17" ht="25.5" x14ac:dyDescent="0.2">
      <c r="A1207" s="175" t="s">
        <v>462</v>
      </c>
      <c r="B1207" s="176" t="s">
        <v>433</v>
      </c>
      <c r="C1207" s="179" t="s">
        <v>434</v>
      </c>
      <c r="D1207" s="179" t="s">
        <v>435</v>
      </c>
      <c r="E1207" s="179" t="s">
        <v>436</v>
      </c>
      <c r="F1207" s="179" t="s">
        <v>437</v>
      </c>
      <c r="G1207" s="179" t="s">
        <v>438</v>
      </c>
      <c r="H1207" s="179" t="s">
        <v>439</v>
      </c>
      <c r="I1207" s="179" t="s">
        <v>440</v>
      </c>
      <c r="J1207" s="179" t="s">
        <v>441</v>
      </c>
      <c r="K1207" s="179" t="s">
        <v>442</v>
      </c>
      <c r="L1207" s="179" t="s">
        <v>443</v>
      </c>
      <c r="M1207" s="179" t="s">
        <v>444</v>
      </c>
      <c r="N1207" s="179" t="s">
        <v>445</v>
      </c>
    </row>
    <row r="1208" spans="1:17" x14ac:dyDescent="0.2">
      <c r="B1208" t="s">
        <v>449</v>
      </c>
      <c r="C1208">
        <v>69</v>
      </c>
      <c r="D1208">
        <v>69</v>
      </c>
      <c r="E1208">
        <v>69</v>
      </c>
      <c r="F1208">
        <v>69</v>
      </c>
      <c r="G1208">
        <v>56</v>
      </c>
      <c r="H1208">
        <v>58</v>
      </c>
      <c r="I1208">
        <v>57</v>
      </c>
      <c r="J1208">
        <v>58</v>
      </c>
      <c r="K1208">
        <v>56</v>
      </c>
      <c r="L1208">
        <v>62</v>
      </c>
      <c r="M1208">
        <v>57</v>
      </c>
      <c r="N1208">
        <v>58</v>
      </c>
      <c r="O1208" s="173">
        <f t="shared" ref="O1208:O1216" si="281">SUM(C1208:N1208)/12</f>
        <v>61.5</v>
      </c>
      <c r="P1208" s="173"/>
    </row>
    <row r="1209" spans="1:17" x14ac:dyDescent="0.2">
      <c r="B1209" t="s">
        <v>450</v>
      </c>
      <c r="C1209">
        <v>52</v>
      </c>
      <c r="D1209">
        <v>56</v>
      </c>
      <c r="E1209">
        <v>51</v>
      </c>
      <c r="F1209">
        <v>57</v>
      </c>
      <c r="G1209">
        <v>60</v>
      </c>
      <c r="H1209">
        <v>58</v>
      </c>
      <c r="I1209">
        <v>62</v>
      </c>
      <c r="J1209">
        <v>63</v>
      </c>
      <c r="K1209">
        <v>59</v>
      </c>
      <c r="L1209">
        <v>59</v>
      </c>
      <c r="M1209">
        <v>62</v>
      </c>
      <c r="N1209">
        <v>60</v>
      </c>
      <c r="O1209" s="173">
        <f t="shared" si="281"/>
        <v>58.25</v>
      </c>
      <c r="P1209" s="173">
        <f t="shared" ref="P1209:P1216" si="282">SUM(O1209-O1208)</f>
        <v>-3.25</v>
      </c>
      <c r="Q1209" s="177">
        <f t="shared" ref="Q1209:Q1215" si="283">SUM(P1209/O1208)</f>
        <v>-5.2845528455284556E-2</v>
      </c>
    </row>
    <row r="1210" spans="1:17" x14ac:dyDescent="0.2">
      <c r="B1210" t="s">
        <v>451</v>
      </c>
      <c r="C1210">
        <v>60</v>
      </c>
      <c r="D1210">
        <v>55</v>
      </c>
      <c r="E1210">
        <v>57</v>
      </c>
      <c r="F1210">
        <v>55</v>
      </c>
      <c r="G1210">
        <v>55</v>
      </c>
      <c r="H1210">
        <v>52</v>
      </c>
      <c r="I1210">
        <v>60</v>
      </c>
      <c r="J1210">
        <v>72</v>
      </c>
      <c r="K1210">
        <v>77</v>
      </c>
      <c r="L1210">
        <v>82</v>
      </c>
      <c r="M1210">
        <v>87</v>
      </c>
      <c r="N1210">
        <v>92</v>
      </c>
      <c r="O1210" s="173">
        <f t="shared" si="281"/>
        <v>67</v>
      </c>
      <c r="P1210" s="173">
        <f t="shared" si="282"/>
        <v>8.75</v>
      </c>
      <c r="Q1210" s="177">
        <f t="shared" si="283"/>
        <v>0.15021459227467812</v>
      </c>
    </row>
    <row r="1211" spans="1:17" x14ac:dyDescent="0.2">
      <c r="B1211" t="s">
        <v>267</v>
      </c>
      <c r="C1211">
        <v>87</v>
      </c>
      <c r="D1211">
        <v>86</v>
      </c>
      <c r="E1211">
        <v>88</v>
      </c>
      <c r="F1211">
        <v>86</v>
      </c>
      <c r="G1211">
        <v>86</v>
      </c>
      <c r="H1211">
        <v>86</v>
      </c>
      <c r="I1211">
        <v>86</v>
      </c>
      <c r="J1211">
        <v>86</v>
      </c>
      <c r="K1211">
        <v>86</v>
      </c>
      <c r="L1211">
        <v>86</v>
      </c>
      <c r="M1211">
        <v>86</v>
      </c>
      <c r="N1211">
        <v>86</v>
      </c>
      <c r="O1211" s="173">
        <f t="shared" si="281"/>
        <v>86.25</v>
      </c>
      <c r="P1211" s="173">
        <f t="shared" si="282"/>
        <v>19.25</v>
      </c>
      <c r="Q1211" s="177">
        <f t="shared" si="283"/>
        <v>0.28731343283582089</v>
      </c>
    </row>
    <row r="1212" spans="1:17" x14ac:dyDescent="0.2">
      <c r="B1212" t="s">
        <v>266</v>
      </c>
      <c r="C1212">
        <v>93</v>
      </c>
      <c r="D1212">
        <v>80</v>
      </c>
      <c r="E1212">
        <v>78</v>
      </c>
      <c r="F1212">
        <v>78</v>
      </c>
      <c r="G1212">
        <v>84</v>
      </c>
      <c r="H1212">
        <v>90</v>
      </c>
      <c r="I1212">
        <v>88</v>
      </c>
      <c r="J1212">
        <v>92</v>
      </c>
      <c r="K1212">
        <v>94</v>
      </c>
      <c r="L1212">
        <v>84</v>
      </c>
      <c r="M1212">
        <v>84</v>
      </c>
      <c r="N1212">
        <v>85</v>
      </c>
      <c r="O1212" s="173">
        <f t="shared" si="281"/>
        <v>85.833333333333329</v>
      </c>
      <c r="P1212" s="173">
        <f t="shared" si="282"/>
        <v>-0.4166666666666714</v>
      </c>
      <c r="Q1212" s="177">
        <f t="shared" si="283"/>
        <v>-4.8309178743961905E-3</v>
      </c>
    </row>
    <row r="1213" spans="1:17" x14ac:dyDescent="0.2">
      <c r="B1213" t="s">
        <v>287</v>
      </c>
      <c r="C1213">
        <v>80</v>
      </c>
      <c r="D1213">
        <v>84</v>
      </c>
      <c r="E1213">
        <v>85</v>
      </c>
      <c r="F1213">
        <v>88</v>
      </c>
      <c r="G1213">
        <v>90</v>
      </c>
      <c r="H1213">
        <v>95</v>
      </c>
      <c r="I1213">
        <v>101</v>
      </c>
      <c r="J1213">
        <v>94</v>
      </c>
      <c r="K1213">
        <v>90</v>
      </c>
      <c r="L1213">
        <v>93</v>
      </c>
      <c r="M1213">
        <v>101</v>
      </c>
      <c r="N1213">
        <v>107</v>
      </c>
      <c r="O1213" s="173">
        <f t="shared" si="281"/>
        <v>92.333333333333329</v>
      </c>
      <c r="P1213" s="173">
        <f t="shared" si="282"/>
        <v>6.5</v>
      </c>
      <c r="Q1213" s="177">
        <f t="shared" si="283"/>
        <v>7.5728155339805828E-2</v>
      </c>
    </row>
    <row r="1214" spans="1:17" x14ac:dyDescent="0.2">
      <c r="B1214" t="s">
        <v>297</v>
      </c>
      <c r="C1214">
        <v>112</v>
      </c>
      <c r="D1214">
        <v>110</v>
      </c>
      <c r="E1214">
        <v>108</v>
      </c>
      <c r="F1214">
        <v>113</v>
      </c>
      <c r="G1214">
        <v>112</v>
      </c>
      <c r="H1214">
        <v>108</v>
      </c>
      <c r="I1214">
        <v>107</v>
      </c>
      <c r="J1214">
        <v>123</v>
      </c>
      <c r="K1214">
        <v>114</v>
      </c>
      <c r="L1214">
        <v>116</v>
      </c>
      <c r="M1214">
        <v>117</v>
      </c>
      <c r="N1214">
        <v>121</v>
      </c>
      <c r="O1214" s="173">
        <f t="shared" si="281"/>
        <v>113.41666666666667</v>
      </c>
      <c r="P1214" s="173">
        <f t="shared" si="282"/>
        <v>21.083333333333343</v>
      </c>
      <c r="Q1214" s="177">
        <f t="shared" si="283"/>
        <v>0.22833935018050552</v>
      </c>
    </row>
    <row r="1215" spans="1:17" x14ac:dyDescent="0.2">
      <c r="B1215" t="s">
        <v>300</v>
      </c>
      <c r="C1215">
        <v>121</v>
      </c>
      <c r="D1215">
        <v>122</v>
      </c>
      <c r="E1215">
        <v>122</v>
      </c>
      <c r="F1215">
        <v>126</v>
      </c>
      <c r="G1215">
        <v>124</v>
      </c>
      <c r="H1215">
        <v>122</v>
      </c>
      <c r="I1215">
        <v>124</v>
      </c>
      <c r="J1215">
        <v>122</v>
      </c>
      <c r="K1215">
        <v>121</v>
      </c>
      <c r="L1215">
        <v>115</v>
      </c>
      <c r="M1215">
        <v>114</v>
      </c>
      <c r="N1215">
        <v>121</v>
      </c>
      <c r="O1215" s="173">
        <f t="shared" si="281"/>
        <v>121.16666666666667</v>
      </c>
      <c r="P1215" s="173">
        <f t="shared" si="282"/>
        <v>7.75</v>
      </c>
      <c r="Q1215" s="177">
        <f t="shared" si="283"/>
        <v>6.8332108743570902E-2</v>
      </c>
    </row>
    <row r="1216" spans="1:17" x14ac:dyDescent="0.2">
      <c r="B1216" t="s">
        <v>301</v>
      </c>
      <c r="C1216">
        <v>99</v>
      </c>
      <c r="D1216">
        <v>100</v>
      </c>
      <c r="E1216">
        <v>107</v>
      </c>
      <c r="F1216">
        <v>104</v>
      </c>
      <c r="G1216">
        <v>103</v>
      </c>
      <c r="H1216">
        <v>100</v>
      </c>
      <c r="I1216">
        <v>101</v>
      </c>
      <c r="J1216">
        <v>98</v>
      </c>
      <c r="K1216">
        <v>92</v>
      </c>
      <c r="L1216">
        <v>85</v>
      </c>
      <c r="M1216">
        <v>92</v>
      </c>
      <c r="N1216">
        <v>88</v>
      </c>
      <c r="O1216" s="173">
        <f t="shared" si="281"/>
        <v>97.416666666666671</v>
      </c>
      <c r="P1216" s="173">
        <f t="shared" si="282"/>
        <v>-23.75</v>
      </c>
      <c r="Q1216" s="177">
        <f>SUM(P1216/O1215)</f>
        <v>-0.19601100412654746</v>
      </c>
    </row>
    <row r="1217" spans="1:17" x14ac:dyDescent="0.2">
      <c r="B1217" t="s">
        <v>302</v>
      </c>
      <c r="C1217">
        <v>79</v>
      </c>
      <c r="D1217">
        <v>82</v>
      </c>
      <c r="E1217">
        <v>82</v>
      </c>
      <c r="F1217">
        <v>78</v>
      </c>
      <c r="G1217">
        <v>79</v>
      </c>
      <c r="H1217">
        <v>83</v>
      </c>
      <c r="I1217">
        <v>84</v>
      </c>
      <c r="J1217">
        <v>90</v>
      </c>
      <c r="K1217">
        <v>95</v>
      </c>
      <c r="L1217">
        <v>94</v>
      </c>
      <c r="M1217">
        <v>94</v>
      </c>
      <c r="N1217">
        <v>72</v>
      </c>
      <c r="O1217" s="173">
        <f>SUM(C1217:N1217)/12</f>
        <v>84.333333333333329</v>
      </c>
      <c r="P1217" s="173">
        <f>SUM(O1217-O1216)</f>
        <v>-13.083333333333343</v>
      </c>
      <c r="Q1217" s="177">
        <f>SUM(P1217/O1216)</f>
        <v>-0.13430282292557752</v>
      </c>
    </row>
    <row r="1218" spans="1:17" x14ac:dyDescent="0.2">
      <c r="B1218" t="s">
        <v>347</v>
      </c>
      <c r="C1218">
        <v>84</v>
      </c>
      <c r="D1218">
        <v>87</v>
      </c>
      <c r="E1218">
        <v>92</v>
      </c>
      <c r="F1218">
        <v>97</v>
      </c>
      <c r="G1218">
        <v>101</v>
      </c>
      <c r="H1218">
        <v>100</v>
      </c>
      <c r="I1218">
        <v>85</v>
      </c>
      <c r="J1218">
        <v>86</v>
      </c>
      <c r="K1218">
        <v>90</v>
      </c>
      <c r="L1218">
        <v>89</v>
      </c>
      <c r="M1218">
        <v>83</v>
      </c>
      <c r="N1218">
        <v>82</v>
      </c>
      <c r="O1218" s="173">
        <f>SUM(C1218:N1218)/12</f>
        <v>89.666666666666671</v>
      </c>
      <c r="P1218" s="173">
        <f>SUM(O1218-O1217)</f>
        <v>5.3333333333333428</v>
      </c>
      <c r="Q1218" s="177">
        <f>SUM(P1218/O1217)</f>
        <v>6.324110671936771E-2</v>
      </c>
    </row>
    <row r="1219" spans="1:17" x14ac:dyDescent="0.2">
      <c r="B1219" t="s">
        <v>370</v>
      </c>
      <c r="C1219">
        <v>87</v>
      </c>
      <c r="D1219">
        <v>86</v>
      </c>
      <c r="E1219">
        <v>87</v>
      </c>
      <c r="F1219">
        <v>77</v>
      </c>
      <c r="G1219">
        <v>76</v>
      </c>
      <c r="H1219">
        <v>73</v>
      </c>
      <c r="I1219">
        <v>69</v>
      </c>
      <c r="J1219">
        <v>75</v>
      </c>
      <c r="K1219">
        <v>74</v>
      </c>
      <c r="L1219">
        <v>74</v>
      </c>
      <c r="M1219">
        <v>72</v>
      </c>
      <c r="N1219">
        <v>73</v>
      </c>
      <c r="O1219" s="173">
        <f>SUM(C1219:N1219)/12</f>
        <v>76.916666666666671</v>
      </c>
      <c r="P1219" s="173">
        <f>SUM(O1219-O1218)</f>
        <v>-12.75</v>
      </c>
      <c r="Q1219" s="177">
        <f>SUM(P1219/O1218)</f>
        <v>-0.14219330855018586</v>
      </c>
    </row>
    <row r="1220" spans="1:17" x14ac:dyDescent="0.2">
      <c r="B1220" t="s">
        <v>452</v>
      </c>
      <c r="C1220">
        <v>74</v>
      </c>
      <c r="D1220">
        <v>71</v>
      </c>
      <c r="E1220">
        <v>77</v>
      </c>
      <c r="F1220">
        <v>76</v>
      </c>
      <c r="G1220">
        <v>78</v>
      </c>
      <c r="H1220">
        <v>71</v>
      </c>
      <c r="I1220">
        <v>69</v>
      </c>
      <c r="J1220">
        <v>64</v>
      </c>
      <c r="K1220">
        <v>62</v>
      </c>
      <c r="L1220">
        <v>55</v>
      </c>
      <c r="M1220">
        <v>55</v>
      </c>
      <c r="N1220">
        <v>54</v>
      </c>
      <c r="O1220" s="173">
        <f>SUM(C1220:N1220)/12</f>
        <v>67.166666666666671</v>
      </c>
      <c r="P1220" s="173">
        <f>SUM(O1220-O1219)</f>
        <v>-9.75</v>
      </c>
      <c r="Q1220" s="177">
        <f>SUM(P1220/O1219)</f>
        <v>-0.12676056338028169</v>
      </c>
    </row>
    <row r="1221" spans="1:17" x14ac:dyDescent="0.2">
      <c r="B1221" t="s">
        <v>487</v>
      </c>
      <c r="O1221" s="173"/>
      <c r="P1221" s="173"/>
      <c r="Q1221" s="177"/>
    </row>
    <row r="1222" spans="1:17" ht="25.5" x14ac:dyDescent="0.2">
      <c r="A1222" s="175" t="s">
        <v>463</v>
      </c>
      <c r="B1222" s="176" t="s">
        <v>433</v>
      </c>
      <c r="C1222" s="179" t="s">
        <v>434</v>
      </c>
      <c r="D1222" s="179" t="s">
        <v>435</v>
      </c>
      <c r="E1222" s="179" t="s">
        <v>436</v>
      </c>
      <c r="F1222" s="179" t="s">
        <v>437</v>
      </c>
      <c r="G1222" s="179" t="s">
        <v>438</v>
      </c>
      <c r="H1222" s="179" t="s">
        <v>439</v>
      </c>
      <c r="I1222" s="179" t="s">
        <v>440</v>
      </c>
      <c r="J1222" s="179" t="s">
        <v>441</v>
      </c>
      <c r="K1222" s="179" t="s">
        <v>442</v>
      </c>
      <c r="L1222" s="179" t="s">
        <v>443</v>
      </c>
      <c r="M1222" s="179" t="s">
        <v>444</v>
      </c>
      <c r="N1222" s="179" t="s">
        <v>445</v>
      </c>
    </row>
    <row r="1223" spans="1:17" x14ac:dyDescent="0.2">
      <c r="B1223" t="s">
        <v>449</v>
      </c>
      <c r="C1223">
        <v>92</v>
      </c>
      <c r="D1223">
        <v>91</v>
      </c>
      <c r="E1223">
        <v>97</v>
      </c>
      <c r="F1223">
        <v>94</v>
      </c>
      <c r="G1223">
        <v>87</v>
      </c>
      <c r="H1223">
        <v>85</v>
      </c>
      <c r="I1223">
        <v>91</v>
      </c>
      <c r="J1223">
        <v>89</v>
      </c>
      <c r="K1223">
        <v>92</v>
      </c>
      <c r="L1223">
        <v>92</v>
      </c>
      <c r="M1223">
        <v>94</v>
      </c>
      <c r="N1223">
        <v>92</v>
      </c>
      <c r="O1223" s="173">
        <f t="shared" ref="O1223:O1231" si="284">SUM(C1223:N1223)/12</f>
        <v>91.333333333333329</v>
      </c>
      <c r="P1223" s="173"/>
    </row>
    <row r="1224" spans="1:17" x14ac:dyDescent="0.2">
      <c r="B1224" t="s">
        <v>450</v>
      </c>
      <c r="C1224">
        <v>90</v>
      </c>
      <c r="D1224">
        <v>98</v>
      </c>
      <c r="E1224">
        <v>89</v>
      </c>
      <c r="F1224">
        <v>84</v>
      </c>
      <c r="G1224">
        <v>84</v>
      </c>
      <c r="H1224">
        <v>78</v>
      </c>
      <c r="I1224">
        <v>83</v>
      </c>
      <c r="J1224">
        <v>87</v>
      </c>
      <c r="K1224">
        <v>81</v>
      </c>
      <c r="L1224">
        <v>81</v>
      </c>
      <c r="M1224">
        <v>77</v>
      </c>
      <c r="N1224">
        <v>79</v>
      </c>
      <c r="O1224" s="173">
        <f t="shared" si="284"/>
        <v>84.25</v>
      </c>
      <c r="P1224" s="173">
        <f t="shared" ref="P1224:P1231" si="285">SUM(O1224-O1223)</f>
        <v>-7.0833333333333286</v>
      </c>
      <c r="Q1224" s="177">
        <f t="shared" ref="Q1224:Q1230" si="286">SUM(P1224/O1223)</f>
        <v>-7.7554744525547392E-2</v>
      </c>
    </row>
    <row r="1225" spans="1:17" x14ac:dyDescent="0.2">
      <c r="B1225" t="s">
        <v>451</v>
      </c>
      <c r="C1225">
        <v>81</v>
      </c>
      <c r="D1225">
        <v>78</v>
      </c>
      <c r="E1225">
        <v>73</v>
      </c>
      <c r="F1225">
        <v>77</v>
      </c>
      <c r="G1225">
        <v>86</v>
      </c>
      <c r="H1225">
        <v>96</v>
      </c>
      <c r="I1225">
        <v>84</v>
      </c>
      <c r="J1225">
        <v>72</v>
      </c>
      <c r="K1225">
        <v>74</v>
      </c>
      <c r="L1225">
        <v>76</v>
      </c>
      <c r="M1225">
        <v>78</v>
      </c>
      <c r="N1225">
        <v>88</v>
      </c>
      <c r="O1225" s="173">
        <f t="shared" si="284"/>
        <v>80.25</v>
      </c>
      <c r="P1225" s="173">
        <f t="shared" si="285"/>
        <v>-4</v>
      </c>
      <c r="Q1225" s="177">
        <f t="shared" si="286"/>
        <v>-4.7477744807121663E-2</v>
      </c>
    </row>
    <row r="1226" spans="1:17" x14ac:dyDescent="0.2">
      <c r="B1226" t="s">
        <v>267</v>
      </c>
      <c r="C1226">
        <v>98</v>
      </c>
      <c r="D1226">
        <v>98</v>
      </c>
      <c r="E1226">
        <v>100</v>
      </c>
      <c r="F1226">
        <v>93</v>
      </c>
      <c r="G1226">
        <v>93</v>
      </c>
      <c r="H1226">
        <v>93</v>
      </c>
      <c r="I1226">
        <v>93</v>
      </c>
      <c r="J1226">
        <v>93</v>
      </c>
      <c r="K1226">
        <v>93</v>
      </c>
      <c r="L1226">
        <v>93</v>
      </c>
      <c r="M1226">
        <v>93</v>
      </c>
      <c r="N1226">
        <v>93</v>
      </c>
      <c r="O1226" s="173">
        <f t="shared" si="284"/>
        <v>94.416666666666671</v>
      </c>
      <c r="P1226" s="173">
        <f t="shared" si="285"/>
        <v>14.166666666666671</v>
      </c>
      <c r="Q1226" s="177">
        <f t="shared" si="286"/>
        <v>0.17653167185877472</v>
      </c>
    </row>
    <row r="1227" spans="1:17" x14ac:dyDescent="0.2">
      <c r="B1227" t="s">
        <v>266</v>
      </c>
      <c r="C1227">
        <v>106</v>
      </c>
      <c r="D1227">
        <v>90</v>
      </c>
      <c r="E1227">
        <v>91</v>
      </c>
      <c r="F1227">
        <v>91</v>
      </c>
      <c r="G1227">
        <v>87</v>
      </c>
      <c r="H1227">
        <v>80</v>
      </c>
      <c r="I1227">
        <v>76</v>
      </c>
      <c r="J1227">
        <v>78</v>
      </c>
      <c r="K1227">
        <v>83</v>
      </c>
      <c r="L1227">
        <v>92</v>
      </c>
      <c r="M1227">
        <v>99</v>
      </c>
      <c r="N1227">
        <v>101</v>
      </c>
      <c r="O1227" s="173">
        <f t="shared" si="284"/>
        <v>89.5</v>
      </c>
      <c r="P1227" s="173">
        <f t="shared" si="285"/>
        <v>-4.9166666666666714</v>
      </c>
      <c r="Q1227" s="177">
        <f t="shared" si="286"/>
        <v>-5.2074139452780277E-2</v>
      </c>
    </row>
    <row r="1228" spans="1:17" x14ac:dyDescent="0.2">
      <c r="B1228" t="s">
        <v>287</v>
      </c>
      <c r="C1228">
        <v>93</v>
      </c>
      <c r="D1228">
        <v>90</v>
      </c>
      <c r="E1228">
        <v>91</v>
      </c>
      <c r="F1228">
        <v>94</v>
      </c>
      <c r="G1228">
        <v>91</v>
      </c>
      <c r="H1228">
        <v>91</v>
      </c>
      <c r="I1228">
        <v>93</v>
      </c>
      <c r="J1228">
        <v>90</v>
      </c>
      <c r="K1228">
        <v>83</v>
      </c>
      <c r="L1228">
        <v>84</v>
      </c>
      <c r="M1228">
        <v>79</v>
      </c>
      <c r="N1228">
        <v>77</v>
      </c>
      <c r="O1228" s="173">
        <f t="shared" si="284"/>
        <v>88</v>
      </c>
      <c r="P1228" s="173">
        <f t="shared" si="285"/>
        <v>-1.5</v>
      </c>
      <c r="Q1228" s="177">
        <f t="shared" si="286"/>
        <v>-1.6759776536312849E-2</v>
      </c>
    </row>
    <row r="1229" spans="1:17" x14ac:dyDescent="0.2">
      <c r="B1229" t="s">
        <v>297</v>
      </c>
      <c r="C1229">
        <v>79</v>
      </c>
      <c r="D1229">
        <v>78</v>
      </c>
      <c r="E1229">
        <v>74</v>
      </c>
      <c r="F1229">
        <v>69</v>
      </c>
      <c r="G1229">
        <v>66</v>
      </c>
      <c r="H1229">
        <v>62</v>
      </c>
      <c r="I1229">
        <v>59</v>
      </c>
      <c r="J1229">
        <v>64</v>
      </c>
      <c r="K1229">
        <v>59</v>
      </c>
      <c r="L1229">
        <v>55</v>
      </c>
      <c r="M1229">
        <v>61</v>
      </c>
      <c r="N1229">
        <v>64</v>
      </c>
      <c r="O1229" s="173">
        <f t="shared" si="284"/>
        <v>65.833333333333329</v>
      </c>
      <c r="P1229" s="173">
        <f t="shared" si="285"/>
        <v>-22.166666666666671</v>
      </c>
      <c r="Q1229" s="177">
        <f t="shared" si="286"/>
        <v>-0.25189393939393945</v>
      </c>
    </row>
    <row r="1230" spans="1:17" x14ac:dyDescent="0.2">
      <c r="B1230" t="s">
        <v>300</v>
      </c>
      <c r="C1230">
        <v>68</v>
      </c>
      <c r="D1230">
        <v>67</v>
      </c>
      <c r="E1230">
        <v>71</v>
      </c>
      <c r="F1230">
        <v>72</v>
      </c>
      <c r="G1230">
        <v>81</v>
      </c>
      <c r="H1230">
        <v>85</v>
      </c>
      <c r="I1230">
        <v>85</v>
      </c>
      <c r="J1230">
        <v>85</v>
      </c>
      <c r="K1230">
        <v>73</v>
      </c>
      <c r="L1230">
        <v>82</v>
      </c>
      <c r="M1230">
        <v>78</v>
      </c>
      <c r="N1230">
        <v>80</v>
      </c>
      <c r="O1230" s="173">
        <f t="shared" si="284"/>
        <v>77.25</v>
      </c>
      <c r="P1230" s="173">
        <f t="shared" si="285"/>
        <v>11.416666666666671</v>
      </c>
      <c r="Q1230" s="177">
        <f t="shared" si="286"/>
        <v>0.17341772151898743</v>
      </c>
    </row>
    <row r="1231" spans="1:17" x14ac:dyDescent="0.2">
      <c r="B1231" t="s">
        <v>301</v>
      </c>
      <c r="C1231">
        <v>77</v>
      </c>
      <c r="D1231">
        <v>75</v>
      </c>
      <c r="E1231">
        <v>74</v>
      </c>
      <c r="F1231">
        <v>75</v>
      </c>
      <c r="G1231">
        <v>75</v>
      </c>
      <c r="H1231">
        <v>77</v>
      </c>
      <c r="I1231">
        <v>81</v>
      </c>
      <c r="J1231">
        <v>79</v>
      </c>
      <c r="K1231">
        <v>79</v>
      </c>
      <c r="L1231">
        <v>79</v>
      </c>
      <c r="M1231">
        <v>80</v>
      </c>
      <c r="N1231">
        <v>76</v>
      </c>
      <c r="O1231" s="173">
        <f t="shared" si="284"/>
        <v>77.25</v>
      </c>
      <c r="P1231" s="173">
        <f t="shared" si="285"/>
        <v>0</v>
      </c>
      <c r="Q1231" s="177">
        <f>SUM(P1231/O1230)</f>
        <v>0</v>
      </c>
    </row>
    <row r="1232" spans="1:17" x14ac:dyDescent="0.2">
      <c r="B1232" t="s">
        <v>302</v>
      </c>
      <c r="C1232">
        <v>68</v>
      </c>
      <c r="D1232">
        <v>66</v>
      </c>
      <c r="E1232">
        <v>65</v>
      </c>
      <c r="F1232">
        <v>61</v>
      </c>
      <c r="G1232">
        <v>59</v>
      </c>
      <c r="H1232">
        <v>57</v>
      </c>
      <c r="I1232">
        <v>55</v>
      </c>
      <c r="J1232">
        <v>56</v>
      </c>
      <c r="K1232">
        <v>58</v>
      </c>
      <c r="L1232">
        <v>60</v>
      </c>
      <c r="M1232">
        <v>61</v>
      </c>
      <c r="N1232">
        <v>62</v>
      </c>
      <c r="O1232" s="173">
        <f>SUM(C1232:N1232)/12</f>
        <v>60.666666666666664</v>
      </c>
      <c r="P1232" s="173">
        <f>SUM(O1232-O1231)</f>
        <v>-16.583333333333336</v>
      </c>
      <c r="Q1232" s="177">
        <f>SUM(P1232/O1231)</f>
        <v>-0.21467098166127296</v>
      </c>
    </row>
    <row r="1233" spans="1:17" x14ac:dyDescent="0.2">
      <c r="B1233" t="s">
        <v>347</v>
      </c>
      <c r="C1233">
        <v>58</v>
      </c>
      <c r="D1233">
        <v>59</v>
      </c>
      <c r="E1233">
        <v>55</v>
      </c>
      <c r="F1233">
        <v>68</v>
      </c>
      <c r="G1233">
        <v>62</v>
      </c>
      <c r="H1233">
        <v>58</v>
      </c>
      <c r="I1233">
        <v>55</v>
      </c>
      <c r="J1233">
        <v>58</v>
      </c>
      <c r="K1233">
        <v>59</v>
      </c>
      <c r="L1233">
        <v>57</v>
      </c>
      <c r="M1233">
        <v>52</v>
      </c>
      <c r="N1233">
        <v>54</v>
      </c>
      <c r="O1233" s="173">
        <f>SUM(C1233:N1233)/12</f>
        <v>57.916666666666664</v>
      </c>
      <c r="P1233" s="173">
        <f>SUM(O1233-O1232)</f>
        <v>-2.75</v>
      </c>
      <c r="Q1233" s="177">
        <f>SUM(P1233/O1232)</f>
        <v>-4.5329670329670328E-2</v>
      </c>
    </row>
    <row r="1234" spans="1:17" x14ac:dyDescent="0.2">
      <c r="B1234" t="s">
        <v>370</v>
      </c>
      <c r="C1234">
        <v>55</v>
      </c>
      <c r="D1234">
        <v>55</v>
      </c>
      <c r="E1234">
        <v>49</v>
      </c>
      <c r="F1234">
        <v>51</v>
      </c>
      <c r="G1234">
        <v>53</v>
      </c>
      <c r="H1234">
        <v>57</v>
      </c>
      <c r="I1234">
        <v>63</v>
      </c>
      <c r="J1234">
        <v>65</v>
      </c>
      <c r="K1234">
        <v>65</v>
      </c>
      <c r="L1234">
        <v>61</v>
      </c>
      <c r="M1234">
        <v>66</v>
      </c>
      <c r="N1234">
        <v>63</v>
      </c>
      <c r="O1234" s="173">
        <f>SUM(C1234:N1234)/12</f>
        <v>58.583333333333336</v>
      </c>
      <c r="P1234" s="173">
        <f>SUM(O1234-O1233)</f>
        <v>0.6666666666666714</v>
      </c>
      <c r="Q1234" s="177">
        <f>SUM(P1234/O1233)</f>
        <v>1.1510791366906557E-2</v>
      </c>
    </row>
    <row r="1235" spans="1:17" x14ac:dyDescent="0.2">
      <c r="B1235" t="s">
        <v>452</v>
      </c>
      <c r="C1235">
        <v>63</v>
      </c>
      <c r="D1235">
        <v>66</v>
      </c>
      <c r="E1235">
        <v>66</v>
      </c>
      <c r="F1235">
        <v>59</v>
      </c>
      <c r="G1235">
        <v>69</v>
      </c>
      <c r="H1235">
        <v>72</v>
      </c>
      <c r="I1235">
        <v>76</v>
      </c>
      <c r="J1235">
        <v>75</v>
      </c>
      <c r="K1235">
        <v>81</v>
      </c>
      <c r="L1235">
        <v>82</v>
      </c>
      <c r="M1235">
        <v>70</v>
      </c>
      <c r="N1235">
        <v>80</v>
      </c>
      <c r="O1235" s="173">
        <f>SUM(C1235:N1235)/12</f>
        <v>71.583333333333329</v>
      </c>
      <c r="P1235" s="173">
        <f>SUM(O1235-O1234)</f>
        <v>12.999999999999993</v>
      </c>
      <c r="Q1235" s="177">
        <f>SUM(P1235/O1234)</f>
        <v>0.22190611664295862</v>
      </c>
    </row>
    <row r="1236" spans="1:17" x14ac:dyDescent="0.2">
      <c r="B1236" t="s">
        <v>487</v>
      </c>
      <c r="O1236" s="173"/>
      <c r="P1236" s="173"/>
      <c r="Q1236" s="177"/>
    </row>
    <row r="1237" spans="1:17" ht="25.5" x14ac:dyDescent="0.2">
      <c r="A1237" s="175" t="s">
        <v>464</v>
      </c>
      <c r="B1237" s="176" t="s">
        <v>433</v>
      </c>
      <c r="C1237" s="179" t="s">
        <v>434</v>
      </c>
      <c r="D1237" s="179" t="s">
        <v>435</v>
      </c>
      <c r="E1237" s="179" t="s">
        <v>436</v>
      </c>
      <c r="F1237" s="179" t="s">
        <v>437</v>
      </c>
      <c r="G1237" s="179" t="s">
        <v>438</v>
      </c>
      <c r="H1237" s="179" t="s">
        <v>439</v>
      </c>
      <c r="I1237" s="179" t="s">
        <v>440</v>
      </c>
      <c r="J1237" s="179" t="s">
        <v>441</v>
      </c>
      <c r="K1237" s="179" t="s">
        <v>442</v>
      </c>
      <c r="L1237" s="179" t="s">
        <v>443</v>
      </c>
      <c r="M1237" s="179" t="s">
        <v>444</v>
      </c>
      <c r="N1237" s="179" t="s">
        <v>445</v>
      </c>
    </row>
    <row r="1238" spans="1:17" x14ac:dyDescent="0.2">
      <c r="B1238" t="s">
        <v>449</v>
      </c>
      <c r="C1238">
        <v>438</v>
      </c>
      <c r="D1238">
        <v>444</v>
      </c>
      <c r="E1238">
        <v>446</v>
      </c>
      <c r="F1238">
        <v>441</v>
      </c>
      <c r="G1238">
        <v>444</v>
      </c>
      <c r="H1238">
        <v>449</v>
      </c>
      <c r="I1238">
        <v>447</v>
      </c>
      <c r="J1238">
        <v>460</v>
      </c>
      <c r="K1238">
        <v>465</v>
      </c>
      <c r="L1238">
        <v>463</v>
      </c>
      <c r="M1238">
        <v>469</v>
      </c>
      <c r="N1238">
        <v>478</v>
      </c>
      <c r="O1238" s="173">
        <f t="shared" ref="O1238:O1246" si="287">SUM(C1238:N1238)/12</f>
        <v>453.66666666666669</v>
      </c>
      <c r="P1238" s="173"/>
    </row>
    <row r="1239" spans="1:17" x14ac:dyDescent="0.2">
      <c r="B1239" t="s">
        <v>450</v>
      </c>
      <c r="C1239">
        <v>474</v>
      </c>
      <c r="D1239">
        <v>481</v>
      </c>
      <c r="E1239">
        <v>491</v>
      </c>
      <c r="F1239">
        <v>478</v>
      </c>
      <c r="G1239">
        <v>472</v>
      </c>
      <c r="H1239">
        <v>477</v>
      </c>
      <c r="I1239">
        <v>476</v>
      </c>
      <c r="J1239">
        <v>470</v>
      </c>
      <c r="K1239">
        <v>467</v>
      </c>
      <c r="L1239">
        <v>480</v>
      </c>
      <c r="M1239">
        <v>461</v>
      </c>
      <c r="N1239">
        <v>449</v>
      </c>
      <c r="O1239" s="173">
        <f t="shared" si="287"/>
        <v>473</v>
      </c>
      <c r="P1239" s="173">
        <f t="shared" ref="P1239:P1246" si="288">SUM(O1239-O1238)</f>
        <v>19.333333333333314</v>
      </c>
      <c r="Q1239" s="177">
        <f t="shared" ref="Q1239:Q1245" si="289">SUM(P1239/O1238)</f>
        <v>4.261572373254955E-2</v>
      </c>
    </row>
    <row r="1240" spans="1:17" x14ac:dyDescent="0.2">
      <c r="B1240" t="s">
        <v>451</v>
      </c>
      <c r="C1240">
        <v>463</v>
      </c>
      <c r="D1240">
        <v>474</v>
      </c>
      <c r="E1240">
        <v>480</v>
      </c>
      <c r="F1240">
        <v>457</v>
      </c>
      <c r="G1240">
        <v>459</v>
      </c>
      <c r="H1240">
        <v>469</v>
      </c>
      <c r="I1240">
        <v>460</v>
      </c>
      <c r="J1240">
        <v>446</v>
      </c>
      <c r="K1240">
        <v>457</v>
      </c>
      <c r="L1240">
        <v>468</v>
      </c>
      <c r="M1240">
        <v>479</v>
      </c>
      <c r="N1240">
        <v>490</v>
      </c>
      <c r="O1240" s="173">
        <f t="shared" si="287"/>
        <v>466.83333333333331</v>
      </c>
      <c r="P1240" s="173">
        <f t="shared" si="288"/>
        <v>-6.1666666666666856</v>
      </c>
      <c r="Q1240" s="177">
        <f t="shared" si="289"/>
        <v>-1.3037350246652613E-2</v>
      </c>
    </row>
    <row r="1241" spans="1:17" x14ac:dyDescent="0.2">
      <c r="B1241" t="s">
        <v>267</v>
      </c>
      <c r="C1241">
        <v>537</v>
      </c>
      <c r="D1241">
        <v>544</v>
      </c>
      <c r="E1241">
        <v>514</v>
      </c>
      <c r="F1241">
        <v>562</v>
      </c>
      <c r="G1241">
        <v>557</v>
      </c>
      <c r="H1241">
        <v>551</v>
      </c>
      <c r="I1241">
        <v>545</v>
      </c>
      <c r="J1241">
        <v>538</v>
      </c>
      <c r="K1241">
        <v>525</v>
      </c>
      <c r="L1241">
        <v>518</v>
      </c>
      <c r="M1241">
        <v>502</v>
      </c>
      <c r="N1241">
        <v>506</v>
      </c>
      <c r="O1241" s="173">
        <f t="shared" si="287"/>
        <v>533.25</v>
      </c>
      <c r="P1241" s="173">
        <f t="shared" si="288"/>
        <v>66.416666666666686</v>
      </c>
      <c r="Q1241" s="177">
        <f t="shared" si="289"/>
        <v>0.14227061763655841</v>
      </c>
    </row>
    <row r="1242" spans="1:17" x14ac:dyDescent="0.2">
      <c r="B1242" t="s">
        <v>266</v>
      </c>
      <c r="C1242">
        <v>519</v>
      </c>
      <c r="D1242">
        <v>507</v>
      </c>
      <c r="E1242">
        <v>516</v>
      </c>
      <c r="F1242">
        <v>509</v>
      </c>
      <c r="G1242">
        <v>495</v>
      </c>
      <c r="H1242">
        <v>503</v>
      </c>
      <c r="I1242">
        <v>484</v>
      </c>
      <c r="J1242">
        <v>484</v>
      </c>
      <c r="K1242">
        <v>477</v>
      </c>
      <c r="L1242">
        <v>470</v>
      </c>
      <c r="M1242">
        <v>474</v>
      </c>
      <c r="N1242">
        <v>464</v>
      </c>
      <c r="O1242" s="173">
        <f t="shared" si="287"/>
        <v>491.83333333333331</v>
      </c>
      <c r="P1242" s="173">
        <f t="shared" si="288"/>
        <v>-41.416666666666686</v>
      </c>
      <c r="Q1242" s="177">
        <f t="shared" si="289"/>
        <v>-7.7668385685263353E-2</v>
      </c>
    </row>
    <row r="1243" spans="1:17" x14ac:dyDescent="0.2">
      <c r="B1243" t="s">
        <v>287</v>
      </c>
      <c r="C1243">
        <v>472</v>
      </c>
      <c r="D1243">
        <v>489</v>
      </c>
      <c r="E1243">
        <v>468</v>
      </c>
      <c r="F1243">
        <v>461</v>
      </c>
      <c r="G1243">
        <v>460</v>
      </c>
      <c r="H1243">
        <v>449</v>
      </c>
      <c r="I1243">
        <v>436</v>
      </c>
      <c r="J1243">
        <v>442</v>
      </c>
      <c r="K1243">
        <v>445</v>
      </c>
      <c r="L1243">
        <v>458</v>
      </c>
      <c r="M1243">
        <v>472</v>
      </c>
      <c r="N1243">
        <v>480</v>
      </c>
      <c r="O1243" s="173">
        <f t="shared" si="287"/>
        <v>461</v>
      </c>
      <c r="P1243" s="173">
        <f t="shared" si="288"/>
        <v>-30.833333333333314</v>
      </c>
      <c r="Q1243" s="177">
        <f t="shared" si="289"/>
        <v>-6.2690613351406271E-2</v>
      </c>
    </row>
    <row r="1244" spans="1:17" x14ac:dyDescent="0.2">
      <c r="B1244" t="s">
        <v>297</v>
      </c>
      <c r="C1244">
        <v>478</v>
      </c>
      <c r="D1244">
        <v>478</v>
      </c>
      <c r="E1244">
        <v>474</v>
      </c>
      <c r="F1244">
        <v>493</v>
      </c>
      <c r="G1244">
        <v>488</v>
      </c>
      <c r="H1244">
        <v>495</v>
      </c>
      <c r="I1244">
        <v>507</v>
      </c>
      <c r="J1244">
        <v>499</v>
      </c>
      <c r="K1244">
        <v>500</v>
      </c>
      <c r="L1244">
        <v>518</v>
      </c>
      <c r="M1244">
        <v>540</v>
      </c>
      <c r="N1244">
        <v>551</v>
      </c>
      <c r="O1244" s="173">
        <f t="shared" si="287"/>
        <v>501.75</v>
      </c>
      <c r="P1244" s="173">
        <f t="shared" si="288"/>
        <v>40.75</v>
      </c>
      <c r="Q1244" s="177">
        <f t="shared" si="289"/>
        <v>8.8394793926247286E-2</v>
      </c>
    </row>
    <row r="1245" spans="1:17" x14ac:dyDescent="0.2">
      <c r="B1245" t="s">
        <v>300</v>
      </c>
      <c r="C1245">
        <v>551</v>
      </c>
      <c r="D1245">
        <v>536</v>
      </c>
      <c r="E1245">
        <v>521</v>
      </c>
      <c r="F1245">
        <v>522</v>
      </c>
      <c r="G1245">
        <v>527</v>
      </c>
      <c r="H1245">
        <v>545</v>
      </c>
      <c r="I1245">
        <v>548</v>
      </c>
      <c r="J1245">
        <v>549</v>
      </c>
      <c r="K1245">
        <v>549</v>
      </c>
      <c r="L1245">
        <v>650</v>
      </c>
      <c r="M1245">
        <v>666</v>
      </c>
      <c r="N1245">
        <v>591</v>
      </c>
      <c r="O1245" s="173">
        <f t="shared" si="287"/>
        <v>562.91666666666663</v>
      </c>
      <c r="P1245" s="173">
        <f t="shared" si="288"/>
        <v>61.166666666666629</v>
      </c>
      <c r="Q1245" s="177">
        <f t="shared" si="289"/>
        <v>0.12190666002325187</v>
      </c>
    </row>
    <row r="1246" spans="1:17" x14ac:dyDescent="0.2">
      <c r="B1246" t="s">
        <v>301</v>
      </c>
      <c r="C1246">
        <v>596</v>
      </c>
      <c r="D1246">
        <v>617</v>
      </c>
      <c r="E1246">
        <v>722</v>
      </c>
      <c r="F1246">
        <v>657</v>
      </c>
      <c r="G1246">
        <v>723</v>
      </c>
      <c r="H1246">
        <v>717</v>
      </c>
      <c r="I1246">
        <v>729</v>
      </c>
      <c r="J1246">
        <v>730</v>
      </c>
      <c r="K1246">
        <v>721</v>
      </c>
      <c r="L1246">
        <v>721</v>
      </c>
      <c r="M1246">
        <v>754</v>
      </c>
      <c r="N1246">
        <v>770</v>
      </c>
      <c r="O1246" s="173">
        <f t="shared" si="287"/>
        <v>704.75</v>
      </c>
      <c r="P1246" s="173">
        <f t="shared" si="288"/>
        <v>141.83333333333337</v>
      </c>
      <c r="Q1246" s="177">
        <f>SUM(P1246/O1245)</f>
        <v>0.25196150999259814</v>
      </c>
    </row>
    <row r="1247" spans="1:17" x14ac:dyDescent="0.2">
      <c r="B1247" t="s">
        <v>302</v>
      </c>
      <c r="C1247">
        <v>711</v>
      </c>
      <c r="D1247">
        <v>710</v>
      </c>
      <c r="E1247">
        <v>721</v>
      </c>
      <c r="F1247">
        <v>726</v>
      </c>
      <c r="G1247">
        <v>736</v>
      </c>
      <c r="H1247">
        <v>731</v>
      </c>
      <c r="I1247">
        <v>722</v>
      </c>
      <c r="J1247">
        <v>719</v>
      </c>
      <c r="K1247">
        <v>722</v>
      </c>
      <c r="L1247">
        <v>750</v>
      </c>
      <c r="M1247">
        <v>759</v>
      </c>
      <c r="N1247">
        <v>764</v>
      </c>
      <c r="O1247" s="173">
        <f>SUM(C1247:N1247)/12</f>
        <v>730.91666666666663</v>
      </c>
      <c r="P1247" s="173">
        <f>SUM(O1247-O1246)</f>
        <v>26.166666666666629</v>
      </c>
      <c r="Q1247" s="177">
        <f>SUM(P1247/O1246)</f>
        <v>3.7129005557526254E-2</v>
      </c>
    </row>
    <row r="1248" spans="1:17" x14ac:dyDescent="0.2">
      <c r="B1248" t="s">
        <v>347</v>
      </c>
      <c r="C1248">
        <v>750</v>
      </c>
      <c r="D1248">
        <v>743</v>
      </c>
      <c r="E1248">
        <v>732</v>
      </c>
      <c r="F1248">
        <v>728</v>
      </c>
      <c r="G1248">
        <v>713</v>
      </c>
      <c r="H1248">
        <v>774</v>
      </c>
      <c r="I1248">
        <v>746</v>
      </c>
      <c r="J1248">
        <v>760</v>
      </c>
      <c r="K1248">
        <v>768</v>
      </c>
      <c r="L1248">
        <v>783</v>
      </c>
      <c r="M1248">
        <v>769</v>
      </c>
      <c r="N1248">
        <v>766</v>
      </c>
      <c r="O1248" s="173">
        <f>SUM(C1248:N1248)/12</f>
        <v>752.66666666666663</v>
      </c>
      <c r="P1248" s="173">
        <f>SUM(O1248-O1247)</f>
        <v>21.75</v>
      </c>
      <c r="Q1248" s="177">
        <f>SUM(P1248/O1247)</f>
        <v>2.9757154258351386E-2</v>
      </c>
    </row>
    <row r="1249" spans="1:18" x14ac:dyDescent="0.2">
      <c r="B1249" t="s">
        <v>370</v>
      </c>
      <c r="C1249">
        <v>793</v>
      </c>
      <c r="D1249">
        <v>763</v>
      </c>
      <c r="E1249">
        <v>771</v>
      </c>
      <c r="F1249">
        <v>782</v>
      </c>
      <c r="G1249">
        <v>756</v>
      </c>
      <c r="H1249">
        <v>768</v>
      </c>
      <c r="I1249">
        <v>763</v>
      </c>
      <c r="J1249">
        <v>762</v>
      </c>
      <c r="K1249">
        <v>773</v>
      </c>
      <c r="L1249">
        <v>776</v>
      </c>
      <c r="M1249">
        <v>743</v>
      </c>
      <c r="N1249">
        <v>744</v>
      </c>
      <c r="O1249" s="173">
        <f>SUM(C1249:N1249)/12</f>
        <v>766.16666666666663</v>
      </c>
      <c r="P1249" s="173">
        <f>SUM(O1249-O1248)</f>
        <v>13.5</v>
      </c>
      <c r="Q1249" s="177">
        <f>SUM(P1249/O1248)</f>
        <v>1.7936226749335697E-2</v>
      </c>
    </row>
    <row r="1250" spans="1:18" x14ac:dyDescent="0.2">
      <c r="B1250" t="s">
        <v>452</v>
      </c>
      <c r="C1250">
        <v>746</v>
      </c>
      <c r="D1250">
        <v>738</v>
      </c>
      <c r="E1250">
        <v>726</v>
      </c>
      <c r="F1250">
        <v>723</v>
      </c>
      <c r="G1250">
        <v>723</v>
      </c>
      <c r="H1250">
        <v>711</v>
      </c>
      <c r="I1250">
        <v>722</v>
      </c>
      <c r="J1250">
        <v>715</v>
      </c>
      <c r="K1250">
        <v>701</v>
      </c>
      <c r="L1250">
        <v>696</v>
      </c>
      <c r="M1250">
        <v>716</v>
      </c>
      <c r="N1250">
        <v>722</v>
      </c>
      <c r="O1250" s="173">
        <f>SUM(C1250:N1250)/12</f>
        <v>719.91666666666663</v>
      </c>
      <c r="P1250" s="173">
        <f>SUM(O1250-O1249)</f>
        <v>-46.25</v>
      </c>
      <c r="Q1250" s="177">
        <f>SUM(P1250/O1249)</f>
        <v>-6.0365455731999133E-2</v>
      </c>
    </row>
    <row r="1251" spans="1:18" x14ac:dyDescent="0.2">
      <c r="B1251" t="s">
        <v>487</v>
      </c>
      <c r="O1251" s="173"/>
      <c r="P1251" s="173"/>
      <c r="Q1251" s="177"/>
    </row>
    <row r="1252" spans="1:18" x14ac:dyDescent="0.2">
      <c r="A1252" s="178"/>
      <c r="B1252" s="178"/>
      <c r="C1252" s="178"/>
      <c r="D1252" s="178"/>
      <c r="E1252" s="178"/>
      <c r="F1252" s="178"/>
      <c r="G1252" s="178"/>
      <c r="H1252" s="178"/>
      <c r="I1252" s="178"/>
      <c r="J1252" s="178"/>
      <c r="K1252" s="178"/>
      <c r="L1252" s="178"/>
      <c r="M1252" s="178"/>
      <c r="N1252" s="178"/>
      <c r="O1252" s="178"/>
      <c r="P1252" s="178"/>
      <c r="Q1252" s="178"/>
    </row>
    <row r="1253" spans="1:18" ht="25.5" x14ac:dyDescent="0.2">
      <c r="A1253" s="175" t="s">
        <v>465</v>
      </c>
      <c r="B1253" s="176" t="s">
        <v>433</v>
      </c>
      <c r="C1253" s="179" t="s">
        <v>434</v>
      </c>
      <c r="D1253" s="179" t="s">
        <v>435</v>
      </c>
      <c r="E1253" s="179" t="s">
        <v>436</v>
      </c>
      <c r="F1253" s="179" t="s">
        <v>437</v>
      </c>
      <c r="G1253" s="179" t="s">
        <v>438</v>
      </c>
      <c r="H1253" s="179" t="s">
        <v>439</v>
      </c>
      <c r="I1253" s="179" t="s">
        <v>440</v>
      </c>
      <c r="J1253" s="179" t="s">
        <v>441</v>
      </c>
      <c r="K1253" s="179" t="s">
        <v>442</v>
      </c>
      <c r="L1253" s="179" t="s">
        <v>443</v>
      </c>
      <c r="M1253" s="179" t="s">
        <v>444</v>
      </c>
      <c r="N1253" s="179" t="s">
        <v>445</v>
      </c>
    </row>
    <row r="1254" spans="1:18" x14ac:dyDescent="0.2">
      <c r="B1254" t="s">
        <v>449</v>
      </c>
      <c r="C1254">
        <v>51</v>
      </c>
      <c r="D1254">
        <v>44</v>
      </c>
      <c r="E1254">
        <v>43</v>
      </c>
      <c r="F1254">
        <v>39</v>
      </c>
      <c r="G1254">
        <v>39</v>
      </c>
      <c r="H1254">
        <v>39</v>
      </c>
      <c r="I1254">
        <v>43</v>
      </c>
      <c r="J1254">
        <v>41</v>
      </c>
      <c r="K1254">
        <v>42</v>
      </c>
      <c r="L1254">
        <v>42</v>
      </c>
      <c r="M1254">
        <v>43</v>
      </c>
      <c r="N1254">
        <v>40</v>
      </c>
      <c r="O1254" s="173">
        <f t="shared" ref="O1254:O1262" si="290">SUM(C1254:N1254)/12</f>
        <v>42.166666666666664</v>
      </c>
      <c r="P1254" s="173"/>
    </row>
    <row r="1255" spans="1:18" x14ac:dyDescent="0.2">
      <c r="B1255" t="s">
        <v>450</v>
      </c>
      <c r="C1255">
        <v>43</v>
      </c>
      <c r="D1255">
        <v>47</v>
      </c>
      <c r="E1255">
        <v>47</v>
      </c>
      <c r="F1255">
        <v>51</v>
      </c>
      <c r="G1255">
        <v>46</v>
      </c>
      <c r="H1255">
        <v>44</v>
      </c>
      <c r="I1255">
        <v>48</v>
      </c>
      <c r="J1255">
        <v>41</v>
      </c>
      <c r="K1255">
        <v>47</v>
      </c>
      <c r="L1255">
        <v>44</v>
      </c>
      <c r="M1255">
        <v>43</v>
      </c>
      <c r="N1255">
        <v>46</v>
      </c>
      <c r="O1255" s="173">
        <f t="shared" si="290"/>
        <v>45.583333333333336</v>
      </c>
      <c r="P1255" s="173">
        <f t="shared" ref="P1255:P1262" si="291">SUM(O1255-O1254)</f>
        <v>3.4166666666666714</v>
      </c>
      <c r="Q1255" s="177">
        <f t="shared" ref="Q1255:Q1261" si="292">SUM(P1255/O1254)</f>
        <v>8.1027667984189838E-2</v>
      </c>
    </row>
    <row r="1256" spans="1:18" x14ac:dyDescent="0.2">
      <c r="B1256" t="s">
        <v>451</v>
      </c>
      <c r="C1256">
        <v>45</v>
      </c>
      <c r="D1256">
        <v>49</v>
      </c>
      <c r="E1256">
        <v>48</v>
      </c>
      <c r="F1256">
        <v>51</v>
      </c>
      <c r="G1256">
        <v>51</v>
      </c>
      <c r="H1256">
        <v>46</v>
      </c>
      <c r="I1256">
        <v>49</v>
      </c>
      <c r="J1256">
        <v>45</v>
      </c>
      <c r="K1256">
        <v>46</v>
      </c>
      <c r="L1256">
        <v>47</v>
      </c>
      <c r="M1256">
        <v>48</v>
      </c>
      <c r="N1256">
        <v>49</v>
      </c>
      <c r="O1256" s="173">
        <f t="shared" si="290"/>
        <v>47.833333333333336</v>
      </c>
      <c r="P1256" s="173">
        <f t="shared" si="291"/>
        <v>2.25</v>
      </c>
      <c r="Q1256" s="177">
        <f t="shared" si="292"/>
        <v>4.9360146252285186E-2</v>
      </c>
    </row>
    <row r="1257" spans="1:18" x14ac:dyDescent="0.2">
      <c r="B1257" t="s">
        <v>267</v>
      </c>
      <c r="C1257">
        <v>35</v>
      </c>
      <c r="D1257">
        <v>35</v>
      </c>
      <c r="E1257">
        <v>36</v>
      </c>
      <c r="F1257">
        <v>39</v>
      </c>
      <c r="G1257">
        <v>39</v>
      </c>
      <c r="H1257">
        <v>43</v>
      </c>
      <c r="I1257">
        <v>47</v>
      </c>
      <c r="J1257">
        <v>45</v>
      </c>
      <c r="K1257">
        <v>47</v>
      </c>
      <c r="L1257">
        <v>51</v>
      </c>
      <c r="M1257">
        <v>47</v>
      </c>
      <c r="N1257">
        <v>45</v>
      </c>
      <c r="O1257" s="173">
        <f t="shared" si="290"/>
        <v>42.416666666666664</v>
      </c>
      <c r="P1257" s="173">
        <f t="shared" si="291"/>
        <v>-5.4166666666666714</v>
      </c>
      <c r="Q1257" s="177">
        <f t="shared" si="292"/>
        <v>-0.113240418118467</v>
      </c>
    </row>
    <row r="1258" spans="1:18" x14ac:dyDescent="0.2">
      <c r="B1258" t="s">
        <v>266</v>
      </c>
      <c r="C1258">
        <v>55</v>
      </c>
      <c r="D1258">
        <v>51</v>
      </c>
      <c r="E1258">
        <v>49</v>
      </c>
      <c r="F1258">
        <v>51</v>
      </c>
      <c r="G1258">
        <v>52</v>
      </c>
      <c r="H1258">
        <v>54</v>
      </c>
      <c r="I1258">
        <v>55</v>
      </c>
      <c r="J1258">
        <v>55</v>
      </c>
      <c r="K1258">
        <v>42</v>
      </c>
      <c r="L1258">
        <v>38</v>
      </c>
      <c r="M1258">
        <v>85</v>
      </c>
      <c r="N1258">
        <v>81</v>
      </c>
      <c r="O1258" s="173">
        <f t="shared" si="290"/>
        <v>55.666666666666664</v>
      </c>
      <c r="P1258" s="173">
        <f t="shared" si="291"/>
        <v>13.25</v>
      </c>
      <c r="Q1258" s="177">
        <f t="shared" si="292"/>
        <v>0.31237721021611004</v>
      </c>
    </row>
    <row r="1259" spans="1:18" x14ac:dyDescent="0.2">
      <c r="B1259" t="s">
        <v>287</v>
      </c>
      <c r="C1259">
        <v>81</v>
      </c>
      <c r="D1259">
        <v>81</v>
      </c>
      <c r="E1259">
        <v>74</v>
      </c>
      <c r="F1259">
        <v>79</v>
      </c>
      <c r="G1259">
        <v>77</v>
      </c>
      <c r="H1259">
        <v>77</v>
      </c>
      <c r="I1259">
        <v>74</v>
      </c>
      <c r="J1259">
        <v>74</v>
      </c>
      <c r="K1259">
        <v>74</v>
      </c>
      <c r="L1259">
        <v>75</v>
      </c>
      <c r="M1259">
        <v>75</v>
      </c>
      <c r="N1259">
        <v>76</v>
      </c>
      <c r="O1259" s="173">
        <f t="shared" si="290"/>
        <v>76.416666666666671</v>
      </c>
      <c r="P1259" s="173">
        <f t="shared" si="291"/>
        <v>20.750000000000007</v>
      </c>
      <c r="Q1259" s="177">
        <f t="shared" si="292"/>
        <v>0.37275449101796421</v>
      </c>
    </row>
    <row r="1260" spans="1:18" x14ac:dyDescent="0.2">
      <c r="B1260" t="s">
        <v>297</v>
      </c>
      <c r="C1260">
        <v>78</v>
      </c>
      <c r="D1260">
        <v>76</v>
      </c>
      <c r="E1260">
        <v>80</v>
      </c>
      <c r="F1260">
        <v>81</v>
      </c>
      <c r="G1260">
        <v>77</v>
      </c>
      <c r="H1260">
        <v>76</v>
      </c>
      <c r="I1260">
        <v>74</v>
      </c>
      <c r="J1260">
        <v>76</v>
      </c>
      <c r="K1260">
        <v>71</v>
      </c>
      <c r="L1260">
        <v>71</v>
      </c>
      <c r="M1260">
        <v>74</v>
      </c>
      <c r="N1260">
        <v>75</v>
      </c>
      <c r="O1260" s="173">
        <f t="shared" si="290"/>
        <v>75.75</v>
      </c>
      <c r="P1260" s="173">
        <f t="shared" si="291"/>
        <v>-0.6666666666666714</v>
      </c>
      <c r="Q1260" s="177">
        <f t="shared" si="292"/>
        <v>-8.7241003271538234E-3</v>
      </c>
    </row>
    <row r="1261" spans="1:18" x14ac:dyDescent="0.2">
      <c r="B1261" t="s">
        <v>300</v>
      </c>
      <c r="C1261">
        <v>75</v>
      </c>
      <c r="D1261">
        <v>74</v>
      </c>
      <c r="E1261">
        <v>73</v>
      </c>
      <c r="F1261">
        <v>72</v>
      </c>
      <c r="G1261">
        <v>75</v>
      </c>
      <c r="H1261">
        <v>74</v>
      </c>
      <c r="I1261">
        <v>73</v>
      </c>
      <c r="J1261">
        <v>73</v>
      </c>
      <c r="K1261">
        <v>71</v>
      </c>
      <c r="L1261">
        <v>84</v>
      </c>
      <c r="M1261">
        <v>79</v>
      </c>
      <c r="N1261">
        <v>74</v>
      </c>
      <c r="O1261" s="173">
        <f t="shared" si="290"/>
        <v>74.75</v>
      </c>
      <c r="P1261" s="173">
        <f t="shared" si="291"/>
        <v>-1</v>
      </c>
      <c r="Q1261" s="177">
        <f t="shared" si="292"/>
        <v>-1.3201320132013201E-2</v>
      </c>
      <c r="R1261" s="177"/>
    </row>
    <row r="1262" spans="1:18" x14ac:dyDescent="0.2">
      <c r="B1262" t="s">
        <v>301</v>
      </c>
      <c r="C1262">
        <v>70</v>
      </c>
      <c r="D1262">
        <v>68</v>
      </c>
      <c r="E1262">
        <v>80</v>
      </c>
      <c r="F1262">
        <v>73</v>
      </c>
      <c r="G1262">
        <v>82</v>
      </c>
      <c r="H1262">
        <v>81</v>
      </c>
      <c r="I1262">
        <v>83</v>
      </c>
      <c r="J1262">
        <v>80</v>
      </c>
      <c r="K1262">
        <v>78</v>
      </c>
      <c r="L1262">
        <v>78</v>
      </c>
      <c r="M1262">
        <v>78</v>
      </c>
      <c r="N1262">
        <v>86</v>
      </c>
      <c r="O1262" s="173">
        <f t="shared" si="290"/>
        <v>78.083333333333329</v>
      </c>
      <c r="P1262" s="173">
        <f t="shared" si="291"/>
        <v>3.3333333333333286</v>
      </c>
      <c r="Q1262" s="177">
        <f>SUM(P1262/O1261)</f>
        <v>4.4593088071348874E-2</v>
      </c>
    </row>
    <row r="1263" spans="1:18" x14ac:dyDescent="0.2">
      <c r="B1263" t="s">
        <v>302</v>
      </c>
      <c r="C1263">
        <v>75</v>
      </c>
      <c r="D1263">
        <v>74</v>
      </c>
      <c r="E1263">
        <v>79</v>
      </c>
      <c r="F1263">
        <v>77</v>
      </c>
      <c r="G1263">
        <v>75</v>
      </c>
      <c r="H1263">
        <v>66</v>
      </c>
      <c r="I1263">
        <v>64</v>
      </c>
      <c r="J1263">
        <v>64</v>
      </c>
      <c r="K1263">
        <v>47</v>
      </c>
      <c r="L1263">
        <v>47</v>
      </c>
      <c r="M1263">
        <v>45</v>
      </c>
      <c r="N1263">
        <v>47</v>
      </c>
      <c r="O1263" s="173">
        <f>SUM(C1263:N1263)/12</f>
        <v>63.333333333333336</v>
      </c>
      <c r="P1263" s="173">
        <f>SUM(O1263-O1262)</f>
        <v>-14.749999999999993</v>
      </c>
      <c r="Q1263" s="177">
        <f>SUM(P1263/O1262)</f>
        <v>-0.18890074706510132</v>
      </c>
    </row>
    <row r="1264" spans="1:18" x14ac:dyDescent="0.2">
      <c r="B1264" t="s">
        <v>347</v>
      </c>
      <c r="C1264">
        <v>42</v>
      </c>
      <c r="D1264">
        <v>43</v>
      </c>
      <c r="E1264">
        <v>41</v>
      </c>
      <c r="F1264">
        <v>41</v>
      </c>
      <c r="G1264">
        <v>38</v>
      </c>
      <c r="H1264">
        <v>54</v>
      </c>
      <c r="I1264">
        <v>60</v>
      </c>
      <c r="J1264">
        <v>53</v>
      </c>
      <c r="K1264">
        <v>57</v>
      </c>
      <c r="L1264">
        <v>45</v>
      </c>
      <c r="M1264">
        <v>48</v>
      </c>
      <c r="N1264">
        <v>49</v>
      </c>
      <c r="O1264" s="173">
        <f>SUM(C1264:N1264)/12</f>
        <v>47.583333333333336</v>
      </c>
      <c r="P1264" s="173">
        <f>SUM(O1264-O1263)</f>
        <v>-15.75</v>
      </c>
      <c r="Q1264" s="177">
        <f>SUM(P1264/O1263)</f>
        <v>-0.24868421052631579</v>
      </c>
    </row>
    <row r="1265" spans="1:18" x14ac:dyDescent="0.2">
      <c r="B1265" t="s">
        <v>370</v>
      </c>
      <c r="C1265">
        <v>49</v>
      </c>
      <c r="D1265">
        <v>51</v>
      </c>
      <c r="E1265">
        <v>45</v>
      </c>
      <c r="F1265">
        <v>54</v>
      </c>
      <c r="G1265">
        <v>56</v>
      </c>
      <c r="H1265">
        <v>56</v>
      </c>
      <c r="I1265">
        <v>53</v>
      </c>
      <c r="J1265">
        <v>50</v>
      </c>
      <c r="K1265">
        <v>47</v>
      </c>
      <c r="L1265">
        <v>44</v>
      </c>
      <c r="M1265">
        <v>44</v>
      </c>
      <c r="N1265">
        <v>52</v>
      </c>
      <c r="O1265" s="173">
        <f>SUM(C1265:N1265)/12</f>
        <v>50.083333333333336</v>
      </c>
      <c r="P1265" s="173">
        <f>SUM(O1265-O1264)</f>
        <v>2.5</v>
      </c>
      <c r="Q1265" s="177">
        <f>SUM(P1265/O1264)</f>
        <v>5.2539404553415062E-2</v>
      </c>
    </row>
    <row r="1266" spans="1:18" x14ac:dyDescent="0.2">
      <c r="B1266" t="s">
        <v>452</v>
      </c>
      <c r="C1266">
        <v>54</v>
      </c>
      <c r="D1266">
        <v>54</v>
      </c>
      <c r="E1266">
        <v>51</v>
      </c>
      <c r="F1266">
        <v>57</v>
      </c>
      <c r="G1266">
        <v>56</v>
      </c>
      <c r="H1266">
        <v>64</v>
      </c>
      <c r="I1266">
        <v>66</v>
      </c>
      <c r="J1266">
        <v>65</v>
      </c>
      <c r="K1266">
        <v>65</v>
      </c>
      <c r="L1266">
        <v>65</v>
      </c>
      <c r="M1266">
        <v>72</v>
      </c>
      <c r="N1266">
        <v>63</v>
      </c>
      <c r="O1266" s="173">
        <f>SUM(C1266:N1266)/12</f>
        <v>61</v>
      </c>
      <c r="P1266" s="173">
        <f>SUM(O1266-O1265)</f>
        <v>10.916666666666664</v>
      </c>
      <c r="Q1266" s="177">
        <f>SUM(P1266/O1265)</f>
        <v>0.21797004991680527</v>
      </c>
    </row>
    <row r="1267" spans="1:18" x14ac:dyDescent="0.2">
      <c r="B1267" t="s">
        <v>487</v>
      </c>
      <c r="O1267" s="173"/>
      <c r="P1267" s="173"/>
      <c r="Q1267" s="177"/>
    </row>
    <row r="1268" spans="1:18" x14ac:dyDescent="0.2">
      <c r="A1268" s="556" t="s">
        <v>466</v>
      </c>
      <c r="B1268" s="179" t="s">
        <v>433</v>
      </c>
      <c r="C1268" s="179" t="s">
        <v>434</v>
      </c>
      <c r="D1268" s="179" t="s">
        <v>435</v>
      </c>
      <c r="E1268" s="179" t="s">
        <v>436</v>
      </c>
      <c r="F1268" s="179" t="s">
        <v>437</v>
      </c>
      <c r="G1268" s="179" t="s">
        <v>438</v>
      </c>
      <c r="H1268" s="179" t="s">
        <v>439</v>
      </c>
      <c r="I1268" s="179" t="s">
        <v>440</v>
      </c>
      <c r="J1268" s="179" t="s">
        <v>441</v>
      </c>
      <c r="K1268" s="179" t="s">
        <v>442</v>
      </c>
      <c r="L1268" s="179" t="s">
        <v>443</v>
      </c>
      <c r="M1268" s="179" t="s">
        <v>444</v>
      </c>
      <c r="N1268" s="179" t="s">
        <v>445</v>
      </c>
    </row>
    <row r="1269" spans="1:18" x14ac:dyDescent="0.2">
      <c r="B1269" t="s">
        <v>347</v>
      </c>
      <c r="H1269">
        <v>120</v>
      </c>
      <c r="I1269">
        <v>96</v>
      </c>
      <c r="J1269">
        <v>123</v>
      </c>
      <c r="K1269">
        <v>105</v>
      </c>
      <c r="L1269">
        <v>122</v>
      </c>
      <c r="M1269">
        <v>118</v>
      </c>
      <c r="N1269">
        <v>118</v>
      </c>
      <c r="O1269" s="173">
        <f>SUM(C1269:N1269)/7</f>
        <v>114.57142857142857</v>
      </c>
      <c r="P1269" s="173"/>
      <c r="Q1269" s="177"/>
    </row>
    <row r="1270" spans="1:18" x14ac:dyDescent="0.2">
      <c r="B1270" t="s">
        <v>370</v>
      </c>
      <c r="C1270">
        <v>108</v>
      </c>
      <c r="D1270">
        <v>110</v>
      </c>
      <c r="E1270">
        <v>105</v>
      </c>
      <c r="F1270">
        <v>102</v>
      </c>
      <c r="G1270">
        <v>121</v>
      </c>
      <c r="H1270">
        <v>133</v>
      </c>
      <c r="I1270">
        <v>137</v>
      </c>
      <c r="J1270">
        <v>129</v>
      </c>
      <c r="K1270">
        <v>137</v>
      </c>
      <c r="L1270">
        <v>140</v>
      </c>
      <c r="M1270">
        <v>134</v>
      </c>
      <c r="N1270">
        <v>128</v>
      </c>
      <c r="O1270" s="173">
        <f>SUM(C1270:N1270)/12</f>
        <v>123.66666666666667</v>
      </c>
      <c r="P1270" s="173">
        <f>SUM(O1270-O1269)</f>
        <v>9.095238095238102</v>
      </c>
      <c r="Q1270" s="177">
        <f>SUM(P1270/O1269)</f>
        <v>7.9384871155444778E-2</v>
      </c>
    </row>
    <row r="1271" spans="1:18" x14ac:dyDescent="0.2">
      <c r="B1271" t="s">
        <v>452</v>
      </c>
      <c r="C1271">
        <v>109</v>
      </c>
      <c r="D1271">
        <v>111</v>
      </c>
      <c r="E1271">
        <v>117</v>
      </c>
      <c r="F1271">
        <v>117</v>
      </c>
      <c r="G1271">
        <v>122</v>
      </c>
      <c r="H1271">
        <v>122</v>
      </c>
      <c r="I1271">
        <v>140</v>
      </c>
      <c r="J1271">
        <v>138</v>
      </c>
      <c r="K1271">
        <v>138</v>
      </c>
      <c r="L1271">
        <v>107</v>
      </c>
      <c r="M1271">
        <v>109</v>
      </c>
      <c r="N1271">
        <v>128</v>
      </c>
      <c r="O1271" s="173">
        <f>SUM(C1271:N1271)/12</f>
        <v>121.5</v>
      </c>
      <c r="P1271" s="173">
        <f>SUM(O1271-O1270)</f>
        <v>-2.1666666666666714</v>
      </c>
      <c r="Q1271" s="177">
        <f>SUM(P1271/O1270)</f>
        <v>-1.7520215633423219E-2</v>
      </c>
    </row>
    <row r="1277" spans="1:18" x14ac:dyDescent="0.2">
      <c r="A1277" s="178"/>
      <c r="B1277" s="178"/>
      <c r="C1277" s="178"/>
      <c r="D1277" s="178"/>
      <c r="E1277" s="178"/>
      <c r="F1277" s="178"/>
      <c r="G1277" s="178"/>
      <c r="H1277" s="178"/>
      <c r="I1277" s="178"/>
      <c r="J1277" s="178"/>
      <c r="K1277" s="178"/>
      <c r="L1277" s="178"/>
      <c r="M1277" s="178"/>
      <c r="N1277" s="178"/>
      <c r="O1277" s="178"/>
      <c r="P1277" s="178"/>
      <c r="Q1277" s="178"/>
      <c r="R1277" s="178"/>
    </row>
    <row r="1278" spans="1:18" ht="38.25" x14ac:dyDescent="0.2">
      <c r="A1278" s="174" t="s">
        <v>467</v>
      </c>
      <c r="B1278" s="176" t="s">
        <v>433</v>
      </c>
      <c r="C1278" s="179" t="s">
        <v>434</v>
      </c>
      <c r="D1278" s="179" t="s">
        <v>435</v>
      </c>
      <c r="E1278" s="179" t="s">
        <v>436</v>
      </c>
      <c r="F1278" s="179" t="s">
        <v>437</v>
      </c>
      <c r="G1278" s="179" t="s">
        <v>438</v>
      </c>
      <c r="H1278" s="179" t="s">
        <v>439</v>
      </c>
      <c r="I1278" s="179" t="s">
        <v>440</v>
      </c>
      <c r="J1278" s="179" t="s">
        <v>441</v>
      </c>
      <c r="K1278" s="179" t="s">
        <v>442</v>
      </c>
      <c r="L1278" s="179" t="s">
        <v>443</v>
      </c>
      <c r="M1278" s="179" t="s">
        <v>444</v>
      </c>
      <c r="N1278" s="179" t="s">
        <v>445</v>
      </c>
      <c r="O1278" s="174" t="s">
        <v>446</v>
      </c>
      <c r="P1278" s="553" t="s">
        <v>447</v>
      </c>
      <c r="Q1278" s="553" t="s">
        <v>448</v>
      </c>
      <c r="R1278" s="553" t="s">
        <v>468</v>
      </c>
    </row>
    <row r="1279" spans="1:18" x14ac:dyDescent="0.2">
      <c r="A1279" s="549" t="s">
        <v>486</v>
      </c>
      <c r="B1279" t="s">
        <v>449</v>
      </c>
      <c r="C1279">
        <f t="shared" ref="C1279:N1291" si="293">SUM(C1070,C1085,C1100,C1116,C1131,C1146,C1162,C1177,C1192,C1208,C1223,C1238,C1254)</f>
        <v>4476</v>
      </c>
      <c r="D1279">
        <f t="shared" si="293"/>
        <v>4483</v>
      </c>
      <c r="E1279">
        <f t="shared" si="293"/>
        <v>4465</v>
      </c>
      <c r="F1279">
        <f t="shared" si="293"/>
        <v>4430</v>
      </c>
      <c r="G1279">
        <f t="shared" si="293"/>
        <v>4464</v>
      </c>
      <c r="H1279">
        <f t="shared" si="293"/>
        <v>4489</v>
      </c>
      <c r="I1279">
        <f t="shared" si="293"/>
        <v>4483</v>
      </c>
      <c r="J1279">
        <f t="shared" si="293"/>
        <v>4518</v>
      </c>
      <c r="K1279">
        <f t="shared" si="293"/>
        <v>4524</v>
      </c>
      <c r="L1279">
        <f t="shared" si="293"/>
        <v>4527</v>
      </c>
      <c r="M1279">
        <f t="shared" si="293"/>
        <v>4496</v>
      </c>
      <c r="N1279">
        <f t="shared" si="293"/>
        <v>4561</v>
      </c>
      <c r="O1279">
        <f t="shared" ref="O1279:O1287" si="294">SUM(C1279:N1279)/12</f>
        <v>4493</v>
      </c>
      <c r="P1279" s="546"/>
      <c r="Q1279" s="546"/>
      <c r="R1279" s="546"/>
    </row>
    <row r="1280" spans="1:18" x14ac:dyDescent="0.2">
      <c r="B1280" t="s">
        <v>450</v>
      </c>
      <c r="C1280">
        <f t="shared" si="293"/>
        <v>4520</v>
      </c>
      <c r="D1280">
        <f t="shared" si="293"/>
        <v>4564</v>
      </c>
      <c r="E1280">
        <f t="shared" si="293"/>
        <v>4554</v>
      </c>
      <c r="F1280">
        <f t="shared" si="293"/>
        <v>4570</v>
      </c>
      <c r="G1280">
        <f t="shared" si="293"/>
        <v>4539</v>
      </c>
      <c r="H1280">
        <f t="shared" si="293"/>
        <v>4559</v>
      </c>
      <c r="I1280">
        <f t="shared" si="293"/>
        <v>4522</v>
      </c>
      <c r="J1280">
        <f t="shared" si="293"/>
        <v>4548</v>
      </c>
      <c r="K1280">
        <f t="shared" si="293"/>
        <v>4510</v>
      </c>
      <c r="L1280">
        <f t="shared" si="293"/>
        <v>4548</v>
      </c>
      <c r="M1280">
        <f t="shared" si="293"/>
        <v>4537</v>
      </c>
      <c r="N1280">
        <f t="shared" si="293"/>
        <v>4525</v>
      </c>
      <c r="O1280" s="173">
        <f t="shared" si="294"/>
        <v>4541.333333333333</v>
      </c>
      <c r="P1280" s="547">
        <f t="shared" ref="P1280:P1286" si="295">SUM(O1280-N1279)</f>
        <v>-19.66666666666697</v>
      </c>
      <c r="Q1280" s="548">
        <f t="shared" ref="Q1280:Q1288" si="296">SUM(P1280/O1279)</f>
        <v>-4.3771793159730621E-3</v>
      </c>
      <c r="R1280" s="546"/>
    </row>
    <row r="1281" spans="1:18" x14ac:dyDescent="0.2">
      <c r="B1281" t="s">
        <v>451</v>
      </c>
      <c r="C1281">
        <f t="shared" si="293"/>
        <v>4558</v>
      </c>
      <c r="D1281">
        <f t="shared" si="293"/>
        <v>4615</v>
      </c>
      <c r="E1281">
        <f t="shared" si="293"/>
        <v>4607</v>
      </c>
      <c r="F1281">
        <f t="shared" si="293"/>
        <v>4575</v>
      </c>
      <c r="G1281">
        <f t="shared" si="293"/>
        <v>4575</v>
      </c>
      <c r="H1281">
        <f t="shared" si="293"/>
        <v>4624</v>
      </c>
      <c r="I1281">
        <f t="shared" si="293"/>
        <v>4604</v>
      </c>
      <c r="J1281">
        <f t="shared" si="293"/>
        <v>4666</v>
      </c>
      <c r="K1281">
        <f t="shared" si="293"/>
        <v>4736</v>
      </c>
      <c r="L1281">
        <f t="shared" si="293"/>
        <v>4774</v>
      </c>
      <c r="M1281">
        <f t="shared" si="293"/>
        <v>4832</v>
      </c>
      <c r="N1281">
        <f t="shared" si="293"/>
        <v>4872</v>
      </c>
      <c r="O1281" s="173">
        <f t="shared" si="294"/>
        <v>4669.833333333333</v>
      </c>
      <c r="P1281" s="547">
        <f t="shared" si="295"/>
        <v>144.83333333333303</v>
      </c>
      <c r="Q1281" s="548">
        <f t="shared" si="296"/>
        <v>3.1892248972401581E-2</v>
      </c>
      <c r="R1281" s="548">
        <f>SUM(Q1280:Q1281)</f>
        <v>2.7515069656428519E-2</v>
      </c>
    </row>
    <row r="1282" spans="1:18" x14ac:dyDescent="0.2">
      <c r="B1282" t="s">
        <v>267</v>
      </c>
      <c r="C1282">
        <f t="shared" si="293"/>
        <v>4823</v>
      </c>
      <c r="D1282">
        <f t="shared" si="293"/>
        <v>4949</v>
      </c>
      <c r="E1282">
        <f t="shared" si="293"/>
        <v>4738</v>
      </c>
      <c r="F1282">
        <f t="shared" si="293"/>
        <v>4753</v>
      </c>
      <c r="G1282">
        <f t="shared" si="293"/>
        <v>4796</v>
      </c>
      <c r="H1282">
        <f t="shared" si="293"/>
        <v>4795</v>
      </c>
      <c r="I1282">
        <f t="shared" si="293"/>
        <v>4787</v>
      </c>
      <c r="J1282">
        <f t="shared" si="293"/>
        <v>4789</v>
      </c>
      <c r="K1282">
        <f t="shared" si="293"/>
        <v>4682</v>
      </c>
      <c r="L1282">
        <f t="shared" si="293"/>
        <v>4694</v>
      </c>
      <c r="M1282">
        <f t="shared" si="293"/>
        <v>4685</v>
      </c>
      <c r="N1282">
        <f t="shared" si="293"/>
        <v>4723</v>
      </c>
      <c r="O1282" s="173">
        <f t="shared" si="294"/>
        <v>4767.833333333333</v>
      </c>
      <c r="P1282" s="547">
        <f t="shared" si="295"/>
        <v>-104.16666666666697</v>
      </c>
      <c r="Q1282" s="548">
        <f t="shared" si="296"/>
        <v>-2.2306292158892245E-2</v>
      </c>
      <c r="R1282" s="548">
        <f>SUM(Q1280:Q1282)</f>
        <v>5.2087774975362738E-3</v>
      </c>
    </row>
    <row r="1283" spans="1:18" x14ac:dyDescent="0.2">
      <c r="B1283" t="s">
        <v>266</v>
      </c>
      <c r="C1283">
        <f t="shared" si="293"/>
        <v>4934</v>
      </c>
      <c r="D1283">
        <f t="shared" si="293"/>
        <v>4681</v>
      </c>
      <c r="E1283">
        <f t="shared" si="293"/>
        <v>4701</v>
      </c>
      <c r="F1283">
        <f t="shared" si="293"/>
        <v>4713</v>
      </c>
      <c r="G1283">
        <f t="shared" si="293"/>
        <v>4644</v>
      </c>
      <c r="H1283">
        <f t="shared" si="293"/>
        <v>4760</v>
      </c>
      <c r="I1283">
        <f t="shared" si="293"/>
        <v>4760</v>
      </c>
      <c r="J1283">
        <f t="shared" si="293"/>
        <v>4753</v>
      </c>
      <c r="K1283">
        <f t="shared" si="293"/>
        <v>4744</v>
      </c>
      <c r="L1283">
        <f t="shared" si="293"/>
        <v>4764</v>
      </c>
      <c r="M1283">
        <f t="shared" si="293"/>
        <v>4810</v>
      </c>
      <c r="N1283">
        <f t="shared" si="293"/>
        <v>4804</v>
      </c>
      <c r="O1283" s="173">
        <f t="shared" si="294"/>
        <v>4755.666666666667</v>
      </c>
      <c r="P1283" s="547">
        <f t="shared" si="295"/>
        <v>32.66666666666697</v>
      </c>
      <c r="Q1283" s="548">
        <f t="shared" si="296"/>
        <v>6.8514699199497264E-3</v>
      </c>
      <c r="R1283" s="548">
        <f>SUM(Q1280:Q1283)</f>
        <v>1.2060247417486E-2</v>
      </c>
    </row>
    <row r="1284" spans="1:18" x14ac:dyDescent="0.2">
      <c r="B1284" t="s">
        <v>287</v>
      </c>
      <c r="C1284">
        <f t="shared" si="293"/>
        <v>4780</v>
      </c>
      <c r="D1284">
        <f t="shared" si="293"/>
        <v>4815</v>
      </c>
      <c r="E1284">
        <f t="shared" si="293"/>
        <v>4843</v>
      </c>
      <c r="F1284">
        <f t="shared" si="293"/>
        <v>4851</v>
      </c>
      <c r="G1284">
        <f t="shared" si="293"/>
        <v>4883</v>
      </c>
      <c r="H1284">
        <f t="shared" si="293"/>
        <v>4792</v>
      </c>
      <c r="I1284">
        <f t="shared" si="293"/>
        <v>4842</v>
      </c>
      <c r="J1284">
        <f t="shared" si="293"/>
        <v>4977</v>
      </c>
      <c r="K1284">
        <f t="shared" si="293"/>
        <v>4949</v>
      </c>
      <c r="L1284">
        <f t="shared" si="293"/>
        <v>4956</v>
      </c>
      <c r="M1284">
        <f t="shared" si="293"/>
        <v>5017</v>
      </c>
      <c r="N1284">
        <f t="shared" si="293"/>
        <v>4991</v>
      </c>
      <c r="O1284" s="173">
        <f t="shared" si="294"/>
        <v>4891.333333333333</v>
      </c>
      <c r="P1284" s="547">
        <f t="shared" si="295"/>
        <v>87.33333333333303</v>
      </c>
      <c r="Q1284" s="548">
        <f t="shared" si="296"/>
        <v>1.8364056914558006E-2</v>
      </c>
      <c r="R1284" s="548">
        <f>SUM(Q1280:Q1284)</f>
        <v>3.0424304332044006E-2</v>
      </c>
    </row>
    <row r="1285" spans="1:18" x14ac:dyDescent="0.2">
      <c r="B1285" t="s">
        <v>297</v>
      </c>
      <c r="C1285">
        <f t="shared" si="293"/>
        <v>5030</v>
      </c>
      <c r="D1285">
        <f t="shared" si="293"/>
        <v>5070</v>
      </c>
      <c r="E1285">
        <f t="shared" si="293"/>
        <v>5041</v>
      </c>
      <c r="F1285">
        <f t="shared" si="293"/>
        <v>5085</v>
      </c>
      <c r="G1285">
        <f t="shared" si="293"/>
        <v>5067</v>
      </c>
      <c r="H1285">
        <f t="shared" si="293"/>
        <v>5102</v>
      </c>
      <c r="I1285">
        <f t="shared" si="293"/>
        <v>5086</v>
      </c>
      <c r="J1285">
        <f t="shared" si="293"/>
        <v>5164</v>
      </c>
      <c r="K1285">
        <f t="shared" si="293"/>
        <v>5141</v>
      </c>
      <c r="L1285">
        <f t="shared" si="293"/>
        <v>5196</v>
      </c>
      <c r="M1285">
        <f t="shared" si="293"/>
        <v>5262</v>
      </c>
      <c r="N1285">
        <f t="shared" si="293"/>
        <v>5272</v>
      </c>
      <c r="O1285" s="173">
        <f t="shared" si="294"/>
        <v>5126.333333333333</v>
      </c>
      <c r="P1285" s="547">
        <f t="shared" si="295"/>
        <v>135.33333333333303</v>
      </c>
      <c r="Q1285" s="548">
        <f t="shared" si="296"/>
        <v>2.7667984189723261E-2</v>
      </c>
      <c r="R1285" s="548">
        <f>SUM(Q1280:Q1285)</f>
        <v>5.8092288521767267E-2</v>
      </c>
    </row>
    <row r="1286" spans="1:18" x14ac:dyDescent="0.2">
      <c r="B1286" t="s">
        <v>300</v>
      </c>
      <c r="C1286">
        <f t="shared" si="293"/>
        <v>5300</v>
      </c>
      <c r="D1286">
        <f t="shared" si="293"/>
        <v>5270</v>
      </c>
      <c r="E1286">
        <f t="shared" si="293"/>
        <v>5214</v>
      </c>
      <c r="F1286">
        <f t="shared" si="293"/>
        <v>5280</v>
      </c>
      <c r="G1286">
        <f t="shared" si="293"/>
        <v>5289</v>
      </c>
      <c r="H1286">
        <f t="shared" si="293"/>
        <v>5344</v>
      </c>
      <c r="I1286">
        <f t="shared" si="293"/>
        <v>5315</v>
      </c>
      <c r="J1286">
        <f t="shared" si="293"/>
        <v>5326</v>
      </c>
      <c r="K1286">
        <f t="shared" si="293"/>
        <v>5260</v>
      </c>
      <c r="L1286">
        <f t="shared" si="293"/>
        <v>5801</v>
      </c>
      <c r="M1286">
        <f t="shared" si="293"/>
        <v>5765</v>
      </c>
      <c r="N1286">
        <f t="shared" si="293"/>
        <v>5296</v>
      </c>
      <c r="O1286" s="173">
        <f t="shared" si="294"/>
        <v>5371.666666666667</v>
      </c>
      <c r="P1286" s="547">
        <f t="shared" si="295"/>
        <v>99.66666666666697</v>
      </c>
      <c r="Q1286" s="548">
        <f t="shared" si="296"/>
        <v>1.9442096365173349E-2</v>
      </c>
      <c r="R1286" s="548">
        <f t="shared" ref="R1286:R1291" si="297">SUM(Q1280:Q1286)</f>
        <v>7.7534384886940616E-2</v>
      </c>
    </row>
    <row r="1287" spans="1:18" x14ac:dyDescent="0.2">
      <c r="B1287" t="s">
        <v>301</v>
      </c>
      <c r="C1287">
        <f t="shared" si="293"/>
        <v>5324</v>
      </c>
      <c r="D1287">
        <f t="shared" si="293"/>
        <v>5413</v>
      </c>
      <c r="E1287">
        <f t="shared" si="293"/>
        <v>5738</v>
      </c>
      <c r="F1287">
        <f t="shared" si="293"/>
        <v>5475</v>
      </c>
      <c r="G1287">
        <f t="shared" si="293"/>
        <v>5231</v>
      </c>
      <c r="H1287">
        <f t="shared" si="293"/>
        <v>5265</v>
      </c>
      <c r="I1287">
        <f t="shared" si="293"/>
        <v>5442</v>
      </c>
      <c r="J1287">
        <f t="shared" si="293"/>
        <v>5402</v>
      </c>
      <c r="K1287">
        <f t="shared" si="293"/>
        <v>5364</v>
      </c>
      <c r="L1287">
        <f t="shared" si="293"/>
        <v>5409</v>
      </c>
      <c r="M1287">
        <f t="shared" si="293"/>
        <v>5790</v>
      </c>
      <c r="N1287">
        <f t="shared" si="293"/>
        <v>5890</v>
      </c>
      <c r="O1287" s="173">
        <f t="shared" si="294"/>
        <v>5478.583333333333</v>
      </c>
      <c r="P1287" s="547">
        <f>SUM(O1287-O1286)</f>
        <v>106.91666666666606</v>
      </c>
      <c r="Q1287" s="548">
        <f t="shared" si="296"/>
        <v>1.9903816320198459E-2</v>
      </c>
      <c r="R1287" s="548">
        <f t="shared" si="297"/>
        <v>0.10181538052311213</v>
      </c>
    </row>
    <row r="1288" spans="1:18" x14ac:dyDescent="0.2">
      <c r="B1288" t="s">
        <v>302</v>
      </c>
      <c r="C1288">
        <f t="shared" si="293"/>
        <v>5636</v>
      </c>
      <c r="D1288">
        <f t="shared" si="293"/>
        <v>5620</v>
      </c>
      <c r="E1288">
        <f t="shared" si="293"/>
        <v>5623</v>
      </c>
      <c r="F1288">
        <f t="shared" si="293"/>
        <v>5600</v>
      </c>
      <c r="G1288">
        <f t="shared" si="293"/>
        <v>5642</v>
      </c>
      <c r="H1288">
        <f t="shared" si="293"/>
        <v>5678</v>
      </c>
      <c r="I1288">
        <f t="shared" si="293"/>
        <v>5668</v>
      </c>
      <c r="J1288">
        <f t="shared" si="293"/>
        <v>5682</v>
      </c>
      <c r="K1288">
        <f t="shared" si="293"/>
        <v>5707</v>
      </c>
      <c r="L1288">
        <f t="shared" si="293"/>
        <v>5751</v>
      </c>
      <c r="M1288">
        <f t="shared" si="293"/>
        <v>5791</v>
      </c>
      <c r="N1288">
        <f t="shared" si="293"/>
        <v>5813</v>
      </c>
      <c r="O1288" s="173">
        <f>SUM(C1288:N1288)/12</f>
        <v>5684.25</v>
      </c>
      <c r="P1288" s="547">
        <f>SUM(O1288-O1287)</f>
        <v>205.66666666666697</v>
      </c>
      <c r="Q1288" s="548">
        <f t="shared" si="296"/>
        <v>3.7540118339595148E-2</v>
      </c>
      <c r="R1288" s="548">
        <f t="shared" si="297"/>
        <v>0.1074632498903057</v>
      </c>
    </row>
    <row r="1289" spans="1:18" x14ac:dyDescent="0.2">
      <c r="B1289" t="s">
        <v>347</v>
      </c>
      <c r="C1289">
        <f t="shared" si="293"/>
        <v>5792</v>
      </c>
      <c r="D1289">
        <f t="shared" si="293"/>
        <v>5837</v>
      </c>
      <c r="E1289">
        <f t="shared" si="293"/>
        <v>5783</v>
      </c>
      <c r="F1289">
        <f t="shared" si="293"/>
        <v>5776</v>
      </c>
      <c r="G1289">
        <f t="shared" si="293"/>
        <v>5691</v>
      </c>
      <c r="H1289">
        <f t="shared" si="293"/>
        <v>5868</v>
      </c>
      <c r="I1289">
        <f t="shared" si="293"/>
        <v>5812</v>
      </c>
      <c r="J1289">
        <f t="shared" si="293"/>
        <v>5855</v>
      </c>
      <c r="K1289">
        <f t="shared" si="293"/>
        <v>5867</v>
      </c>
      <c r="L1289">
        <f t="shared" si="293"/>
        <v>5881</v>
      </c>
      <c r="M1289">
        <f t="shared" si="293"/>
        <v>5824</v>
      </c>
      <c r="N1289">
        <f t="shared" si="293"/>
        <v>5846</v>
      </c>
      <c r="O1289" s="173">
        <f>SUM(C1289:N1289)/12</f>
        <v>5819.333333333333</v>
      </c>
      <c r="P1289" s="547">
        <f>SUM(O1289-O1288)</f>
        <v>135.08333333333303</v>
      </c>
      <c r="Q1289" s="548">
        <f>SUM(P1289/O1288)</f>
        <v>2.3764495462608618E-2</v>
      </c>
      <c r="R1289" s="548">
        <f t="shared" si="297"/>
        <v>0.15353403751180655</v>
      </c>
    </row>
    <row r="1290" spans="1:18" x14ac:dyDescent="0.2">
      <c r="B1290" t="s">
        <v>370</v>
      </c>
      <c r="C1290">
        <f t="shared" si="293"/>
        <v>5909</v>
      </c>
      <c r="D1290">
        <f t="shared" si="293"/>
        <v>5921</v>
      </c>
      <c r="E1290">
        <f t="shared" si="293"/>
        <v>5881</v>
      </c>
      <c r="F1290">
        <f t="shared" si="293"/>
        <v>5938</v>
      </c>
      <c r="G1290">
        <f t="shared" si="293"/>
        <v>5963</v>
      </c>
      <c r="H1290">
        <f t="shared" si="293"/>
        <v>5986</v>
      </c>
      <c r="I1290">
        <f t="shared" si="293"/>
        <v>5927</v>
      </c>
      <c r="J1290">
        <f t="shared" si="293"/>
        <v>5974</v>
      </c>
      <c r="K1290">
        <f t="shared" si="293"/>
        <v>6009</v>
      </c>
      <c r="L1290">
        <f t="shared" si="293"/>
        <v>6021</v>
      </c>
      <c r="M1290">
        <f t="shared" si="293"/>
        <v>5978</v>
      </c>
      <c r="N1290">
        <f t="shared" si="293"/>
        <v>5883</v>
      </c>
      <c r="O1290" s="173">
        <f>SUM(C1290:N1290)/12</f>
        <v>5949.166666666667</v>
      </c>
      <c r="P1290" s="547">
        <f>SUM(O1290-O1289)</f>
        <v>129.83333333333394</v>
      </c>
      <c r="Q1290" s="548">
        <f>SUM(P1290/O1289)</f>
        <v>2.2310688509565919E-2</v>
      </c>
      <c r="R1290" s="548">
        <f t="shared" si="297"/>
        <v>0.16899325610142274</v>
      </c>
    </row>
    <row r="1291" spans="1:18" x14ac:dyDescent="0.2">
      <c r="A1291" s="550"/>
      <c r="B1291" s="551" t="s">
        <v>469</v>
      </c>
      <c r="C1291" s="550">
        <f t="shared" si="293"/>
        <v>5999</v>
      </c>
      <c r="D1291" s="550">
        <f t="shared" si="293"/>
        <v>6010</v>
      </c>
      <c r="E1291" s="550">
        <f t="shared" si="293"/>
        <v>6006</v>
      </c>
      <c r="F1291" s="550">
        <f t="shared" si="293"/>
        <v>6022</v>
      </c>
      <c r="G1291" s="550">
        <f t="shared" si="293"/>
        <v>6027</v>
      </c>
      <c r="H1291" s="550">
        <f t="shared" si="293"/>
        <v>6072</v>
      </c>
      <c r="I1291" s="550">
        <f t="shared" si="293"/>
        <v>6094</v>
      </c>
      <c r="J1291" s="550">
        <f t="shared" si="293"/>
        <v>6090</v>
      </c>
      <c r="K1291" s="550">
        <f t="shared" si="293"/>
        <v>6044</v>
      </c>
      <c r="L1291" s="550">
        <f t="shared" si="293"/>
        <v>6053</v>
      </c>
      <c r="M1291" s="550">
        <f t="shared" si="293"/>
        <v>6097</v>
      </c>
      <c r="N1291" s="550">
        <f t="shared" si="293"/>
        <v>6122</v>
      </c>
      <c r="O1291" s="552">
        <f>SUM(C1291:N1291)/12</f>
        <v>6053</v>
      </c>
      <c r="P1291" s="547">
        <f>SUM(O1291-O1290)</f>
        <v>103.83333333333303</v>
      </c>
      <c r="Q1291" s="548">
        <f>SUM(P1291/O1290)</f>
        <v>1.7453424849418635E-2</v>
      </c>
      <c r="R1291" s="548">
        <f t="shared" si="297"/>
        <v>0.16808262403628338</v>
      </c>
    </row>
    <row r="1293" spans="1:18" x14ac:dyDescent="0.2">
      <c r="A1293" s="557" t="s">
        <v>488</v>
      </c>
    </row>
  </sheetData>
  <phoneticPr fontId="65" type="noConversion"/>
  <printOptions horizontalCentered="1"/>
  <pageMargins left="0" right="0" top="1" bottom="1" header="0.33" footer="0.5"/>
  <pageSetup scale="83" fitToHeight="0"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Y437"/>
  <sheetViews>
    <sheetView showGridLines="0" zoomScale="85" zoomScaleNormal="85" workbookViewId="0">
      <selection activeCell="A3" sqref="A3"/>
    </sheetView>
  </sheetViews>
  <sheetFormatPr defaultRowHeight="12.75" x14ac:dyDescent="0.2"/>
  <cols>
    <col min="1" max="1" width="28" customWidth="1"/>
    <col min="2" max="2" width="10.28515625" customWidth="1"/>
    <col min="3" max="3" width="7.85546875" customWidth="1"/>
    <col min="4" max="4" width="8.5703125" bestFit="1" customWidth="1"/>
    <col min="5" max="5" width="8.28515625" bestFit="1"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s>
  <sheetData>
    <row r="1" spans="1:25" ht="13.5" thickBot="1" x14ac:dyDescent="0.25"/>
    <row r="2" spans="1:25" ht="15" customHeight="1" thickBot="1" x14ac:dyDescent="0.3">
      <c r="A2" s="777" t="s">
        <v>699</v>
      </c>
      <c r="B2" s="1156" t="s">
        <v>155</v>
      </c>
      <c r="C2" s="1157"/>
      <c r="D2" s="1157"/>
      <c r="E2" s="1157"/>
      <c r="F2" s="1157"/>
      <c r="G2" s="1157"/>
      <c r="H2" s="1157"/>
      <c r="I2" s="1157"/>
      <c r="J2" s="1157"/>
      <c r="K2" s="1157"/>
      <c r="L2" s="1157"/>
      <c r="M2" s="1157"/>
      <c r="N2" s="1157"/>
      <c r="O2" s="1157"/>
      <c r="P2" s="1157"/>
      <c r="Q2" s="1157"/>
      <c r="R2" s="1157"/>
      <c r="S2" s="1157"/>
      <c r="T2" s="1157"/>
      <c r="U2" s="1157"/>
      <c r="V2" s="39"/>
      <c r="W2" s="39"/>
      <c r="X2" s="92"/>
      <c r="Y2" s="13"/>
    </row>
    <row r="3" spans="1:25" ht="15" customHeight="1" x14ac:dyDescent="0.25">
      <c r="A3" s="56"/>
      <c r="B3" s="40" t="s">
        <v>696</v>
      </c>
      <c r="C3" s="1165" t="s">
        <v>697</v>
      </c>
      <c r="D3" s="57"/>
      <c r="E3" s="58"/>
      <c r="F3" s="58"/>
      <c r="G3" s="1158" t="s">
        <v>265</v>
      </c>
      <c r="H3" s="1172" t="s">
        <v>285</v>
      </c>
      <c r="I3" s="58"/>
      <c r="J3" s="58"/>
      <c r="K3" s="58"/>
      <c r="L3" s="1158" t="s">
        <v>265</v>
      </c>
      <c r="M3" s="1172" t="s">
        <v>285</v>
      </c>
      <c r="N3" s="58"/>
      <c r="O3" s="58"/>
      <c r="P3" s="58"/>
      <c r="Q3" s="1158" t="s">
        <v>265</v>
      </c>
      <c r="R3" s="1160" t="s">
        <v>285</v>
      </c>
      <c r="S3" s="58"/>
      <c r="T3" s="58"/>
      <c r="U3" s="59"/>
      <c r="V3" s="1158" t="s">
        <v>265</v>
      </c>
      <c r="W3" s="1160" t="s">
        <v>285</v>
      </c>
      <c r="X3" s="1162" t="s">
        <v>156</v>
      </c>
      <c r="Y3" s="1170" t="s">
        <v>157</v>
      </c>
    </row>
    <row r="4" spans="1:25" ht="15" customHeight="1" thickBot="1" x14ac:dyDescent="0.3">
      <c r="A4" s="47" t="s">
        <v>56</v>
      </c>
      <c r="B4" s="41" t="s">
        <v>698</v>
      </c>
      <c r="C4" s="1164"/>
      <c r="D4" s="60">
        <v>42186</v>
      </c>
      <c r="E4" s="61">
        <v>42217</v>
      </c>
      <c r="F4" s="61">
        <v>42248</v>
      </c>
      <c r="G4" s="1159"/>
      <c r="H4" s="1173"/>
      <c r="I4" s="61">
        <v>42278</v>
      </c>
      <c r="J4" s="61">
        <v>42309</v>
      </c>
      <c r="K4" s="61">
        <v>42339</v>
      </c>
      <c r="L4" s="1159"/>
      <c r="M4" s="1173"/>
      <c r="N4" s="61">
        <v>42370</v>
      </c>
      <c r="O4" s="61">
        <v>42401</v>
      </c>
      <c r="P4" s="61">
        <v>42430</v>
      </c>
      <c r="Q4" s="1159"/>
      <c r="R4" s="1161"/>
      <c r="S4" s="61">
        <v>42461</v>
      </c>
      <c r="T4" s="61">
        <v>42491</v>
      </c>
      <c r="U4" s="62">
        <v>42522</v>
      </c>
      <c r="V4" s="1159"/>
      <c r="W4" s="1161"/>
      <c r="X4" s="1163"/>
      <c r="Y4" s="1171"/>
    </row>
    <row r="5" spans="1:25" ht="15" customHeight="1" thickBot="1" x14ac:dyDescent="0.3">
      <c r="A5" s="48" t="s">
        <v>317</v>
      </c>
      <c r="B5" s="42">
        <v>863</v>
      </c>
      <c r="C5" s="42">
        <v>829</v>
      </c>
      <c r="D5" s="125">
        <v>844.8</v>
      </c>
      <c r="E5" s="125">
        <v>857.9</v>
      </c>
      <c r="F5" s="117">
        <v>798.3</v>
      </c>
      <c r="G5" s="63">
        <f t="shared" ref="G5:G14" si="0">SUM(D5:F5)/3</f>
        <v>833.66666666666663</v>
      </c>
      <c r="H5" s="108">
        <f>G5*92</f>
        <v>76697.333333333328</v>
      </c>
      <c r="I5" s="117">
        <v>832.8</v>
      </c>
      <c r="J5" s="117">
        <v>871</v>
      </c>
      <c r="K5" s="117">
        <v>857.8</v>
      </c>
      <c r="L5" s="63">
        <f>SUM(I5:K5)/3</f>
        <v>853.86666666666667</v>
      </c>
      <c r="M5" s="108">
        <f>L5*92</f>
        <v>78555.733333333337</v>
      </c>
      <c r="N5" s="117">
        <v>842</v>
      </c>
      <c r="O5" s="85">
        <v>819.6</v>
      </c>
      <c r="P5" s="85">
        <v>797.3</v>
      </c>
      <c r="Q5" s="63">
        <f>SUM(N5:P5)/3</f>
        <v>819.63333333333321</v>
      </c>
      <c r="R5" s="108">
        <f>Q5*90</f>
        <v>73766.999999999985</v>
      </c>
      <c r="S5" s="117">
        <v>806.6</v>
      </c>
      <c r="T5" s="85">
        <v>770.6</v>
      </c>
      <c r="U5" s="135">
        <v>811</v>
      </c>
      <c r="V5" s="63">
        <f>SUM(S5:U5)/3</f>
        <v>796.06666666666661</v>
      </c>
      <c r="W5" s="111">
        <f>V5*91</f>
        <v>72442.066666666666</v>
      </c>
      <c r="X5" s="64">
        <f>SUM(D5+E5+F5+I5+J5+K5+N5+O5+P5+S5+T5+U5)/12</f>
        <v>825.80833333333339</v>
      </c>
      <c r="Y5" s="65">
        <f>X5*365</f>
        <v>301420.04166666669</v>
      </c>
    </row>
    <row r="6" spans="1:25" ht="15" customHeight="1" thickBot="1" x14ac:dyDescent="0.3">
      <c r="A6" s="49" t="s">
        <v>140</v>
      </c>
      <c r="B6" s="42">
        <v>128</v>
      </c>
      <c r="C6" s="42">
        <v>126</v>
      </c>
      <c r="D6" s="126">
        <v>103.5</v>
      </c>
      <c r="E6" s="126">
        <v>107.7</v>
      </c>
      <c r="F6" s="118">
        <v>116.4</v>
      </c>
      <c r="G6" s="63">
        <f t="shared" si="0"/>
        <v>109.2</v>
      </c>
      <c r="H6" s="108">
        <f>G6*92</f>
        <v>10046.4</v>
      </c>
      <c r="I6" s="118">
        <v>120.5</v>
      </c>
      <c r="J6" s="118">
        <v>118.1</v>
      </c>
      <c r="K6" s="118">
        <v>92.5</v>
      </c>
      <c r="L6" s="63">
        <f>SUM(I6:K6)/3</f>
        <v>110.36666666666667</v>
      </c>
      <c r="M6" s="108">
        <f>L6*92</f>
        <v>10153.733333333334</v>
      </c>
      <c r="N6" s="118">
        <v>98.8</v>
      </c>
      <c r="O6" s="86">
        <v>110.4</v>
      </c>
      <c r="P6" s="86">
        <v>123</v>
      </c>
      <c r="Q6" s="63">
        <f>SUM(N6:P6)/3</f>
        <v>110.73333333333333</v>
      </c>
      <c r="R6" s="108">
        <f>Q6*90</f>
        <v>9966</v>
      </c>
      <c r="S6" s="118">
        <v>119.4</v>
      </c>
      <c r="T6" s="86">
        <v>116.4</v>
      </c>
      <c r="U6" s="89">
        <v>108.6</v>
      </c>
      <c r="V6" s="63">
        <f>SUM(S6:U6)/3</f>
        <v>114.8</v>
      </c>
      <c r="W6" s="111">
        <f>V6*91</f>
        <v>10446.799999999999</v>
      </c>
      <c r="X6" s="64">
        <f t="shared" ref="X6:X17" si="1">SUM(D6+E6+F6+I6+J6+K6+N6+O6+P6+S6+T6+U6)/12</f>
        <v>111.27499999999999</v>
      </c>
      <c r="Y6" s="65">
        <f t="shared" ref="Y6:Y18" si="2">X6*365</f>
        <v>40615.375</v>
      </c>
    </row>
    <row r="7" spans="1:25" ht="15" customHeight="1" thickBot="1" x14ac:dyDescent="0.3">
      <c r="A7" s="50" t="s">
        <v>349</v>
      </c>
      <c r="B7" s="42">
        <v>259</v>
      </c>
      <c r="C7" s="42">
        <v>248</v>
      </c>
      <c r="D7" s="4">
        <v>265.7</v>
      </c>
      <c r="E7" s="4">
        <v>269.7</v>
      </c>
      <c r="F7" s="3">
        <v>255.4</v>
      </c>
      <c r="G7" s="63">
        <f t="shared" si="0"/>
        <v>263.59999999999997</v>
      </c>
      <c r="H7" s="108">
        <f>G7*92</f>
        <v>24251.199999999997</v>
      </c>
      <c r="I7" s="3">
        <v>265.7</v>
      </c>
      <c r="J7" s="3">
        <v>266.7</v>
      </c>
      <c r="K7" s="3">
        <v>262.3</v>
      </c>
      <c r="L7" s="63">
        <f>SUM(I7:K7)/3</f>
        <v>264.90000000000003</v>
      </c>
      <c r="M7" s="108">
        <f>L7*92</f>
        <v>24370.800000000003</v>
      </c>
      <c r="N7" s="3">
        <v>268.89999999999998</v>
      </c>
      <c r="O7" s="87">
        <v>274.10000000000002</v>
      </c>
      <c r="P7" s="87">
        <v>265.8</v>
      </c>
      <c r="Q7" s="63">
        <f>SUM(N7:P7)/3</f>
        <v>269.59999999999997</v>
      </c>
      <c r="R7" s="108">
        <f>Q7*90</f>
        <v>24263.999999999996</v>
      </c>
      <c r="S7" s="3">
        <v>283.39999999999998</v>
      </c>
      <c r="T7" s="87">
        <v>293.3</v>
      </c>
      <c r="U7" s="90">
        <v>281.10000000000002</v>
      </c>
      <c r="V7" s="63">
        <f>SUM(S7:U7)/3</f>
        <v>285.93333333333334</v>
      </c>
      <c r="W7" s="111">
        <f>V7*91</f>
        <v>26019.933333333334</v>
      </c>
      <c r="X7" s="64">
        <f t="shared" si="1"/>
        <v>271.00833333333338</v>
      </c>
      <c r="Y7" s="65">
        <f t="shared" si="2"/>
        <v>98918.041666666686</v>
      </c>
    </row>
    <row r="8" spans="1:25" ht="15" customHeight="1" thickBot="1" x14ac:dyDescent="0.3">
      <c r="A8" s="50" t="s">
        <v>478</v>
      </c>
      <c r="B8" s="42">
        <v>1472</v>
      </c>
      <c r="C8" s="42">
        <v>1408</v>
      </c>
      <c r="D8" s="4">
        <v>1322.1</v>
      </c>
      <c r="E8" s="4">
        <v>1316.7</v>
      </c>
      <c r="F8" s="3">
        <v>1359.4</v>
      </c>
      <c r="G8" s="63">
        <f t="shared" si="0"/>
        <v>1332.7333333333333</v>
      </c>
      <c r="H8" s="108">
        <f>G8*92</f>
        <v>122611.46666666667</v>
      </c>
      <c r="I8" s="3">
        <v>1285</v>
      </c>
      <c r="J8" s="3">
        <v>1290.5999999999999</v>
      </c>
      <c r="K8" s="3">
        <v>1258.9000000000001</v>
      </c>
      <c r="L8" s="63">
        <f>SUM(I8:K8)/3</f>
        <v>1278.1666666666667</v>
      </c>
      <c r="M8" s="108">
        <f>L8*92</f>
        <v>117591.33333333334</v>
      </c>
      <c r="N8" s="3">
        <v>1219.4000000000001</v>
      </c>
      <c r="O8" s="87">
        <v>1263.4000000000001</v>
      </c>
      <c r="P8" s="87">
        <v>1224</v>
      </c>
      <c r="Q8" s="63">
        <f>SUM(N8:P8)/3</f>
        <v>1235.6000000000001</v>
      </c>
      <c r="R8" s="108">
        <f>Q8*90</f>
        <v>111204.00000000001</v>
      </c>
      <c r="S8" s="3">
        <v>1220.8</v>
      </c>
      <c r="T8" s="87">
        <v>1210</v>
      </c>
      <c r="U8" s="90">
        <v>1127.5</v>
      </c>
      <c r="V8" s="63">
        <f>SUM(S8:U8)/3</f>
        <v>1186.1000000000001</v>
      </c>
      <c r="W8" s="111">
        <f>V8*91</f>
        <v>107935.1</v>
      </c>
      <c r="X8" s="64">
        <f t="shared" si="1"/>
        <v>1258.1499999999999</v>
      </c>
      <c r="Y8" s="65">
        <f t="shared" si="2"/>
        <v>459224.74999999994</v>
      </c>
    </row>
    <row r="9" spans="1:25" ht="15" customHeight="1" thickBot="1" x14ac:dyDescent="0.3">
      <c r="A9" s="51" t="s">
        <v>282</v>
      </c>
      <c r="B9" s="42">
        <v>404</v>
      </c>
      <c r="C9" s="42">
        <v>395</v>
      </c>
      <c r="D9" s="4">
        <v>407.6</v>
      </c>
      <c r="E9" s="4">
        <v>397.9</v>
      </c>
      <c r="F9" s="3">
        <v>408.3</v>
      </c>
      <c r="G9" s="63">
        <f t="shared" si="0"/>
        <v>404.59999999999997</v>
      </c>
      <c r="H9" s="108">
        <f t="shared" ref="H9:H18" si="3">G9*92</f>
        <v>37223.199999999997</v>
      </c>
      <c r="I9" s="3">
        <v>384</v>
      </c>
      <c r="J9" s="3">
        <v>363.6</v>
      </c>
      <c r="K9" s="3">
        <v>346</v>
      </c>
      <c r="L9" s="63">
        <f t="shared" ref="L9:L19" si="4">SUM(I9:K9)/3</f>
        <v>364.5333333333333</v>
      </c>
      <c r="M9" s="108">
        <f t="shared" ref="M9:M19" si="5">L9*92</f>
        <v>33537.066666666666</v>
      </c>
      <c r="N9" s="3">
        <v>349.5</v>
      </c>
      <c r="O9" s="87">
        <v>365.4</v>
      </c>
      <c r="P9" s="87">
        <v>365.5</v>
      </c>
      <c r="Q9" s="63">
        <f t="shared" ref="Q9:Q19" si="6">SUM(N9:P9)/3</f>
        <v>360.13333333333338</v>
      </c>
      <c r="R9" s="108">
        <f t="shared" ref="R9:R19" si="7">Q9*90</f>
        <v>32412.000000000004</v>
      </c>
      <c r="S9" s="3">
        <v>360.5</v>
      </c>
      <c r="T9" s="87">
        <v>359.7</v>
      </c>
      <c r="U9" s="90">
        <v>360.1</v>
      </c>
      <c r="V9" s="63">
        <f t="shared" ref="V9:V19" si="8">SUM(S9:U9)/3</f>
        <v>360.10000000000008</v>
      </c>
      <c r="W9" s="111">
        <f t="shared" ref="W9:W19" si="9">V9*91</f>
        <v>32769.100000000006</v>
      </c>
      <c r="X9" s="64">
        <f t="shared" si="1"/>
        <v>372.3416666666667</v>
      </c>
      <c r="Y9" s="65">
        <f t="shared" si="2"/>
        <v>135904.70833333334</v>
      </c>
    </row>
    <row r="10" spans="1:25" ht="15" customHeight="1" thickBot="1" x14ac:dyDescent="0.3">
      <c r="A10" s="50" t="s">
        <v>16</v>
      </c>
      <c r="B10" s="42">
        <v>58</v>
      </c>
      <c r="C10" s="42">
        <v>52</v>
      </c>
      <c r="D10" s="4">
        <v>57.1</v>
      </c>
      <c r="E10" s="4">
        <v>59.2</v>
      </c>
      <c r="F10" s="3">
        <v>56.4</v>
      </c>
      <c r="G10" s="63">
        <f t="shared" si="0"/>
        <v>57.56666666666667</v>
      </c>
      <c r="H10" s="108">
        <f t="shared" si="3"/>
        <v>5296.1333333333332</v>
      </c>
      <c r="I10" s="3">
        <v>57.8</v>
      </c>
      <c r="J10" s="3">
        <v>49.9</v>
      </c>
      <c r="K10" s="3">
        <v>46.7</v>
      </c>
      <c r="L10" s="63">
        <f t="shared" si="4"/>
        <v>51.466666666666661</v>
      </c>
      <c r="M10" s="108">
        <f t="shared" si="5"/>
        <v>4734.9333333333325</v>
      </c>
      <c r="N10" s="3">
        <v>47.7</v>
      </c>
      <c r="O10" s="87">
        <v>54.7</v>
      </c>
      <c r="P10" s="87">
        <v>55.7</v>
      </c>
      <c r="Q10" s="63">
        <f t="shared" si="6"/>
        <v>52.70000000000001</v>
      </c>
      <c r="R10" s="108">
        <f t="shared" si="7"/>
        <v>4743.0000000000009</v>
      </c>
      <c r="S10" s="3">
        <v>55.3</v>
      </c>
      <c r="T10" s="87">
        <v>51</v>
      </c>
      <c r="U10" s="90">
        <v>51.1</v>
      </c>
      <c r="V10" s="63">
        <f t="shared" si="8"/>
        <v>52.466666666666669</v>
      </c>
      <c r="W10" s="111">
        <f t="shared" si="9"/>
        <v>4774.4666666666672</v>
      </c>
      <c r="X10" s="64">
        <f t="shared" si="1"/>
        <v>53.54999999999999</v>
      </c>
      <c r="Y10" s="65">
        <f t="shared" si="2"/>
        <v>19545.749999999996</v>
      </c>
    </row>
    <row r="11" spans="1:25" ht="15" customHeight="1" thickBot="1" x14ac:dyDescent="0.3">
      <c r="A11" s="50" t="s">
        <v>17</v>
      </c>
      <c r="B11" s="42">
        <v>232</v>
      </c>
      <c r="C11" s="42">
        <v>226</v>
      </c>
      <c r="D11" s="4">
        <v>232.6</v>
      </c>
      <c r="E11" s="4">
        <v>234.1</v>
      </c>
      <c r="F11" s="3">
        <v>226.9</v>
      </c>
      <c r="G11" s="63">
        <f t="shared" si="0"/>
        <v>231.20000000000002</v>
      </c>
      <c r="H11" s="108">
        <f t="shared" si="3"/>
        <v>21270.400000000001</v>
      </c>
      <c r="I11" s="3">
        <v>220.9</v>
      </c>
      <c r="J11" s="3">
        <v>229</v>
      </c>
      <c r="K11" s="3">
        <v>227.2</v>
      </c>
      <c r="L11" s="63">
        <f t="shared" si="4"/>
        <v>225.69999999999996</v>
      </c>
      <c r="M11" s="108">
        <f t="shared" si="5"/>
        <v>20764.399999999998</v>
      </c>
      <c r="N11" s="3">
        <v>229.1</v>
      </c>
      <c r="O11" s="87">
        <v>234.4</v>
      </c>
      <c r="P11" s="87">
        <v>224.3</v>
      </c>
      <c r="Q11" s="63">
        <f t="shared" si="6"/>
        <v>229.26666666666665</v>
      </c>
      <c r="R11" s="108">
        <f t="shared" si="7"/>
        <v>20634</v>
      </c>
      <c r="S11" s="3">
        <v>210.7</v>
      </c>
      <c r="T11" s="87">
        <v>206.3</v>
      </c>
      <c r="U11" s="90">
        <v>208.8</v>
      </c>
      <c r="V11" s="63">
        <f t="shared" si="8"/>
        <v>208.6</v>
      </c>
      <c r="W11" s="111">
        <f t="shared" si="9"/>
        <v>18982.599999999999</v>
      </c>
      <c r="X11" s="64">
        <f t="shared" si="1"/>
        <v>223.69166666666669</v>
      </c>
      <c r="Y11" s="65">
        <f t="shared" si="2"/>
        <v>81647.458333333343</v>
      </c>
    </row>
    <row r="12" spans="1:25" ht="15" customHeight="1" thickBot="1" x14ac:dyDescent="0.3">
      <c r="A12" s="50" t="s">
        <v>142</v>
      </c>
      <c r="B12" s="42">
        <v>102</v>
      </c>
      <c r="C12" s="42">
        <v>98</v>
      </c>
      <c r="D12" s="4">
        <v>99.5</v>
      </c>
      <c r="E12" s="4">
        <v>101.7</v>
      </c>
      <c r="F12" s="3">
        <v>100.2</v>
      </c>
      <c r="G12" s="63">
        <f t="shared" si="0"/>
        <v>100.46666666666665</v>
      </c>
      <c r="H12" s="108">
        <f t="shared" si="3"/>
        <v>9242.9333333333325</v>
      </c>
      <c r="I12" s="3">
        <v>102.6</v>
      </c>
      <c r="J12" s="3">
        <v>99.6</v>
      </c>
      <c r="K12" s="3">
        <v>99.3</v>
      </c>
      <c r="L12" s="63">
        <f t="shared" si="4"/>
        <v>100.5</v>
      </c>
      <c r="M12" s="108">
        <f t="shared" si="5"/>
        <v>9246</v>
      </c>
      <c r="N12" s="3">
        <v>104.3</v>
      </c>
      <c r="O12" s="87">
        <v>103.5</v>
      </c>
      <c r="P12" s="87">
        <v>96.3</v>
      </c>
      <c r="Q12" s="63">
        <f t="shared" si="6"/>
        <v>101.36666666666667</v>
      </c>
      <c r="R12" s="108">
        <f t="shared" si="7"/>
        <v>9123</v>
      </c>
      <c r="S12" s="3">
        <v>101.9</v>
      </c>
      <c r="T12" s="87">
        <v>100.3</v>
      </c>
      <c r="U12" s="90">
        <v>95.1</v>
      </c>
      <c r="V12" s="63">
        <f t="shared" si="8"/>
        <v>99.09999999999998</v>
      </c>
      <c r="W12" s="111">
        <f t="shared" si="9"/>
        <v>9018.0999999999985</v>
      </c>
      <c r="X12" s="64">
        <f t="shared" si="1"/>
        <v>100.35833333333331</v>
      </c>
      <c r="Y12" s="65">
        <f t="shared" si="2"/>
        <v>36630.791666666657</v>
      </c>
    </row>
    <row r="13" spans="1:25" ht="15" customHeight="1" thickBot="1" x14ac:dyDescent="0.3">
      <c r="A13" s="51" t="s">
        <v>283</v>
      </c>
      <c r="B13" s="42">
        <f>338+176</f>
        <v>514</v>
      </c>
      <c r="C13" s="42">
        <f>327+176</f>
        <v>503</v>
      </c>
      <c r="D13" s="4">
        <f>300.8+176</f>
        <v>476.8</v>
      </c>
      <c r="E13" s="4">
        <f>311.9+176</f>
        <v>487.9</v>
      </c>
      <c r="F13" s="3">
        <f>322.2+175.7</f>
        <v>497.9</v>
      </c>
      <c r="G13" s="63">
        <f t="shared" si="0"/>
        <v>487.5333333333333</v>
      </c>
      <c r="H13" s="108">
        <f t="shared" si="3"/>
        <v>44853.066666666666</v>
      </c>
      <c r="I13" s="3">
        <f>320.9+176</f>
        <v>496.9</v>
      </c>
      <c r="J13" s="3">
        <f>312.4+176</f>
        <v>488.4</v>
      </c>
      <c r="K13" s="3">
        <f>313.6+175.9</f>
        <v>489.5</v>
      </c>
      <c r="L13" s="63">
        <f t="shared" si="4"/>
        <v>491.59999999999997</v>
      </c>
      <c r="M13" s="108">
        <f t="shared" si="5"/>
        <v>45227.199999999997</v>
      </c>
      <c r="N13" s="3">
        <f>316.5+175.9</f>
        <v>492.4</v>
      </c>
      <c r="O13" s="87">
        <f>325.2+175.8</f>
        <v>501</v>
      </c>
      <c r="P13" s="87">
        <f>323.7+175.9</f>
        <v>499.6</v>
      </c>
      <c r="Q13" s="63">
        <f t="shared" si="6"/>
        <v>497.66666666666669</v>
      </c>
      <c r="R13" s="108">
        <f t="shared" si="7"/>
        <v>44790</v>
      </c>
      <c r="S13" s="3">
        <f>323.7+175.9</f>
        <v>499.6</v>
      </c>
      <c r="T13" s="87">
        <f>323.7+176</f>
        <v>499.7</v>
      </c>
      <c r="U13" s="90">
        <f>316.1+175.8</f>
        <v>491.90000000000003</v>
      </c>
      <c r="V13" s="63">
        <f t="shared" si="8"/>
        <v>497.06666666666666</v>
      </c>
      <c r="W13" s="111">
        <f>V13*91</f>
        <v>45233.066666666666</v>
      </c>
      <c r="X13" s="64">
        <f t="shared" si="1"/>
        <v>493.4666666666667</v>
      </c>
      <c r="Y13" s="65">
        <f t="shared" si="2"/>
        <v>180115.33333333334</v>
      </c>
    </row>
    <row r="14" spans="1:25" ht="15" customHeight="1" thickBot="1" x14ac:dyDescent="0.3">
      <c r="A14" s="50" t="s">
        <v>151</v>
      </c>
      <c r="B14" s="42">
        <v>128</v>
      </c>
      <c r="C14" s="42">
        <v>128</v>
      </c>
      <c r="D14" s="4">
        <v>0</v>
      </c>
      <c r="E14" s="4">
        <v>0</v>
      </c>
      <c r="F14" s="4">
        <v>0</v>
      </c>
      <c r="G14" s="63">
        <f t="shared" si="0"/>
        <v>0</v>
      </c>
      <c r="H14" s="108">
        <f t="shared" si="3"/>
        <v>0</v>
      </c>
      <c r="I14" s="4">
        <v>0</v>
      </c>
      <c r="J14" s="4">
        <v>0</v>
      </c>
      <c r="K14" s="4">
        <v>0</v>
      </c>
      <c r="L14" s="63">
        <f t="shared" si="4"/>
        <v>0</v>
      </c>
      <c r="M14" s="108">
        <f t="shared" si="5"/>
        <v>0</v>
      </c>
      <c r="N14" s="4">
        <v>0</v>
      </c>
      <c r="O14" s="4">
        <v>0</v>
      </c>
      <c r="P14" s="4">
        <v>0</v>
      </c>
      <c r="Q14" s="63">
        <f t="shared" si="6"/>
        <v>0</v>
      </c>
      <c r="R14" s="108">
        <f t="shared" si="7"/>
        <v>0</v>
      </c>
      <c r="S14" s="4">
        <v>0</v>
      </c>
      <c r="T14" s="4">
        <v>0</v>
      </c>
      <c r="U14" s="90">
        <v>48</v>
      </c>
      <c r="V14" s="63">
        <f>SUM(S14:U14)/3</f>
        <v>16</v>
      </c>
      <c r="W14" s="111">
        <f>V14*91</f>
        <v>1456</v>
      </c>
      <c r="X14" s="852">
        <f>SUM(D14+E14+F14+I14+J14+K14+N14+O14+P14+S14+T14+U14)/12</f>
        <v>4</v>
      </c>
      <c r="Y14" s="65">
        <f t="shared" si="2"/>
        <v>1460</v>
      </c>
    </row>
    <row r="15" spans="1:25" ht="15" customHeight="1" thickBot="1" x14ac:dyDescent="0.3">
      <c r="A15" s="49" t="s">
        <v>20</v>
      </c>
      <c r="B15" s="42">
        <v>551</v>
      </c>
      <c r="C15" s="42">
        <v>535</v>
      </c>
      <c r="D15" s="126">
        <v>523.4</v>
      </c>
      <c r="E15" s="126">
        <v>519.20000000000005</v>
      </c>
      <c r="F15" s="118">
        <v>522.79999999999995</v>
      </c>
      <c r="G15" s="63">
        <f>SUM(D15:F15)/3</f>
        <v>521.79999999999995</v>
      </c>
      <c r="H15" s="108">
        <f t="shared" si="3"/>
        <v>48005.599999999999</v>
      </c>
      <c r="I15" s="118">
        <v>515</v>
      </c>
      <c r="J15" s="3">
        <v>505.2</v>
      </c>
      <c r="K15" s="118">
        <v>497.1</v>
      </c>
      <c r="L15" s="63">
        <f t="shared" si="4"/>
        <v>505.76666666666671</v>
      </c>
      <c r="M15" s="111">
        <f t="shared" si="5"/>
        <v>46530.53333333334</v>
      </c>
      <c r="N15" s="3">
        <v>503.1</v>
      </c>
      <c r="O15" s="86">
        <v>511.1</v>
      </c>
      <c r="P15" s="86">
        <v>514.5</v>
      </c>
      <c r="Q15" s="63">
        <f t="shared" si="6"/>
        <v>509.56666666666666</v>
      </c>
      <c r="R15" s="108">
        <f t="shared" si="7"/>
        <v>45861</v>
      </c>
      <c r="S15" s="3">
        <v>514.4</v>
      </c>
      <c r="T15" s="86">
        <v>523.70000000000005</v>
      </c>
      <c r="U15" s="89">
        <v>521.6</v>
      </c>
      <c r="V15" s="63">
        <f t="shared" si="8"/>
        <v>519.9</v>
      </c>
      <c r="W15" s="111">
        <f t="shared" si="9"/>
        <v>47310.9</v>
      </c>
      <c r="X15" s="64">
        <f t="shared" si="1"/>
        <v>514.25833333333333</v>
      </c>
      <c r="Y15" s="65">
        <f t="shared" si="2"/>
        <v>187704.29166666666</v>
      </c>
    </row>
    <row r="16" spans="1:25" ht="15" customHeight="1" thickBot="1" x14ac:dyDescent="0.3">
      <c r="A16" s="51" t="s">
        <v>473</v>
      </c>
      <c r="B16" s="42">
        <f>326+115</f>
        <v>441</v>
      </c>
      <c r="C16" s="42">
        <f>320+110</f>
        <v>430</v>
      </c>
      <c r="D16" s="4">
        <f>332.1+101.6</f>
        <v>433.70000000000005</v>
      </c>
      <c r="E16" s="4">
        <f>340.5+99.6</f>
        <v>440.1</v>
      </c>
      <c r="F16" s="3">
        <f>322.9+102.5</f>
        <v>425.4</v>
      </c>
      <c r="G16" s="63">
        <f>SUM(D16:F16)/3</f>
        <v>433.06666666666666</v>
      </c>
      <c r="H16" s="108">
        <f t="shared" si="3"/>
        <v>39842.133333333331</v>
      </c>
      <c r="I16" s="3">
        <f>309.3+100.4</f>
        <v>409.70000000000005</v>
      </c>
      <c r="J16" s="3">
        <f>295+108.8</f>
        <v>403.8</v>
      </c>
      <c r="K16" s="3">
        <f>279.1+105.3</f>
        <v>384.40000000000003</v>
      </c>
      <c r="L16" s="63">
        <f t="shared" si="4"/>
        <v>399.3</v>
      </c>
      <c r="M16" s="108">
        <f t="shared" si="5"/>
        <v>36735.599999999999</v>
      </c>
      <c r="N16" s="3">
        <f>289.2+108.6</f>
        <v>397.79999999999995</v>
      </c>
      <c r="O16" s="87">
        <f>286.3+106.1</f>
        <v>392.4</v>
      </c>
      <c r="P16" s="87">
        <f>272+106</f>
        <v>378</v>
      </c>
      <c r="Q16" s="63">
        <f t="shared" si="6"/>
        <v>389.39999999999992</v>
      </c>
      <c r="R16" s="108">
        <f t="shared" si="7"/>
        <v>35045.999999999993</v>
      </c>
      <c r="S16" s="3">
        <f>275.3+110.6</f>
        <v>385.9</v>
      </c>
      <c r="T16" s="87">
        <f>280+100.6</f>
        <v>380.6</v>
      </c>
      <c r="U16" s="90">
        <f>278.5+118.4</f>
        <v>396.9</v>
      </c>
      <c r="V16" s="63">
        <f t="shared" si="8"/>
        <v>387.8</v>
      </c>
      <c r="W16" s="111">
        <f t="shared" si="9"/>
        <v>35289.800000000003</v>
      </c>
      <c r="X16" s="64">
        <f t="shared" si="1"/>
        <v>402.39166666666671</v>
      </c>
      <c r="Y16" s="65">
        <f t="shared" si="2"/>
        <v>146872.95833333334</v>
      </c>
    </row>
    <row r="17" spans="1:25" ht="15" customHeight="1" thickBot="1" x14ac:dyDescent="0.3">
      <c r="A17" s="50" t="s">
        <v>143</v>
      </c>
      <c r="B17" s="42">
        <v>200</v>
      </c>
      <c r="C17" s="42">
        <v>189</v>
      </c>
      <c r="D17" s="4">
        <v>171.9</v>
      </c>
      <c r="E17" s="4">
        <v>185.8</v>
      </c>
      <c r="F17" s="3">
        <v>190.7</v>
      </c>
      <c r="G17" s="63">
        <f>SUM(D17:F17)/3</f>
        <v>182.80000000000004</v>
      </c>
      <c r="H17" s="108">
        <f t="shared" si="3"/>
        <v>16817.600000000002</v>
      </c>
      <c r="I17" s="3">
        <v>196.5</v>
      </c>
      <c r="J17" s="3">
        <v>190.2</v>
      </c>
      <c r="K17" s="3">
        <v>187.2</v>
      </c>
      <c r="L17" s="63">
        <f t="shared" si="4"/>
        <v>191.29999999999998</v>
      </c>
      <c r="M17" s="108">
        <f t="shared" si="5"/>
        <v>17599.599999999999</v>
      </c>
      <c r="N17" s="3">
        <v>194.2</v>
      </c>
      <c r="O17" s="87">
        <v>182.8</v>
      </c>
      <c r="P17" s="87">
        <v>180.8</v>
      </c>
      <c r="Q17" s="63">
        <f t="shared" si="6"/>
        <v>185.93333333333331</v>
      </c>
      <c r="R17" s="108">
        <f t="shared" si="7"/>
        <v>16733.999999999996</v>
      </c>
      <c r="S17" s="3">
        <v>176.7</v>
      </c>
      <c r="T17" s="87">
        <v>175.5</v>
      </c>
      <c r="U17" s="90">
        <v>172.1</v>
      </c>
      <c r="V17" s="63">
        <f t="shared" si="8"/>
        <v>174.76666666666665</v>
      </c>
      <c r="W17" s="111">
        <f t="shared" si="9"/>
        <v>15903.766666666665</v>
      </c>
      <c r="X17" s="64">
        <f t="shared" si="1"/>
        <v>183.70000000000002</v>
      </c>
      <c r="Y17" s="65">
        <f t="shared" si="2"/>
        <v>67050.5</v>
      </c>
    </row>
    <row r="18" spans="1:25" ht="15" customHeight="1" thickBot="1" x14ac:dyDescent="0.3">
      <c r="A18" s="50" t="s">
        <v>144</v>
      </c>
      <c r="B18" s="34"/>
      <c r="C18" s="34"/>
      <c r="D18" s="4">
        <v>0</v>
      </c>
      <c r="E18" s="4">
        <v>0</v>
      </c>
      <c r="F18" s="4">
        <v>0</v>
      </c>
      <c r="G18" s="67">
        <f>SUM(D18:F18)/3</f>
        <v>0</v>
      </c>
      <c r="H18" s="108">
        <f t="shared" si="3"/>
        <v>0</v>
      </c>
      <c r="I18" s="4">
        <v>0</v>
      </c>
      <c r="J18" s="4">
        <v>0</v>
      </c>
      <c r="K18" s="4">
        <v>0</v>
      </c>
      <c r="L18" s="67">
        <f t="shared" si="4"/>
        <v>0</v>
      </c>
      <c r="M18" s="108">
        <f t="shared" si="5"/>
        <v>0</v>
      </c>
      <c r="N18" s="4">
        <v>0</v>
      </c>
      <c r="O18" s="4">
        <v>0</v>
      </c>
      <c r="P18" s="4">
        <v>0</v>
      </c>
      <c r="Q18" s="67">
        <f t="shared" si="6"/>
        <v>0</v>
      </c>
      <c r="R18" s="108">
        <f t="shared" si="7"/>
        <v>0</v>
      </c>
      <c r="S18" s="3" t="s">
        <v>115</v>
      </c>
      <c r="T18" s="3" t="s">
        <v>115</v>
      </c>
      <c r="U18" s="4" t="s">
        <v>115</v>
      </c>
      <c r="V18" s="67">
        <f t="shared" si="8"/>
        <v>0</v>
      </c>
      <c r="W18" s="112">
        <f t="shared" si="9"/>
        <v>0</v>
      </c>
      <c r="X18" s="64">
        <v>0</v>
      </c>
      <c r="Y18" s="65">
        <f t="shared" si="2"/>
        <v>0</v>
      </c>
    </row>
    <row r="19" spans="1:25" ht="15" customHeight="1" thickBot="1" x14ac:dyDescent="0.3">
      <c r="A19" s="755" t="s">
        <v>152</v>
      </c>
      <c r="B19" s="756"/>
      <c r="C19" s="756"/>
      <c r="D19" s="757">
        <f>SUM(D5:D18)</f>
        <v>4938.6999999999989</v>
      </c>
      <c r="E19" s="757">
        <f>SUM(E5:E18)</f>
        <v>4977.9000000000005</v>
      </c>
      <c r="F19" s="757">
        <f>SUM(F5:F18)</f>
        <v>4958.0999999999995</v>
      </c>
      <c r="G19" s="758">
        <f>SUM(D19:F19)/3</f>
        <v>4958.2333333333327</v>
      </c>
      <c r="H19" s="759">
        <f>G19*92</f>
        <v>456157.46666666662</v>
      </c>
      <c r="I19" s="760">
        <f>SUM(I5:I18)</f>
        <v>4887.4000000000005</v>
      </c>
      <c r="J19" s="757">
        <f>SUM(J5:J18)</f>
        <v>4876.0999999999995</v>
      </c>
      <c r="K19" s="757">
        <f>SUM(K5:K18)</f>
        <v>4748.8999999999996</v>
      </c>
      <c r="L19" s="758">
        <f t="shared" si="4"/>
        <v>4837.4666666666662</v>
      </c>
      <c r="M19" s="761">
        <f t="shared" si="5"/>
        <v>445046.93333333329</v>
      </c>
      <c r="N19" s="762">
        <f>SUM(N5:N18)</f>
        <v>4747.2</v>
      </c>
      <c r="O19" s="757">
        <f>SUM(O5:O18)</f>
        <v>4812.8</v>
      </c>
      <c r="P19" s="757">
        <f>SUM(P5:P18)</f>
        <v>4724.8</v>
      </c>
      <c r="Q19" s="758">
        <f t="shared" si="6"/>
        <v>4761.5999999999995</v>
      </c>
      <c r="R19" s="761">
        <f t="shared" si="7"/>
        <v>428543.99999999994</v>
      </c>
      <c r="S19" s="760">
        <f>SUM(S5:S18)</f>
        <v>4735.1999999999989</v>
      </c>
      <c r="T19" s="757">
        <f>SUM(T5:T17)</f>
        <v>4687.1000000000004</v>
      </c>
      <c r="U19" s="763">
        <f>SUM(U5:U18)</f>
        <v>4673.8</v>
      </c>
      <c r="V19" s="758">
        <f t="shared" si="8"/>
        <v>4698.7</v>
      </c>
      <c r="W19" s="764">
        <f t="shared" si="9"/>
        <v>427581.7</v>
      </c>
      <c r="X19" s="765">
        <f>SUM(D19+E19+F19+I19+J19+K19+N19+O19+P19+S19+T19+U19)/12</f>
        <v>4814</v>
      </c>
      <c r="Y19" s="765">
        <f>SUM(Y5:Y18)</f>
        <v>1757109.9999999998</v>
      </c>
    </row>
    <row r="20" spans="1:25" ht="15" customHeight="1" thickBot="1" x14ac:dyDescent="0.3">
      <c r="A20" s="46" t="s">
        <v>153</v>
      </c>
      <c r="B20" s="35"/>
      <c r="C20" s="35"/>
      <c r="D20" s="70"/>
      <c r="E20" s="70"/>
      <c r="F20" s="71"/>
      <c r="G20" s="98"/>
      <c r="H20" s="98"/>
      <c r="I20" s="72"/>
      <c r="J20" s="70"/>
      <c r="K20" s="71"/>
      <c r="L20" s="97"/>
      <c r="M20" s="97"/>
      <c r="N20" s="72"/>
      <c r="O20" s="70"/>
      <c r="P20" s="71"/>
      <c r="Q20" s="97"/>
      <c r="R20" s="97"/>
      <c r="S20" s="72"/>
      <c r="T20" s="70"/>
      <c r="U20" s="71"/>
      <c r="V20" s="71"/>
      <c r="W20" s="70"/>
      <c r="X20" s="96"/>
      <c r="Y20" s="69" t="s">
        <v>0</v>
      </c>
    </row>
    <row r="21" spans="1:25" ht="15" customHeight="1" thickBot="1" x14ac:dyDescent="0.3">
      <c r="A21" s="766" t="s">
        <v>145</v>
      </c>
      <c r="B21" s="767" t="s">
        <v>513</v>
      </c>
      <c r="C21" s="767" t="s">
        <v>115</v>
      </c>
      <c r="D21" s="768">
        <v>672.81</v>
      </c>
      <c r="E21" s="768">
        <v>677.1</v>
      </c>
      <c r="F21" s="768">
        <v>681.9</v>
      </c>
      <c r="G21" s="769">
        <f t="shared" ref="G21:G27" si="10">SUM(D21:F21)/3</f>
        <v>677.27</v>
      </c>
      <c r="H21" s="770">
        <f t="shared" ref="H21:H27" si="11">G21*92</f>
        <v>62308.84</v>
      </c>
      <c r="I21" s="768">
        <v>648</v>
      </c>
      <c r="J21" s="768">
        <v>633.63</v>
      </c>
      <c r="K21" s="768">
        <v>647.29</v>
      </c>
      <c r="L21" s="769">
        <f t="shared" ref="L21:L28" si="12">SUM(I21:K21)/3</f>
        <v>642.97333333333336</v>
      </c>
      <c r="M21" s="770">
        <f t="shared" ref="M21:M27" si="13">L21*92</f>
        <v>59153.546666666669</v>
      </c>
      <c r="N21" s="768">
        <f>547.74+77.9</f>
        <v>625.64</v>
      </c>
      <c r="O21" s="771">
        <v>607.83000000000004</v>
      </c>
      <c r="P21" s="771">
        <f>563.77+86.23</f>
        <v>650</v>
      </c>
      <c r="Q21" s="769">
        <f t="shared" ref="Q21:Q28" si="14">SUM(N21:P21)/3</f>
        <v>627.82333333333338</v>
      </c>
      <c r="R21" s="770">
        <f t="shared" ref="R21:R27" si="15">Q21*90</f>
        <v>56504.100000000006</v>
      </c>
      <c r="S21" s="768">
        <f>552.63+74.57</f>
        <v>627.20000000000005</v>
      </c>
      <c r="T21" s="771">
        <v>587.65</v>
      </c>
      <c r="U21" s="772">
        <f>502.5+59.23</f>
        <v>561.73</v>
      </c>
      <c r="V21" s="769">
        <f t="shared" ref="V21:V28" si="16">SUM(S21:U21)/3</f>
        <v>592.19333333333327</v>
      </c>
      <c r="W21" s="773">
        <f t="shared" ref="W21:W27" si="17">V21*91</f>
        <v>53889.593333333331</v>
      </c>
      <c r="X21" s="774">
        <f>SUM(D21+E21+F21+I21+J21+K21+N21+O21+P21+S21+T21+U21)/12</f>
        <v>635.06499999999994</v>
      </c>
      <c r="Y21" s="775">
        <f t="shared" ref="Y21:Y26" si="18">X21*365</f>
        <v>231798.72499999998</v>
      </c>
    </row>
    <row r="22" spans="1:25" ht="15" customHeight="1" thickBot="1" x14ac:dyDescent="0.3">
      <c r="A22" s="50" t="s">
        <v>146</v>
      </c>
      <c r="B22" s="507">
        <v>35</v>
      </c>
      <c r="C22" s="507" t="s">
        <v>115</v>
      </c>
      <c r="D22" s="5">
        <v>5</v>
      </c>
      <c r="E22" s="5">
        <v>7.23</v>
      </c>
      <c r="F22" s="5">
        <f>1+8</f>
        <v>9</v>
      </c>
      <c r="G22" s="63">
        <f t="shared" si="10"/>
        <v>7.0766666666666671</v>
      </c>
      <c r="H22" s="108">
        <f t="shared" si="11"/>
        <v>651.0533333333334</v>
      </c>
      <c r="I22" s="5">
        <f>1+8.1</f>
        <v>9.1</v>
      </c>
      <c r="J22" s="5">
        <f>1+8.1</f>
        <v>9.1</v>
      </c>
      <c r="K22" s="5">
        <f>1+8.71</f>
        <v>9.7100000000000009</v>
      </c>
      <c r="L22" s="63">
        <f t="shared" si="12"/>
        <v>9.3033333333333328</v>
      </c>
      <c r="M22" s="108">
        <f t="shared" si="13"/>
        <v>855.90666666666664</v>
      </c>
      <c r="N22" s="5">
        <f>1+8</f>
        <v>9</v>
      </c>
      <c r="O22" s="75">
        <f>1+7.31</f>
        <v>8.3099999999999987</v>
      </c>
      <c r="P22" s="75">
        <f>1+7</f>
        <v>8</v>
      </c>
      <c r="Q22" s="63">
        <f t="shared" si="14"/>
        <v>8.4366666666666656</v>
      </c>
      <c r="R22" s="108">
        <f t="shared" si="15"/>
        <v>759.3</v>
      </c>
      <c r="S22" s="5">
        <f>1+7.07</f>
        <v>8.07</v>
      </c>
      <c r="T22" s="75">
        <f>2.48+7.52</f>
        <v>10</v>
      </c>
      <c r="U22" s="76">
        <f>7.5+6</f>
        <v>13.5</v>
      </c>
      <c r="V22" s="63">
        <f t="shared" si="16"/>
        <v>10.523333333333333</v>
      </c>
      <c r="W22" s="111">
        <f t="shared" si="17"/>
        <v>957.62333333333333</v>
      </c>
      <c r="X22" s="64">
        <f>SUM(D22+E22+F22+I22+J22+K22+N22+O22+P22+S22+T22+U22)/12</f>
        <v>8.8350000000000009</v>
      </c>
      <c r="Y22" s="65">
        <f t="shared" si="18"/>
        <v>3224.7750000000001</v>
      </c>
    </row>
    <row r="23" spans="1:25" ht="15" customHeight="1" thickBot="1" x14ac:dyDescent="0.3">
      <c r="A23" s="50" t="s">
        <v>148</v>
      </c>
      <c r="B23" s="507">
        <v>26</v>
      </c>
      <c r="C23" s="507" t="s">
        <v>115</v>
      </c>
      <c r="D23" s="5">
        <v>15</v>
      </c>
      <c r="E23" s="5">
        <v>17</v>
      </c>
      <c r="F23" s="5">
        <v>16</v>
      </c>
      <c r="G23" s="63">
        <f t="shared" si="10"/>
        <v>16</v>
      </c>
      <c r="H23" s="108">
        <f t="shared" si="11"/>
        <v>1472</v>
      </c>
      <c r="I23" s="5">
        <v>17</v>
      </c>
      <c r="J23" s="5">
        <v>17</v>
      </c>
      <c r="K23" s="5">
        <v>16</v>
      </c>
      <c r="L23" s="63">
        <f t="shared" si="12"/>
        <v>16.666666666666668</v>
      </c>
      <c r="M23" s="108">
        <f t="shared" si="13"/>
        <v>1533.3333333333335</v>
      </c>
      <c r="N23" s="5">
        <v>19</v>
      </c>
      <c r="O23" s="75">
        <v>18</v>
      </c>
      <c r="P23" s="75">
        <v>17</v>
      </c>
      <c r="Q23" s="63">
        <f t="shared" si="14"/>
        <v>18</v>
      </c>
      <c r="R23" s="108">
        <f t="shared" si="15"/>
        <v>1620</v>
      </c>
      <c r="S23" s="5">
        <v>15</v>
      </c>
      <c r="T23" s="75">
        <v>16</v>
      </c>
      <c r="U23" s="76">
        <v>16</v>
      </c>
      <c r="V23" s="63">
        <f t="shared" si="16"/>
        <v>15.666666666666666</v>
      </c>
      <c r="W23" s="111">
        <f t="shared" si="17"/>
        <v>1425.6666666666665</v>
      </c>
      <c r="X23" s="64">
        <f>SUM(D23+E23+F23+I23+J23+K23+N23+O23+P23+S23+T23+U23)/12</f>
        <v>16.583333333333332</v>
      </c>
      <c r="Y23" s="65">
        <f t="shared" si="18"/>
        <v>6052.9166666666661</v>
      </c>
    </row>
    <row r="24" spans="1:25" ht="15" customHeight="1" thickBot="1" x14ac:dyDescent="0.3">
      <c r="A24" s="50" t="s">
        <v>147</v>
      </c>
      <c r="B24" s="507" t="s">
        <v>476</v>
      </c>
      <c r="C24" s="507" t="s">
        <v>115</v>
      </c>
      <c r="D24" s="5">
        <v>437</v>
      </c>
      <c r="E24" s="5">
        <v>420</v>
      </c>
      <c r="F24" s="5">
        <v>429</v>
      </c>
      <c r="G24" s="63">
        <f t="shared" si="10"/>
        <v>428.66666666666669</v>
      </c>
      <c r="H24" s="108">
        <f t="shared" si="11"/>
        <v>39437.333333333336</v>
      </c>
      <c r="I24" s="5">
        <v>447</v>
      </c>
      <c r="J24" s="5">
        <v>466</v>
      </c>
      <c r="K24" s="5">
        <v>437</v>
      </c>
      <c r="L24" s="63">
        <f t="shared" si="12"/>
        <v>450</v>
      </c>
      <c r="M24" s="108">
        <f t="shared" si="13"/>
        <v>41400</v>
      </c>
      <c r="N24" s="5">
        <v>419</v>
      </c>
      <c r="O24" s="75">
        <v>404</v>
      </c>
      <c r="P24" s="75">
        <v>410</v>
      </c>
      <c r="Q24" s="63">
        <f t="shared" si="14"/>
        <v>411</v>
      </c>
      <c r="R24" s="108">
        <f t="shared" si="15"/>
        <v>36990</v>
      </c>
      <c r="S24" s="5">
        <v>404</v>
      </c>
      <c r="T24" s="75">
        <v>383</v>
      </c>
      <c r="U24" s="76">
        <v>373</v>
      </c>
      <c r="V24" s="63">
        <f t="shared" si="16"/>
        <v>386.66666666666669</v>
      </c>
      <c r="W24" s="111">
        <f t="shared" si="17"/>
        <v>35186.666666666672</v>
      </c>
      <c r="X24" s="64">
        <f>SUM(D24+E24+F24+I24+J24+K24+N24+O24+P24+S24+T24+U24)/12</f>
        <v>419.08333333333331</v>
      </c>
      <c r="Y24" s="65">
        <f t="shared" si="18"/>
        <v>152965.41666666666</v>
      </c>
    </row>
    <row r="25" spans="1:25" ht="15" customHeight="1" thickBot="1" x14ac:dyDescent="0.3">
      <c r="A25" s="50" t="s">
        <v>371</v>
      </c>
      <c r="B25" s="507">
        <v>1050</v>
      </c>
      <c r="C25" s="507" t="s">
        <v>115</v>
      </c>
      <c r="D25" s="5" t="s">
        <v>622</v>
      </c>
      <c r="E25" s="5" t="s">
        <v>622</v>
      </c>
      <c r="F25" s="5" t="s">
        <v>622</v>
      </c>
      <c r="G25" s="63">
        <f t="shared" si="10"/>
        <v>0</v>
      </c>
      <c r="H25" s="108">
        <f t="shared" si="11"/>
        <v>0</v>
      </c>
      <c r="I25" s="5" t="s">
        <v>622</v>
      </c>
      <c r="J25" s="5" t="s">
        <v>622</v>
      </c>
      <c r="K25" s="5" t="s">
        <v>622</v>
      </c>
      <c r="L25" s="63">
        <f t="shared" si="12"/>
        <v>0</v>
      </c>
      <c r="M25" s="108">
        <f t="shared" si="13"/>
        <v>0</v>
      </c>
      <c r="N25" s="5" t="s">
        <v>622</v>
      </c>
      <c r="O25" s="75" t="s">
        <v>622</v>
      </c>
      <c r="P25" s="75" t="s">
        <v>622</v>
      </c>
      <c r="Q25" s="63">
        <f t="shared" si="14"/>
        <v>0</v>
      </c>
      <c r="R25" s="108">
        <f t="shared" si="15"/>
        <v>0</v>
      </c>
      <c r="S25" s="5" t="s">
        <v>622</v>
      </c>
      <c r="T25" s="75" t="s">
        <v>622</v>
      </c>
      <c r="U25" s="76" t="s">
        <v>622</v>
      </c>
      <c r="V25" s="63">
        <f t="shared" si="16"/>
        <v>0</v>
      </c>
      <c r="W25" s="111">
        <f t="shared" si="17"/>
        <v>0</v>
      </c>
      <c r="X25" s="64">
        <v>0</v>
      </c>
      <c r="Y25" s="65">
        <f t="shared" si="18"/>
        <v>0</v>
      </c>
    </row>
    <row r="26" spans="1:25" ht="15" customHeight="1" thickBot="1" x14ac:dyDescent="0.3">
      <c r="A26" s="50" t="s">
        <v>150</v>
      </c>
      <c r="B26" s="507" t="s">
        <v>476</v>
      </c>
      <c r="C26" s="507" t="s">
        <v>115</v>
      </c>
      <c r="D26" s="5">
        <v>12</v>
      </c>
      <c r="E26" s="5">
        <v>12</v>
      </c>
      <c r="F26" s="5">
        <v>12</v>
      </c>
      <c r="G26" s="63">
        <f t="shared" si="10"/>
        <v>12</v>
      </c>
      <c r="H26" s="108">
        <f t="shared" si="11"/>
        <v>1104</v>
      </c>
      <c r="I26" s="5">
        <v>12</v>
      </c>
      <c r="J26" s="5">
        <v>11</v>
      </c>
      <c r="K26" s="5">
        <v>11</v>
      </c>
      <c r="L26" s="63">
        <f t="shared" si="12"/>
        <v>11.333333333333334</v>
      </c>
      <c r="M26" s="108">
        <f t="shared" si="13"/>
        <v>1042.6666666666667</v>
      </c>
      <c r="N26" s="5">
        <v>10</v>
      </c>
      <c r="O26" s="75">
        <v>9</v>
      </c>
      <c r="P26" s="75">
        <v>9</v>
      </c>
      <c r="Q26" s="63">
        <f t="shared" si="14"/>
        <v>9.3333333333333339</v>
      </c>
      <c r="R26" s="108">
        <f t="shared" si="15"/>
        <v>840</v>
      </c>
      <c r="S26" s="5">
        <v>9</v>
      </c>
      <c r="T26" s="75">
        <v>9</v>
      </c>
      <c r="U26" s="76">
        <v>9</v>
      </c>
      <c r="V26" s="63">
        <f t="shared" si="16"/>
        <v>9</v>
      </c>
      <c r="W26" s="112">
        <f t="shared" si="17"/>
        <v>819</v>
      </c>
      <c r="X26" s="64">
        <f>SUM(D26+E26+F26+I26+J26+K26+N26+O26+P26+S26+T26+U26)/12</f>
        <v>10.416666666666666</v>
      </c>
      <c r="Y26" s="65">
        <f t="shared" si="18"/>
        <v>3802.083333333333</v>
      </c>
    </row>
    <row r="27" spans="1:25" ht="15" customHeight="1" thickBot="1" x14ac:dyDescent="0.3">
      <c r="A27" s="53" t="s">
        <v>154</v>
      </c>
      <c r="B27" s="37"/>
      <c r="C27" s="37"/>
      <c r="D27" s="80">
        <f>SUM(D21:D26)</f>
        <v>1141.81</v>
      </c>
      <c r="E27" s="80">
        <f>SUM(E21:E26)</f>
        <v>1133.33</v>
      </c>
      <c r="F27" s="80">
        <f>SUM(F21:F26)</f>
        <v>1147.9000000000001</v>
      </c>
      <c r="G27" s="68">
        <f t="shared" si="10"/>
        <v>1141.0133333333333</v>
      </c>
      <c r="H27" s="108">
        <f t="shared" si="11"/>
        <v>104973.22666666667</v>
      </c>
      <c r="I27" s="94">
        <f>SUM(I21:I26)</f>
        <v>1133.0999999999999</v>
      </c>
      <c r="J27" s="80">
        <f>SUM(J21:J26)</f>
        <v>1136.73</v>
      </c>
      <c r="K27" s="80">
        <f>SUM(K21:K26)</f>
        <v>1121</v>
      </c>
      <c r="L27" s="68">
        <f t="shared" si="12"/>
        <v>1130.2766666666666</v>
      </c>
      <c r="M27" s="119">
        <f t="shared" si="13"/>
        <v>103985.45333333334</v>
      </c>
      <c r="N27" s="94">
        <f>SUM(N21:N26)</f>
        <v>1082.6399999999999</v>
      </c>
      <c r="O27" s="80">
        <f>SUM(O21:O26)</f>
        <v>1047.1399999999999</v>
      </c>
      <c r="P27" s="80">
        <f>SUM(P21:P26)</f>
        <v>1094</v>
      </c>
      <c r="Q27" s="68">
        <f t="shared" si="14"/>
        <v>1074.5933333333332</v>
      </c>
      <c r="R27" s="108">
        <f t="shared" si="15"/>
        <v>96713.4</v>
      </c>
      <c r="S27" s="94">
        <f>SUM(S21:S26)</f>
        <v>1063.27</v>
      </c>
      <c r="T27" s="80">
        <f>SUM(T21:T26)</f>
        <v>1005.65</v>
      </c>
      <c r="U27" s="81">
        <f>SUM(U21:U26)</f>
        <v>973.23</v>
      </c>
      <c r="V27" s="68">
        <f t="shared" si="16"/>
        <v>1014.0500000000001</v>
      </c>
      <c r="W27" s="120">
        <f t="shared" si="17"/>
        <v>92278.55</v>
      </c>
      <c r="X27" s="69">
        <f>SUM(X21:X26)</f>
        <v>1089.9833333333333</v>
      </c>
      <c r="Y27" s="69">
        <f>SUM(Y21:Y26)</f>
        <v>397843.91666666657</v>
      </c>
    </row>
    <row r="28" spans="1:25" ht="15" customHeight="1" thickBot="1" x14ac:dyDescent="0.3">
      <c r="A28" s="54" t="s">
        <v>158</v>
      </c>
      <c r="B28" s="38"/>
      <c r="C28" s="38"/>
      <c r="D28" s="80">
        <f>D19+D27</f>
        <v>6080.5099999999984</v>
      </c>
      <c r="E28" s="80">
        <f>E19+E27</f>
        <v>6111.2300000000005</v>
      </c>
      <c r="F28" s="80">
        <f>F19+F27</f>
        <v>6106</v>
      </c>
      <c r="G28" s="80">
        <f>G19+G27</f>
        <v>6099.246666666666</v>
      </c>
      <c r="H28" s="68">
        <f>SUM(H19+H27)</f>
        <v>561130.69333333324</v>
      </c>
      <c r="I28" s="80">
        <f>I19+I27</f>
        <v>6020.5</v>
      </c>
      <c r="J28" s="80">
        <f>J19+J27</f>
        <v>6012.83</v>
      </c>
      <c r="K28" s="80">
        <f>K19+K27</f>
        <v>5869.9</v>
      </c>
      <c r="L28" s="120">
        <f t="shared" si="12"/>
        <v>5967.7433333333329</v>
      </c>
      <c r="M28" s="68">
        <f>SUM(M19+M27)</f>
        <v>549032.3866666666</v>
      </c>
      <c r="N28" s="94">
        <f>N19+N27</f>
        <v>5829.84</v>
      </c>
      <c r="O28" s="80">
        <f>O19+O27</f>
        <v>5859.9400000000005</v>
      </c>
      <c r="P28" s="80">
        <f>P19+P27</f>
        <v>5818.8</v>
      </c>
      <c r="Q28" s="99">
        <f t="shared" si="14"/>
        <v>5836.1933333333336</v>
      </c>
      <c r="R28" s="68">
        <f>SUM(R19+R27)</f>
        <v>525257.39999999991</v>
      </c>
      <c r="S28" s="94">
        <f>S19+S27</f>
        <v>5798.4699999999993</v>
      </c>
      <c r="T28" s="80">
        <f>T19+T27</f>
        <v>5692.75</v>
      </c>
      <c r="U28" s="81">
        <f>U19+U27</f>
        <v>5647.0300000000007</v>
      </c>
      <c r="V28" s="99">
        <f t="shared" si="16"/>
        <v>5712.75</v>
      </c>
      <c r="W28" s="68">
        <f>SUM(W19+W27)</f>
        <v>519860.25</v>
      </c>
      <c r="X28" s="80">
        <f>X19+X27</f>
        <v>5903.9833333333336</v>
      </c>
      <c r="Y28" s="82">
        <f>Y19+Y27</f>
        <v>2154953.9166666665</v>
      </c>
    </row>
    <row r="29" spans="1:25" ht="15" customHeight="1" x14ac:dyDescent="0.25">
      <c r="A29" s="114" t="s">
        <v>623</v>
      </c>
      <c r="B29" s="19"/>
      <c r="C29" s="19"/>
      <c r="D29" s="115"/>
      <c r="E29" s="115"/>
      <c r="F29" s="115"/>
      <c r="G29" s="115"/>
      <c r="H29" s="113"/>
      <c r="I29" s="115"/>
      <c r="J29" s="115"/>
      <c r="K29" s="115"/>
      <c r="L29" s="139"/>
      <c r="M29" s="113"/>
      <c r="N29" s="115"/>
      <c r="O29" s="115"/>
      <c r="P29" s="115"/>
      <c r="Q29" s="93"/>
      <c r="R29" s="113"/>
      <c r="S29" s="115"/>
      <c r="T29" s="115"/>
      <c r="U29" s="115"/>
      <c r="V29" s="93"/>
      <c r="W29" s="113"/>
      <c r="X29" s="115"/>
      <c r="Y29" s="115"/>
    </row>
    <row r="30" spans="1:25" ht="15" customHeight="1" x14ac:dyDescent="0.25">
      <c r="A30" s="114" t="s">
        <v>624</v>
      </c>
      <c r="B30" s="19"/>
      <c r="C30" s="19"/>
      <c r="D30" s="115"/>
      <c r="E30" s="115"/>
      <c r="F30" s="115"/>
      <c r="G30" s="115"/>
      <c r="H30" s="113"/>
      <c r="I30" s="115"/>
      <c r="J30" s="115"/>
      <c r="K30" s="115"/>
      <c r="L30" s="139"/>
      <c r="M30" s="113"/>
      <c r="N30" s="115"/>
      <c r="O30" s="115"/>
      <c r="P30" s="115"/>
      <c r="Q30" s="93"/>
      <c r="R30" s="113"/>
      <c r="S30" s="115"/>
      <c r="T30" s="115"/>
      <c r="U30" s="115"/>
      <c r="V30" s="93"/>
      <c r="W30" s="113"/>
      <c r="X30" s="115"/>
      <c r="Y30" s="115"/>
    </row>
    <row r="31" spans="1:25" ht="15" customHeight="1" x14ac:dyDescent="0.25">
      <c r="A31" s="114" t="s">
        <v>514</v>
      </c>
      <c r="B31" s="19"/>
      <c r="C31" s="19"/>
      <c r="D31" s="115"/>
      <c r="E31" s="115"/>
      <c r="F31" s="115"/>
      <c r="G31" s="115"/>
      <c r="H31" s="113"/>
      <c r="I31" s="115"/>
      <c r="J31" s="115"/>
      <c r="K31" s="115"/>
      <c r="L31" s="139"/>
      <c r="M31" s="113"/>
      <c r="N31" s="115"/>
      <c r="O31" s="115"/>
      <c r="P31" s="115"/>
      <c r="Q31" s="93"/>
      <c r="R31" s="113"/>
      <c r="S31" s="115"/>
      <c r="T31" s="115"/>
      <c r="U31" s="115"/>
      <c r="V31" s="93"/>
      <c r="W31" s="113"/>
      <c r="X31" s="115"/>
      <c r="Y31" s="115"/>
    </row>
    <row r="32" spans="1:25" ht="15" customHeight="1" x14ac:dyDescent="0.25">
      <c r="A32" s="114" t="s">
        <v>568</v>
      </c>
      <c r="B32" s="19"/>
      <c r="C32" s="19"/>
      <c r="D32" s="115"/>
      <c r="E32" s="115"/>
      <c r="F32" s="115"/>
      <c r="G32" s="115"/>
      <c r="H32" s="113"/>
      <c r="I32" s="115"/>
      <c r="J32" s="115"/>
      <c r="K32" s="115"/>
      <c r="L32" s="139"/>
      <c r="M32" s="113"/>
      <c r="N32" s="115"/>
      <c r="O32" s="115"/>
      <c r="P32" s="115"/>
      <c r="Q32" s="93"/>
      <c r="R32" s="113"/>
      <c r="S32" s="115"/>
      <c r="T32" s="115"/>
      <c r="U32" s="115"/>
      <c r="V32" s="93"/>
      <c r="W32" s="113"/>
      <c r="X32" s="115"/>
      <c r="Y32" s="115"/>
    </row>
    <row r="33" spans="1:25" ht="15" customHeight="1" x14ac:dyDescent="0.2">
      <c r="A33" s="45" t="s">
        <v>157</v>
      </c>
      <c r="B33" s="10"/>
      <c r="C33" s="10"/>
      <c r="D33" s="13"/>
      <c r="E33" s="13"/>
      <c r="F33" s="13"/>
      <c r="G33" s="13"/>
      <c r="H33" s="13"/>
      <c r="I33" s="13"/>
      <c r="J33" s="13"/>
      <c r="K33" s="13"/>
      <c r="L33" s="13"/>
      <c r="M33" s="13"/>
      <c r="N33" s="13"/>
      <c r="O33" s="13"/>
      <c r="P33" s="13"/>
      <c r="Q33" s="13"/>
      <c r="R33" s="13"/>
      <c r="S33" s="13"/>
      <c r="T33" s="13"/>
      <c r="U33" s="13"/>
      <c r="V33" s="13"/>
      <c r="W33" s="13"/>
      <c r="X33" s="13"/>
      <c r="Y33" s="13"/>
    </row>
    <row r="34" spans="1:25" ht="15" customHeight="1" x14ac:dyDescent="0.2">
      <c r="A34" s="45" t="s">
        <v>157</v>
      </c>
      <c r="B34" s="10"/>
      <c r="C34" s="10"/>
      <c r="D34" s="13"/>
      <c r="E34" s="13"/>
      <c r="F34" s="13"/>
      <c r="G34" s="13"/>
      <c r="H34" s="13"/>
      <c r="I34" s="13"/>
      <c r="J34" s="13"/>
      <c r="K34" s="13"/>
      <c r="L34" s="13"/>
      <c r="M34" s="13"/>
      <c r="N34" s="13"/>
      <c r="O34" s="13"/>
      <c r="P34" s="13"/>
      <c r="Q34" s="13"/>
      <c r="R34" s="13"/>
      <c r="S34" s="13"/>
      <c r="T34" s="13"/>
      <c r="U34" s="13"/>
      <c r="V34" s="13"/>
      <c r="W34" s="13"/>
      <c r="X34" s="13"/>
      <c r="Y34" s="13"/>
    </row>
    <row r="36" spans="1:25" ht="20.25" customHeight="1" x14ac:dyDescent="0.2">
      <c r="A36" s="45"/>
      <c r="B36" s="10"/>
      <c r="C36" s="13"/>
      <c r="D36" s="13"/>
      <c r="E36" s="13"/>
      <c r="F36" s="13"/>
      <c r="G36" s="13"/>
      <c r="H36" s="13"/>
      <c r="I36" s="13"/>
      <c r="J36" s="13"/>
      <c r="K36" s="13"/>
      <c r="L36" s="13"/>
      <c r="M36" s="13"/>
      <c r="N36" s="13"/>
      <c r="O36" s="13"/>
      <c r="P36" s="13"/>
      <c r="Q36" s="13"/>
      <c r="R36" s="13"/>
      <c r="S36" s="13"/>
      <c r="T36" s="13"/>
      <c r="U36" s="13"/>
      <c r="V36" s="13"/>
      <c r="W36" s="13"/>
      <c r="X36" s="13"/>
    </row>
    <row r="37" spans="1:25" ht="15" customHeight="1" thickBot="1" x14ac:dyDescent="0.25">
      <c r="A37" s="45" t="s">
        <v>157</v>
      </c>
      <c r="B37" s="10"/>
      <c r="C37" s="13"/>
      <c r="D37" s="13"/>
      <c r="E37" s="13"/>
      <c r="F37" s="13"/>
      <c r="G37" s="13"/>
      <c r="H37" s="13"/>
      <c r="I37" s="13"/>
      <c r="J37" s="13"/>
      <c r="K37" s="13"/>
      <c r="L37" s="13"/>
      <c r="M37" s="13"/>
      <c r="N37" s="13"/>
      <c r="O37" s="13"/>
      <c r="P37" s="13"/>
      <c r="Q37" s="13"/>
      <c r="R37" s="13"/>
      <c r="S37" s="13"/>
      <c r="T37" s="13"/>
      <c r="U37" s="13"/>
      <c r="V37" s="13"/>
      <c r="W37" s="13"/>
      <c r="X37" s="13"/>
    </row>
    <row r="38" spans="1:25" ht="15" customHeight="1" thickBot="1" x14ac:dyDescent="0.3">
      <c r="A38" s="777" t="s">
        <v>625</v>
      </c>
      <c r="B38" s="1156" t="s">
        <v>155</v>
      </c>
      <c r="C38" s="1157"/>
      <c r="D38" s="1157"/>
      <c r="E38" s="1157"/>
      <c r="F38" s="1157"/>
      <c r="G38" s="1157"/>
      <c r="H38" s="1157"/>
      <c r="I38" s="1157"/>
      <c r="J38" s="1157"/>
      <c r="K38" s="1157"/>
      <c r="L38" s="1157"/>
      <c r="M38" s="1157"/>
      <c r="N38" s="1157"/>
      <c r="O38" s="1157"/>
      <c r="P38" s="1157"/>
      <c r="Q38" s="1157"/>
      <c r="R38" s="1157"/>
      <c r="S38" s="1157"/>
      <c r="T38" s="1157"/>
      <c r="U38" s="39"/>
      <c r="V38" s="39"/>
      <c r="W38" s="92"/>
      <c r="X38" s="13"/>
    </row>
    <row r="39" spans="1:25" ht="15" customHeight="1" x14ac:dyDescent="0.25">
      <c r="A39" s="56"/>
      <c r="B39" s="40" t="s">
        <v>268</v>
      </c>
      <c r="C39" s="57"/>
      <c r="D39" s="58"/>
      <c r="E39" s="58"/>
      <c r="F39" s="1158" t="s">
        <v>265</v>
      </c>
      <c r="G39" s="1172" t="s">
        <v>285</v>
      </c>
      <c r="H39" s="58"/>
      <c r="I39" s="58"/>
      <c r="J39" s="58"/>
      <c r="K39" s="1158" t="s">
        <v>265</v>
      </c>
      <c r="L39" s="1172" t="s">
        <v>285</v>
      </c>
      <c r="M39" s="58"/>
      <c r="N39" s="58"/>
      <c r="O39" s="58"/>
      <c r="P39" s="1158" t="s">
        <v>265</v>
      </c>
      <c r="Q39" s="1160" t="s">
        <v>285</v>
      </c>
      <c r="R39" s="58"/>
      <c r="S39" s="58"/>
      <c r="T39" s="59"/>
      <c r="U39" s="1158" t="s">
        <v>265</v>
      </c>
      <c r="V39" s="1160" t="s">
        <v>285</v>
      </c>
      <c r="W39" s="1167" t="s">
        <v>156</v>
      </c>
      <c r="X39" s="1165" t="s">
        <v>157</v>
      </c>
    </row>
    <row r="40" spans="1:25" ht="15" customHeight="1" thickBot="1" x14ac:dyDescent="0.3">
      <c r="A40" s="47" t="s">
        <v>56</v>
      </c>
      <c r="B40" s="41" t="s">
        <v>471</v>
      </c>
      <c r="C40" s="60">
        <v>41821</v>
      </c>
      <c r="D40" s="61">
        <v>41852</v>
      </c>
      <c r="E40" s="61">
        <v>41883</v>
      </c>
      <c r="F40" s="1159"/>
      <c r="G40" s="1173"/>
      <c r="H40" s="61">
        <v>41913</v>
      </c>
      <c r="I40" s="61">
        <v>41944</v>
      </c>
      <c r="J40" s="61">
        <v>41974</v>
      </c>
      <c r="K40" s="1159"/>
      <c r="L40" s="1173"/>
      <c r="M40" s="61">
        <v>42005</v>
      </c>
      <c r="N40" s="61">
        <v>42036</v>
      </c>
      <c r="O40" s="61">
        <v>42064</v>
      </c>
      <c r="P40" s="1159"/>
      <c r="Q40" s="1161"/>
      <c r="R40" s="61">
        <v>42095</v>
      </c>
      <c r="S40" s="61">
        <v>42125</v>
      </c>
      <c r="T40" s="62">
        <v>42156</v>
      </c>
      <c r="U40" s="1159"/>
      <c r="V40" s="1161"/>
      <c r="W40" s="1168"/>
      <c r="X40" s="1166"/>
    </row>
    <row r="41" spans="1:25" ht="15" customHeight="1" thickBot="1" x14ac:dyDescent="0.3">
      <c r="A41" s="48" t="s">
        <v>317</v>
      </c>
      <c r="B41" s="42" t="s">
        <v>509</v>
      </c>
      <c r="C41" s="125">
        <v>839.9</v>
      </c>
      <c r="D41" s="125">
        <v>851.6</v>
      </c>
      <c r="E41" s="117">
        <v>853.9</v>
      </c>
      <c r="F41" s="63">
        <f>SUM(C41:E41)/3</f>
        <v>848.4666666666667</v>
      </c>
      <c r="G41" s="108">
        <f>F41*92</f>
        <v>78058.933333333334</v>
      </c>
      <c r="H41" s="117">
        <v>843.4</v>
      </c>
      <c r="I41" s="117">
        <v>852.8</v>
      </c>
      <c r="J41" s="117">
        <v>853.2</v>
      </c>
      <c r="K41" s="63">
        <f>SUM(H41:J41)/3</f>
        <v>849.79999999999984</v>
      </c>
      <c r="L41" s="108">
        <f>K41*92</f>
        <v>78181.599999999991</v>
      </c>
      <c r="M41" s="117">
        <v>871.8</v>
      </c>
      <c r="N41" s="85">
        <v>857.3</v>
      </c>
      <c r="O41" s="85">
        <v>830.4</v>
      </c>
      <c r="P41" s="63">
        <f>SUM(M41:O41)/3</f>
        <v>853.16666666666663</v>
      </c>
      <c r="Q41" s="108">
        <f>P41*90</f>
        <v>76785</v>
      </c>
      <c r="R41" s="117">
        <v>837.8</v>
      </c>
      <c r="S41" s="85">
        <v>849.1</v>
      </c>
      <c r="T41" s="135">
        <v>843.6</v>
      </c>
      <c r="U41" s="63">
        <f>SUM(R41:T41)/3</f>
        <v>843.5</v>
      </c>
      <c r="V41" s="111">
        <f>U41*91</f>
        <v>76758.5</v>
      </c>
      <c r="W41" s="64">
        <f>SUM(C41+D41+E41+H41+I41+J41+M41+N41+O41+R41+S41+T41)/12</f>
        <v>848.73333333333346</v>
      </c>
      <c r="X41" s="65">
        <f>W41*365</f>
        <v>309787.66666666669</v>
      </c>
    </row>
    <row r="42" spans="1:25" ht="15" customHeight="1" thickBot="1" x14ac:dyDescent="0.3">
      <c r="A42" s="49" t="s">
        <v>140</v>
      </c>
      <c r="B42" s="43" t="s">
        <v>472</v>
      </c>
      <c r="C42" s="126">
        <v>121.1</v>
      </c>
      <c r="D42" s="126">
        <v>118.2</v>
      </c>
      <c r="E42" s="118">
        <v>119.4</v>
      </c>
      <c r="F42" s="63">
        <f>SUM(C42:E42)/3</f>
        <v>119.56666666666668</v>
      </c>
      <c r="G42" s="108">
        <f>F42*92</f>
        <v>11000.133333333335</v>
      </c>
      <c r="H42" s="118">
        <v>110.9</v>
      </c>
      <c r="I42" s="118">
        <v>105.6</v>
      </c>
      <c r="J42" s="118">
        <v>106.7</v>
      </c>
      <c r="K42" s="63">
        <f>SUM(H42:J42)/3</f>
        <v>107.73333333333333</v>
      </c>
      <c r="L42" s="108">
        <f>K42*92</f>
        <v>9911.4666666666672</v>
      </c>
      <c r="M42" s="118">
        <v>114.6</v>
      </c>
      <c r="N42" s="86">
        <v>117.9</v>
      </c>
      <c r="O42" s="86">
        <v>94.3</v>
      </c>
      <c r="P42" s="63">
        <f>SUM(M42:O42)/3</f>
        <v>108.93333333333334</v>
      </c>
      <c r="Q42" s="108">
        <f>P42*90</f>
        <v>9804</v>
      </c>
      <c r="R42" s="118">
        <v>95.7</v>
      </c>
      <c r="S42" s="86">
        <v>126.2</v>
      </c>
      <c r="T42" s="89">
        <v>114.7</v>
      </c>
      <c r="U42" s="63">
        <f>SUM(R42:T42)/3</f>
        <v>112.2</v>
      </c>
      <c r="V42" s="111">
        <f>U42*91</f>
        <v>10210.200000000001</v>
      </c>
      <c r="W42" s="64">
        <f t="shared" ref="W42:W53" si="19">SUM(C42+D42+E42+H42+I42+J42+M42+N42+O42+R42+S42+T42)/12</f>
        <v>112.10833333333335</v>
      </c>
      <c r="X42" s="65">
        <f t="shared" ref="X42:X54" si="20">W42*365</f>
        <v>40919.541666666672</v>
      </c>
    </row>
    <row r="43" spans="1:25" ht="15" customHeight="1" thickBot="1" x14ac:dyDescent="0.3">
      <c r="A43" s="50" t="s">
        <v>349</v>
      </c>
      <c r="B43" s="44" t="s">
        <v>348</v>
      </c>
      <c r="C43" s="4">
        <v>263.89999999999998</v>
      </c>
      <c r="D43" s="4">
        <v>249.5</v>
      </c>
      <c r="E43" s="3">
        <v>258.7</v>
      </c>
      <c r="F43" s="63">
        <f>SUM(C43:E43)/3</f>
        <v>257.36666666666662</v>
      </c>
      <c r="G43" s="108">
        <f>F43*92</f>
        <v>23677.73333333333</v>
      </c>
      <c r="H43" s="3">
        <v>248.3</v>
      </c>
      <c r="I43" s="3">
        <v>268.3</v>
      </c>
      <c r="J43" s="3">
        <v>265</v>
      </c>
      <c r="K43" s="63">
        <f>SUM(H43:J43)/3</f>
        <v>260.53333333333336</v>
      </c>
      <c r="L43" s="108">
        <f>K43*92</f>
        <v>23969.066666666669</v>
      </c>
      <c r="M43" s="3">
        <v>277.5</v>
      </c>
      <c r="N43" s="87">
        <v>292.3</v>
      </c>
      <c r="O43" s="87">
        <v>273.3</v>
      </c>
      <c r="P43" s="63">
        <f>SUM(M43:O43)/3</f>
        <v>281.0333333333333</v>
      </c>
      <c r="Q43" s="108">
        <f>P43*90</f>
        <v>25292.999999999996</v>
      </c>
      <c r="R43" s="3">
        <v>280.7</v>
      </c>
      <c r="S43" s="87">
        <v>286.5</v>
      </c>
      <c r="T43" s="90">
        <v>272.60000000000002</v>
      </c>
      <c r="U43" s="63">
        <f>SUM(R43:T43)/3</f>
        <v>279.93333333333334</v>
      </c>
      <c r="V43" s="111">
        <f>U43*91</f>
        <v>25473.933333333334</v>
      </c>
      <c r="W43" s="64">
        <f t="shared" si="19"/>
        <v>269.71666666666664</v>
      </c>
      <c r="X43" s="65">
        <f t="shared" si="20"/>
        <v>98446.583333333328</v>
      </c>
    </row>
    <row r="44" spans="1:25" ht="15" customHeight="1" thickBot="1" x14ac:dyDescent="0.3">
      <c r="A44" s="50" t="s">
        <v>478</v>
      </c>
      <c r="B44" s="44" t="s">
        <v>618</v>
      </c>
      <c r="C44" s="4">
        <v>1388.4</v>
      </c>
      <c r="D44" s="4">
        <v>1411.3</v>
      </c>
      <c r="E44" s="3">
        <v>1411.3</v>
      </c>
      <c r="F44" s="63">
        <f>SUM(C44:E44)/3</f>
        <v>1403.6666666666667</v>
      </c>
      <c r="G44" s="108">
        <f>F44*92</f>
        <v>129137.33333333334</v>
      </c>
      <c r="H44" s="3">
        <v>1411.9</v>
      </c>
      <c r="I44" s="3">
        <v>1424.9</v>
      </c>
      <c r="J44" s="3">
        <v>1416.8</v>
      </c>
      <c r="K44" s="63">
        <f>SUM(H44:J44)/3</f>
        <v>1417.8666666666668</v>
      </c>
      <c r="L44" s="108">
        <f>K44*92</f>
        <v>130443.73333333334</v>
      </c>
      <c r="M44" s="3">
        <v>1421</v>
      </c>
      <c r="N44" s="87">
        <v>1423.6</v>
      </c>
      <c r="O44" s="87">
        <v>1422.7</v>
      </c>
      <c r="P44" s="63">
        <f>SUM(M44:O44)/3</f>
        <v>1422.4333333333334</v>
      </c>
      <c r="Q44" s="108">
        <f>P44*90</f>
        <v>128019</v>
      </c>
      <c r="R44" s="3">
        <v>1393</v>
      </c>
      <c r="S44" s="87">
        <v>1378.3</v>
      </c>
      <c r="T44" s="90">
        <v>1367.1</v>
      </c>
      <c r="U44" s="63">
        <f>SUM(R44:T44)/3</f>
        <v>1379.4666666666665</v>
      </c>
      <c r="V44" s="111">
        <f>U44*91</f>
        <v>125531.46666666665</v>
      </c>
      <c r="W44" s="64">
        <f t="shared" si="19"/>
        <v>1405.8583333333333</v>
      </c>
      <c r="X44" s="65">
        <f t="shared" si="20"/>
        <v>513138.29166666669</v>
      </c>
    </row>
    <row r="45" spans="1:25" ht="15" customHeight="1" thickBot="1" x14ac:dyDescent="0.3">
      <c r="A45" s="51" t="s">
        <v>282</v>
      </c>
      <c r="B45" s="44" t="s">
        <v>306</v>
      </c>
      <c r="C45" s="4">
        <v>414.8</v>
      </c>
      <c r="D45" s="4">
        <v>409.1</v>
      </c>
      <c r="E45" s="3">
        <v>439.9</v>
      </c>
      <c r="F45" s="63">
        <f t="shared" ref="F45:F54" si="21">SUM(C45:E45)/3</f>
        <v>421.26666666666671</v>
      </c>
      <c r="G45" s="108">
        <f t="shared" ref="G45:G54" si="22">F45*92</f>
        <v>38756.53333333334</v>
      </c>
      <c r="H45" s="3">
        <v>423.5</v>
      </c>
      <c r="I45" s="3">
        <v>413.7</v>
      </c>
      <c r="J45" s="3">
        <v>407.7</v>
      </c>
      <c r="K45" s="63">
        <f t="shared" ref="K45:K55" si="23">SUM(H45:J45)/3</f>
        <v>414.9666666666667</v>
      </c>
      <c r="L45" s="108">
        <f t="shared" ref="L45:L55" si="24">K45*92</f>
        <v>38176.933333333334</v>
      </c>
      <c r="M45" s="3">
        <v>441.6</v>
      </c>
      <c r="N45" s="87">
        <v>429.2</v>
      </c>
      <c r="O45" s="87">
        <v>433.3</v>
      </c>
      <c r="P45" s="63">
        <f t="shared" ref="P45:P55" si="25">SUM(M45:O45)/3</f>
        <v>434.7</v>
      </c>
      <c r="Q45" s="108">
        <f t="shared" ref="Q45:Q55" si="26">P45*90</f>
        <v>39123</v>
      </c>
      <c r="R45" s="3">
        <v>421.7</v>
      </c>
      <c r="S45" s="87">
        <v>425</v>
      </c>
      <c r="T45" s="90">
        <v>426</v>
      </c>
      <c r="U45" s="63">
        <f t="shared" ref="U45:U55" si="27">SUM(R45:T45)/3</f>
        <v>424.23333333333335</v>
      </c>
      <c r="V45" s="111">
        <f t="shared" ref="V45:V55" si="28">U45*91</f>
        <v>38605.233333333337</v>
      </c>
      <c r="W45" s="64">
        <f t="shared" si="19"/>
        <v>423.79166666666669</v>
      </c>
      <c r="X45" s="65">
        <f t="shared" si="20"/>
        <v>154683.95833333334</v>
      </c>
    </row>
    <row r="46" spans="1:25" ht="15" customHeight="1" thickBot="1" x14ac:dyDescent="0.3">
      <c r="A46" s="50" t="s">
        <v>16</v>
      </c>
      <c r="B46" s="44" t="s">
        <v>275</v>
      </c>
      <c r="C46" s="4">
        <v>66.2</v>
      </c>
      <c r="D46" s="4">
        <v>72.599999999999994</v>
      </c>
      <c r="E46" s="3">
        <v>69</v>
      </c>
      <c r="F46" s="63">
        <f t="shared" si="21"/>
        <v>69.266666666666666</v>
      </c>
      <c r="G46" s="108">
        <f t="shared" si="22"/>
        <v>6372.5333333333328</v>
      </c>
      <c r="H46" s="3">
        <v>75</v>
      </c>
      <c r="I46" s="3">
        <v>61.9</v>
      </c>
      <c r="J46" s="3">
        <v>57.8</v>
      </c>
      <c r="K46" s="63">
        <f t="shared" si="23"/>
        <v>64.899999999999991</v>
      </c>
      <c r="L46" s="108">
        <f t="shared" si="24"/>
        <v>5970.7999999999993</v>
      </c>
      <c r="M46" s="3">
        <v>59</v>
      </c>
      <c r="N46" s="87">
        <v>62.9</v>
      </c>
      <c r="O46" s="87">
        <v>55.2</v>
      </c>
      <c r="P46" s="63">
        <f t="shared" si="25"/>
        <v>59.033333333333339</v>
      </c>
      <c r="Q46" s="108">
        <f t="shared" si="26"/>
        <v>5313.0000000000009</v>
      </c>
      <c r="R46" s="3">
        <v>62.2</v>
      </c>
      <c r="S46" s="87">
        <v>55.8</v>
      </c>
      <c r="T46" s="90">
        <v>58.4</v>
      </c>
      <c r="U46" s="63">
        <f t="shared" si="27"/>
        <v>58.800000000000004</v>
      </c>
      <c r="V46" s="111">
        <f t="shared" si="28"/>
        <v>5350.8</v>
      </c>
      <c r="W46" s="64">
        <f t="shared" si="19"/>
        <v>63</v>
      </c>
      <c r="X46" s="65">
        <f t="shared" si="20"/>
        <v>22995</v>
      </c>
    </row>
    <row r="47" spans="1:25" ht="15" customHeight="1" thickBot="1" x14ac:dyDescent="0.3">
      <c r="A47" s="50" t="s">
        <v>17</v>
      </c>
      <c r="B47" s="44" t="s">
        <v>511</v>
      </c>
      <c r="C47" s="4">
        <v>231.5</v>
      </c>
      <c r="D47" s="4">
        <v>231.6</v>
      </c>
      <c r="E47" s="3">
        <v>225.7</v>
      </c>
      <c r="F47" s="63">
        <f t="shared" si="21"/>
        <v>229.6</v>
      </c>
      <c r="G47" s="108">
        <f t="shared" si="22"/>
        <v>21123.200000000001</v>
      </c>
      <c r="H47" s="3">
        <v>229.4</v>
      </c>
      <c r="I47" s="3">
        <v>237.3</v>
      </c>
      <c r="J47" s="3">
        <v>244.4</v>
      </c>
      <c r="K47" s="63">
        <f t="shared" si="23"/>
        <v>237.03333333333333</v>
      </c>
      <c r="L47" s="108">
        <f t="shared" si="24"/>
        <v>21807.066666666666</v>
      </c>
      <c r="M47" s="3">
        <v>253</v>
      </c>
      <c r="N47" s="87">
        <v>248.4</v>
      </c>
      <c r="O47" s="87">
        <v>243.2</v>
      </c>
      <c r="P47" s="63">
        <f t="shared" si="25"/>
        <v>248.19999999999996</v>
      </c>
      <c r="Q47" s="108">
        <f t="shared" si="26"/>
        <v>22337.999999999996</v>
      </c>
      <c r="R47" s="3">
        <v>233</v>
      </c>
      <c r="S47" s="87">
        <v>228.4</v>
      </c>
      <c r="T47" s="90">
        <v>236.7</v>
      </c>
      <c r="U47" s="63">
        <f t="shared" si="27"/>
        <v>232.69999999999996</v>
      </c>
      <c r="V47" s="111">
        <f t="shared" si="28"/>
        <v>21175.699999999997</v>
      </c>
      <c r="W47" s="64">
        <f t="shared" si="19"/>
        <v>236.88333333333333</v>
      </c>
      <c r="X47" s="65">
        <f t="shared" si="20"/>
        <v>86462.416666666657</v>
      </c>
    </row>
    <row r="48" spans="1:25" ht="15" customHeight="1" thickBot="1" x14ac:dyDescent="0.3">
      <c r="A48" s="50" t="s">
        <v>142</v>
      </c>
      <c r="B48" s="44" t="s">
        <v>308</v>
      </c>
      <c r="C48" s="4">
        <v>110.1</v>
      </c>
      <c r="D48" s="4">
        <v>107.3</v>
      </c>
      <c r="E48" s="3">
        <v>110.1</v>
      </c>
      <c r="F48" s="63">
        <f t="shared" si="21"/>
        <v>109.16666666666667</v>
      </c>
      <c r="G48" s="108">
        <f t="shared" si="22"/>
        <v>10043.333333333334</v>
      </c>
      <c r="H48" s="3">
        <v>112.2</v>
      </c>
      <c r="I48" s="3">
        <v>112.1</v>
      </c>
      <c r="J48" s="3">
        <v>105</v>
      </c>
      <c r="K48" s="63">
        <f t="shared" si="23"/>
        <v>109.76666666666667</v>
      </c>
      <c r="L48" s="108">
        <f t="shared" si="24"/>
        <v>10098.533333333333</v>
      </c>
      <c r="M48" s="3">
        <v>108.2</v>
      </c>
      <c r="N48" s="87">
        <v>110.9</v>
      </c>
      <c r="O48" s="87">
        <v>103.6</v>
      </c>
      <c r="P48" s="63">
        <f t="shared" si="25"/>
        <v>107.56666666666668</v>
      </c>
      <c r="Q48" s="108">
        <f t="shared" si="26"/>
        <v>9681.0000000000018</v>
      </c>
      <c r="R48" s="3">
        <v>102.6</v>
      </c>
      <c r="S48" s="87">
        <v>101.1</v>
      </c>
      <c r="T48" s="90">
        <v>99</v>
      </c>
      <c r="U48" s="63">
        <f t="shared" si="27"/>
        <v>100.89999999999999</v>
      </c>
      <c r="V48" s="111">
        <f t="shared" si="28"/>
        <v>9181.9</v>
      </c>
      <c r="W48" s="64">
        <f t="shared" si="19"/>
        <v>106.84999999999998</v>
      </c>
      <c r="X48" s="65">
        <f t="shared" si="20"/>
        <v>39000.249999999993</v>
      </c>
    </row>
    <row r="49" spans="1:24" ht="15" customHeight="1" thickBot="1" x14ac:dyDescent="0.3">
      <c r="A49" s="51" t="s">
        <v>283</v>
      </c>
      <c r="B49" s="44" t="s">
        <v>315</v>
      </c>
      <c r="C49" s="4">
        <f>318.4+175.9</f>
        <v>494.29999999999995</v>
      </c>
      <c r="D49" s="4">
        <f>333.5+175.9</f>
        <v>509.4</v>
      </c>
      <c r="E49" s="3">
        <f>330+175.9</f>
        <v>505.9</v>
      </c>
      <c r="F49" s="63">
        <f t="shared" si="21"/>
        <v>503.2</v>
      </c>
      <c r="G49" s="108">
        <f t="shared" si="22"/>
        <v>46294.400000000001</v>
      </c>
      <c r="H49" s="3">
        <f>333.6+175.6</f>
        <v>509.20000000000005</v>
      </c>
      <c r="I49" s="3">
        <f>333.4+175.7</f>
        <v>509.09999999999997</v>
      </c>
      <c r="J49" s="3">
        <f>331.5+175.9</f>
        <v>507.4</v>
      </c>
      <c r="K49" s="63">
        <f t="shared" si="23"/>
        <v>508.56666666666661</v>
      </c>
      <c r="L49" s="108">
        <f t="shared" si="24"/>
        <v>46788.133333333331</v>
      </c>
      <c r="M49" s="3">
        <f>330+175.9</f>
        <v>505.9</v>
      </c>
      <c r="N49" s="87">
        <f>334.2+176</f>
        <v>510.2</v>
      </c>
      <c r="O49" s="87">
        <f>325.2+175.8</f>
        <v>501</v>
      </c>
      <c r="P49" s="63">
        <f t="shared" si="25"/>
        <v>505.7</v>
      </c>
      <c r="Q49" s="108">
        <f t="shared" si="26"/>
        <v>45513</v>
      </c>
      <c r="R49" s="3">
        <f>322.3+175.9</f>
        <v>498.20000000000005</v>
      </c>
      <c r="S49" s="87">
        <f>321.4+175.7</f>
        <v>497.09999999999997</v>
      </c>
      <c r="T49" s="90">
        <f>310.7+175.6</f>
        <v>486.29999999999995</v>
      </c>
      <c r="U49" s="63">
        <f t="shared" si="27"/>
        <v>493.86666666666662</v>
      </c>
      <c r="V49" s="111">
        <f t="shared" si="28"/>
        <v>44941.866666666661</v>
      </c>
      <c r="W49" s="64">
        <f t="shared" si="19"/>
        <v>502.83333333333331</v>
      </c>
      <c r="X49" s="65">
        <f t="shared" si="20"/>
        <v>183534.16666666666</v>
      </c>
    </row>
    <row r="50" spans="1:24" ht="15" customHeight="1" thickBot="1" x14ac:dyDescent="0.3">
      <c r="A50" s="50" t="s">
        <v>151</v>
      </c>
      <c r="B50" s="121" t="s">
        <v>309</v>
      </c>
      <c r="C50" s="4">
        <v>0</v>
      </c>
      <c r="D50" s="4">
        <v>0</v>
      </c>
      <c r="E50" s="4">
        <v>0</v>
      </c>
      <c r="F50" s="63">
        <v>0</v>
      </c>
      <c r="G50" s="108">
        <f t="shared" si="22"/>
        <v>0</v>
      </c>
      <c r="H50" s="4">
        <v>0</v>
      </c>
      <c r="I50" s="4">
        <v>0</v>
      </c>
      <c r="J50" s="4">
        <v>0</v>
      </c>
      <c r="K50" s="63">
        <f t="shared" si="23"/>
        <v>0</v>
      </c>
      <c r="L50" s="108">
        <f t="shared" si="24"/>
        <v>0</v>
      </c>
      <c r="M50" s="4">
        <v>0</v>
      </c>
      <c r="N50" s="4">
        <v>0</v>
      </c>
      <c r="O50" s="4">
        <v>0</v>
      </c>
      <c r="P50" s="63">
        <f t="shared" si="25"/>
        <v>0</v>
      </c>
      <c r="Q50" s="108">
        <f t="shared" si="26"/>
        <v>0</v>
      </c>
      <c r="R50" s="4">
        <v>0</v>
      </c>
      <c r="S50" s="4">
        <v>0</v>
      </c>
      <c r="T50" s="4">
        <v>0</v>
      </c>
      <c r="U50" s="63">
        <f t="shared" si="27"/>
        <v>0</v>
      </c>
      <c r="V50" s="111">
        <f t="shared" si="28"/>
        <v>0</v>
      </c>
      <c r="W50" s="64">
        <f t="shared" si="19"/>
        <v>0</v>
      </c>
      <c r="X50" s="65">
        <f>W50*365</f>
        <v>0</v>
      </c>
    </row>
    <row r="51" spans="1:24" ht="15" customHeight="1" thickBot="1" x14ac:dyDescent="0.3">
      <c r="A51" s="49" t="s">
        <v>20</v>
      </c>
      <c r="B51" s="43" t="s">
        <v>619</v>
      </c>
      <c r="C51" s="126">
        <v>527.5</v>
      </c>
      <c r="D51" s="126">
        <v>525.79999999999995</v>
      </c>
      <c r="E51" s="118">
        <v>536.1</v>
      </c>
      <c r="F51" s="63">
        <f t="shared" si="21"/>
        <v>529.80000000000007</v>
      </c>
      <c r="G51" s="108">
        <f t="shared" si="22"/>
        <v>48741.600000000006</v>
      </c>
      <c r="H51" s="118">
        <v>527.1</v>
      </c>
      <c r="I51" s="3">
        <v>527</v>
      </c>
      <c r="J51" s="118">
        <v>523.70000000000005</v>
      </c>
      <c r="K51" s="63">
        <f t="shared" si="23"/>
        <v>525.93333333333328</v>
      </c>
      <c r="L51" s="111">
        <f t="shared" si="24"/>
        <v>48385.866666666661</v>
      </c>
      <c r="M51" s="3">
        <v>525</v>
      </c>
      <c r="N51" s="86">
        <v>523</v>
      </c>
      <c r="O51" s="86">
        <v>527.5</v>
      </c>
      <c r="P51" s="63">
        <f t="shared" si="25"/>
        <v>525.16666666666663</v>
      </c>
      <c r="Q51" s="108">
        <f t="shared" si="26"/>
        <v>47265</v>
      </c>
      <c r="R51" s="3">
        <v>532</v>
      </c>
      <c r="S51" s="86">
        <v>529.20000000000005</v>
      </c>
      <c r="T51" s="89">
        <v>529.20000000000005</v>
      </c>
      <c r="U51" s="63">
        <f t="shared" si="27"/>
        <v>530.13333333333333</v>
      </c>
      <c r="V51" s="111">
        <f t="shared" si="28"/>
        <v>48242.133333333331</v>
      </c>
      <c r="W51" s="64">
        <f t="shared" si="19"/>
        <v>527.75833333333333</v>
      </c>
      <c r="X51" s="65">
        <f t="shared" si="20"/>
        <v>192631.79166666666</v>
      </c>
    </row>
    <row r="52" spans="1:24" ht="15" customHeight="1" thickBot="1" x14ac:dyDescent="0.3">
      <c r="A52" s="51" t="s">
        <v>473</v>
      </c>
      <c r="B52" s="44" t="s">
        <v>620</v>
      </c>
      <c r="C52" s="4">
        <f>311.6+96.8</f>
        <v>408.40000000000003</v>
      </c>
      <c r="D52" s="4">
        <f>310.5+102.5</f>
        <v>413</v>
      </c>
      <c r="E52" s="3">
        <f>321.3+111.1</f>
        <v>432.4</v>
      </c>
      <c r="F52" s="63">
        <f t="shared" si="21"/>
        <v>417.93333333333339</v>
      </c>
      <c r="G52" s="108">
        <f t="shared" si="22"/>
        <v>38449.866666666669</v>
      </c>
      <c r="H52" s="3">
        <f>315.6+121.3</f>
        <v>436.90000000000003</v>
      </c>
      <c r="I52" s="3">
        <f>308+122</f>
        <v>430</v>
      </c>
      <c r="J52" s="3">
        <f>294.8+124.6</f>
        <v>419.4</v>
      </c>
      <c r="K52" s="63">
        <f t="shared" si="23"/>
        <v>428.76666666666671</v>
      </c>
      <c r="L52" s="108">
        <f t="shared" si="24"/>
        <v>39446.53333333334</v>
      </c>
      <c r="M52" s="3">
        <f>311.7+127.5</f>
        <v>439.2</v>
      </c>
      <c r="N52" s="87">
        <f>311.1+124.9</f>
        <v>436</v>
      </c>
      <c r="O52" s="87">
        <f>323.3+116.3</f>
        <v>439.6</v>
      </c>
      <c r="P52" s="63">
        <f t="shared" si="25"/>
        <v>438.26666666666671</v>
      </c>
      <c r="Q52" s="108">
        <f t="shared" si="26"/>
        <v>39444.000000000007</v>
      </c>
      <c r="R52" s="3">
        <f>332.3+107.1</f>
        <v>439.4</v>
      </c>
      <c r="S52" s="87">
        <f>343.1+107.9</f>
        <v>451</v>
      </c>
      <c r="T52" s="90">
        <f>326.3+101.3</f>
        <v>427.6</v>
      </c>
      <c r="U52" s="63">
        <f t="shared" si="27"/>
        <v>439.33333333333331</v>
      </c>
      <c r="V52" s="111">
        <f t="shared" si="28"/>
        <v>39979.333333333328</v>
      </c>
      <c r="W52" s="64">
        <f t="shared" si="19"/>
        <v>431.07500000000005</v>
      </c>
      <c r="X52" s="65">
        <f t="shared" si="20"/>
        <v>157342.37500000003</v>
      </c>
    </row>
    <row r="53" spans="1:24" ht="15" customHeight="1" thickBot="1" x14ac:dyDescent="0.3">
      <c r="A53" s="50" t="s">
        <v>143</v>
      </c>
      <c r="B53" s="44" t="s">
        <v>621</v>
      </c>
      <c r="C53" s="4">
        <v>204.2</v>
      </c>
      <c r="D53" s="4">
        <v>191.2</v>
      </c>
      <c r="E53" s="3">
        <v>197</v>
      </c>
      <c r="F53" s="63">
        <f t="shared" si="21"/>
        <v>197.46666666666667</v>
      </c>
      <c r="G53" s="108">
        <f t="shared" si="22"/>
        <v>18166.933333333334</v>
      </c>
      <c r="H53" s="3">
        <v>194.9</v>
      </c>
      <c r="I53" s="3">
        <v>194.2</v>
      </c>
      <c r="J53" s="3">
        <v>195.5</v>
      </c>
      <c r="K53" s="63">
        <f t="shared" si="23"/>
        <v>194.86666666666667</v>
      </c>
      <c r="L53" s="108">
        <f t="shared" si="24"/>
        <v>17927.733333333334</v>
      </c>
      <c r="M53" s="3">
        <v>204.8</v>
      </c>
      <c r="N53" s="87">
        <v>191.9</v>
      </c>
      <c r="O53" s="87">
        <v>199.9</v>
      </c>
      <c r="P53" s="63">
        <f t="shared" si="25"/>
        <v>198.86666666666667</v>
      </c>
      <c r="Q53" s="108">
        <f t="shared" si="26"/>
        <v>17898</v>
      </c>
      <c r="R53" s="3">
        <v>191.4</v>
      </c>
      <c r="S53" s="87">
        <v>182.6</v>
      </c>
      <c r="T53" s="90">
        <v>170.3</v>
      </c>
      <c r="U53" s="63">
        <f t="shared" si="27"/>
        <v>181.43333333333331</v>
      </c>
      <c r="V53" s="111">
        <f t="shared" si="28"/>
        <v>16510.433333333331</v>
      </c>
      <c r="W53" s="64">
        <f t="shared" si="19"/>
        <v>193.15833333333339</v>
      </c>
      <c r="X53" s="65">
        <f t="shared" si="20"/>
        <v>70502.791666666686</v>
      </c>
    </row>
    <row r="54" spans="1:24" ht="15" customHeight="1" thickBot="1" x14ac:dyDescent="0.3">
      <c r="A54" s="50" t="s">
        <v>144</v>
      </c>
      <c r="B54" s="34"/>
      <c r="C54" s="4">
        <v>0</v>
      </c>
      <c r="D54" s="4">
        <v>0</v>
      </c>
      <c r="E54" s="4">
        <v>0</v>
      </c>
      <c r="F54" s="67">
        <f t="shared" si="21"/>
        <v>0</v>
      </c>
      <c r="G54" s="108">
        <f t="shared" si="22"/>
        <v>0</v>
      </c>
      <c r="H54" s="4">
        <v>0</v>
      </c>
      <c r="I54" s="4">
        <v>0</v>
      </c>
      <c r="J54" s="4">
        <v>0</v>
      </c>
      <c r="K54" s="67">
        <f t="shared" si="23"/>
        <v>0</v>
      </c>
      <c r="L54" s="108">
        <f t="shared" si="24"/>
        <v>0</v>
      </c>
      <c r="M54" s="4">
        <v>0</v>
      </c>
      <c r="N54" s="4">
        <v>0</v>
      </c>
      <c r="O54" s="4">
        <v>0</v>
      </c>
      <c r="P54" s="67">
        <f t="shared" si="25"/>
        <v>0</v>
      </c>
      <c r="Q54" s="108">
        <f t="shared" si="26"/>
        <v>0</v>
      </c>
      <c r="R54" s="3" t="s">
        <v>115</v>
      </c>
      <c r="S54" s="3" t="s">
        <v>115</v>
      </c>
      <c r="T54" s="4" t="s">
        <v>115</v>
      </c>
      <c r="U54" s="67">
        <f t="shared" si="27"/>
        <v>0</v>
      </c>
      <c r="V54" s="112">
        <f t="shared" si="28"/>
        <v>0</v>
      </c>
      <c r="W54" s="64">
        <v>0</v>
      </c>
      <c r="X54" s="65">
        <f t="shared" si="20"/>
        <v>0</v>
      </c>
    </row>
    <row r="55" spans="1:24" ht="15" customHeight="1" thickBot="1" x14ac:dyDescent="0.3">
      <c r="A55" s="755" t="s">
        <v>152</v>
      </c>
      <c r="B55" s="756"/>
      <c r="C55" s="757">
        <f>SUM(C41:C54)</f>
        <v>5070.2999999999993</v>
      </c>
      <c r="D55" s="757">
        <f>SUM(D41:D54)</f>
        <v>5090.6000000000004</v>
      </c>
      <c r="E55" s="757">
        <f>SUM(E41:E54)</f>
        <v>5159.3999999999996</v>
      </c>
      <c r="F55" s="758">
        <f>SUM(C55:E55)/3</f>
        <v>5106.7666666666664</v>
      </c>
      <c r="G55" s="759">
        <f>F55*92</f>
        <v>469822.53333333333</v>
      </c>
      <c r="H55" s="760">
        <f>SUM(H41:H54)</f>
        <v>5122.7</v>
      </c>
      <c r="I55" s="757">
        <f>SUM(I41:I54)</f>
        <v>5136.9000000000005</v>
      </c>
      <c r="J55" s="757">
        <f>SUM(J41:J54)</f>
        <v>5102.5999999999995</v>
      </c>
      <c r="K55" s="758">
        <f t="shared" si="23"/>
        <v>5120.7333333333336</v>
      </c>
      <c r="L55" s="761">
        <f t="shared" si="24"/>
        <v>471107.46666666667</v>
      </c>
      <c r="M55" s="762">
        <f>SUM(M41:M54)</f>
        <v>5221.6000000000004</v>
      </c>
      <c r="N55" s="757">
        <f>SUM(N41:N54)</f>
        <v>5203.5999999999995</v>
      </c>
      <c r="O55" s="757">
        <f>SUM(O41:O54)</f>
        <v>5124</v>
      </c>
      <c r="P55" s="758">
        <f t="shared" si="25"/>
        <v>5183.0666666666666</v>
      </c>
      <c r="Q55" s="761">
        <f t="shared" si="26"/>
        <v>466476</v>
      </c>
      <c r="R55" s="760">
        <f>SUM(R41:R54)</f>
        <v>5087.6999999999989</v>
      </c>
      <c r="S55" s="757">
        <f>SUM(S41:S54)</f>
        <v>5110.3000000000011</v>
      </c>
      <c r="T55" s="763">
        <f>SUM(T41:T54)</f>
        <v>5031.5</v>
      </c>
      <c r="U55" s="758">
        <f t="shared" si="27"/>
        <v>5076.5</v>
      </c>
      <c r="V55" s="764">
        <f t="shared" si="28"/>
        <v>461961.5</v>
      </c>
      <c r="W55" s="765">
        <f>SUM(C55+D55+E55+H55+I55+J55+M55+N55+O55+R55+S55+T55)/12</f>
        <v>5121.7666666666664</v>
      </c>
      <c r="X55" s="776">
        <f>SUM(X41:X54)</f>
        <v>1869444.8333333337</v>
      </c>
    </row>
    <row r="56" spans="1:24" ht="15" customHeight="1" thickBot="1" x14ac:dyDescent="0.3">
      <c r="A56" s="46" t="s">
        <v>153</v>
      </c>
      <c r="B56" s="35"/>
      <c r="C56" s="70"/>
      <c r="D56" s="70"/>
      <c r="E56" s="71"/>
      <c r="F56" s="98"/>
      <c r="G56" s="98"/>
      <c r="H56" s="72"/>
      <c r="I56" s="70"/>
      <c r="J56" s="71"/>
      <c r="K56" s="97"/>
      <c r="L56" s="97"/>
      <c r="M56" s="72"/>
      <c r="N56" s="70"/>
      <c r="O56" s="71"/>
      <c r="P56" s="97"/>
      <c r="Q56" s="97"/>
      <c r="R56" s="72"/>
      <c r="S56" s="70"/>
      <c r="T56" s="71"/>
      <c r="U56" s="71"/>
      <c r="V56" s="70"/>
      <c r="W56" s="96"/>
      <c r="X56" s="69" t="s">
        <v>0</v>
      </c>
    </row>
    <row r="57" spans="1:24" ht="15" customHeight="1" thickBot="1" x14ac:dyDescent="0.3">
      <c r="A57" s="766" t="s">
        <v>145</v>
      </c>
      <c r="B57" s="767" t="s">
        <v>513</v>
      </c>
      <c r="C57" s="768">
        <v>739.16</v>
      </c>
      <c r="D57" s="768">
        <v>734</v>
      </c>
      <c r="E57" s="768">
        <v>727.13</v>
      </c>
      <c r="F57" s="769">
        <f t="shared" ref="F57:F63" si="29">SUM(C57:E57)/3</f>
        <v>733.43</v>
      </c>
      <c r="G57" s="770">
        <f t="shared" ref="G57:G63" si="30">F57*92</f>
        <v>67475.56</v>
      </c>
      <c r="H57" s="768">
        <f>655.87+53</f>
        <v>708.87</v>
      </c>
      <c r="I57" s="768">
        <v>686.93</v>
      </c>
      <c r="J57" s="768">
        <v>643</v>
      </c>
      <c r="K57" s="769">
        <f t="shared" ref="K57:K64" si="31">SUM(H57:J57)/3</f>
        <v>679.6</v>
      </c>
      <c r="L57" s="770">
        <f t="shared" ref="L57:L63" si="32">K57*92</f>
        <v>62523.200000000004</v>
      </c>
      <c r="M57" s="768">
        <v>633.03</v>
      </c>
      <c r="N57" s="771">
        <v>647</v>
      </c>
      <c r="O57" s="771">
        <v>708.84</v>
      </c>
      <c r="P57" s="769">
        <f t="shared" ref="P57:P64" si="33">SUM(M57:O57)/3</f>
        <v>662.95666666666659</v>
      </c>
      <c r="Q57" s="770">
        <f t="shared" ref="Q57:Q63" si="34">P57*90</f>
        <v>59666.099999999991</v>
      </c>
      <c r="R57" s="768">
        <v>694.6</v>
      </c>
      <c r="S57" s="771">
        <v>682.87</v>
      </c>
      <c r="T57" s="772">
        <v>683.07</v>
      </c>
      <c r="U57" s="769">
        <f t="shared" ref="U57:U64" si="35">SUM(R57:T57)/3</f>
        <v>686.84666666666669</v>
      </c>
      <c r="V57" s="773">
        <f t="shared" ref="V57:V63" si="36">U57*91</f>
        <v>62503.046666666669</v>
      </c>
      <c r="W57" s="774">
        <f t="shared" ref="W57:W60" si="37">SUM(C57+D57+E57+H57+I57+J57+M57+N57+O57+R57+S57+T57)/12</f>
        <v>690.70833333333337</v>
      </c>
      <c r="X57" s="775">
        <f t="shared" ref="X57:X62" si="38">W57*365</f>
        <v>252108.54166666669</v>
      </c>
    </row>
    <row r="58" spans="1:24" ht="15" customHeight="1" thickBot="1" x14ac:dyDescent="0.3">
      <c r="A58" s="50" t="s">
        <v>146</v>
      </c>
      <c r="B58" s="507">
        <v>35</v>
      </c>
      <c r="C58" s="5">
        <v>11</v>
      </c>
      <c r="D58" s="5">
        <v>10.71</v>
      </c>
      <c r="E58" s="5">
        <v>9.9700000000000006</v>
      </c>
      <c r="F58" s="63">
        <f t="shared" si="29"/>
        <v>10.56</v>
      </c>
      <c r="G58" s="108">
        <f t="shared" si="30"/>
        <v>971.5200000000001</v>
      </c>
      <c r="H58" s="5">
        <v>10</v>
      </c>
      <c r="I58" s="5">
        <v>10</v>
      </c>
      <c r="J58" s="5">
        <v>9.52</v>
      </c>
      <c r="K58" s="63">
        <f t="shared" si="31"/>
        <v>9.84</v>
      </c>
      <c r="L58" s="108">
        <f t="shared" si="32"/>
        <v>905.28</v>
      </c>
      <c r="M58" s="5">
        <v>8.35</v>
      </c>
      <c r="N58" s="75">
        <v>6</v>
      </c>
      <c r="O58" s="75">
        <v>5.71</v>
      </c>
      <c r="P58" s="63">
        <f t="shared" si="33"/>
        <v>6.6866666666666665</v>
      </c>
      <c r="Q58" s="108">
        <f t="shared" si="34"/>
        <v>601.79999999999995</v>
      </c>
      <c r="R58" s="5">
        <v>5.53</v>
      </c>
      <c r="S58" s="75">
        <v>5.84</v>
      </c>
      <c r="T58" s="76">
        <v>5.2</v>
      </c>
      <c r="U58" s="63">
        <f t="shared" si="35"/>
        <v>5.5233333333333334</v>
      </c>
      <c r="V58" s="111">
        <f t="shared" si="36"/>
        <v>502.62333333333333</v>
      </c>
      <c r="W58" s="64">
        <f t="shared" si="37"/>
        <v>8.1524999999999999</v>
      </c>
      <c r="X58" s="65">
        <f t="shared" si="38"/>
        <v>2975.6624999999999</v>
      </c>
    </row>
    <row r="59" spans="1:24" ht="15" customHeight="1" thickBot="1" x14ac:dyDescent="0.3">
      <c r="A59" s="50" t="s">
        <v>148</v>
      </c>
      <c r="B59" s="507">
        <v>26</v>
      </c>
      <c r="C59" s="5">
        <v>13</v>
      </c>
      <c r="D59" s="5">
        <v>14</v>
      </c>
      <c r="E59" s="5">
        <v>16</v>
      </c>
      <c r="F59" s="63">
        <f t="shared" si="29"/>
        <v>14.333333333333334</v>
      </c>
      <c r="G59" s="108">
        <f t="shared" si="30"/>
        <v>1318.6666666666667</v>
      </c>
      <c r="H59" s="5">
        <v>18</v>
      </c>
      <c r="I59" s="5">
        <v>19</v>
      </c>
      <c r="J59" s="5">
        <v>19</v>
      </c>
      <c r="K59" s="63">
        <f t="shared" si="31"/>
        <v>18.666666666666668</v>
      </c>
      <c r="L59" s="108">
        <f t="shared" si="32"/>
        <v>1717.3333333333335</v>
      </c>
      <c r="M59" s="5">
        <v>15</v>
      </c>
      <c r="N59" s="75">
        <v>13</v>
      </c>
      <c r="O59" s="75">
        <v>11</v>
      </c>
      <c r="P59" s="63">
        <f t="shared" si="33"/>
        <v>13</v>
      </c>
      <c r="Q59" s="108">
        <f t="shared" si="34"/>
        <v>1170</v>
      </c>
      <c r="R59" s="5">
        <v>11</v>
      </c>
      <c r="S59" s="75">
        <v>11</v>
      </c>
      <c r="T59" s="76">
        <v>12</v>
      </c>
      <c r="U59" s="63">
        <f t="shared" si="35"/>
        <v>11.333333333333334</v>
      </c>
      <c r="V59" s="111">
        <f t="shared" si="36"/>
        <v>1031.3333333333335</v>
      </c>
      <c r="W59" s="64">
        <f t="shared" si="37"/>
        <v>14.333333333333334</v>
      </c>
      <c r="X59" s="65">
        <f t="shared" si="38"/>
        <v>5231.666666666667</v>
      </c>
    </row>
    <row r="60" spans="1:24" ht="15" customHeight="1" thickBot="1" x14ac:dyDescent="0.3">
      <c r="A60" s="50" t="s">
        <v>147</v>
      </c>
      <c r="B60" s="507" t="s">
        <v>476</v>
      </c>
      <c r="C60" s="5">
        <v>426</v>
      </c>
      <c r="D60" s="5">
        <v>416</v>
      </c>
      <c r="E60" s="5">
        <v>425</v>
      </c>
      <c r="F60" s="63">
        <f t="shared" si="29"/>
        <v>422.33333333333331</v>
      </c>
      <c r="G60" s="108">
        <f t="shared" si="30"/>
        <v>38854.666666666664</v>
      </c>
      <c r="H60" s="5">
        <v>428</v>
      </c>
      <c r="I60" s="5">
        <v>427</v>
      </c>
      <c r="J60" s="5">
        <v>441</v>
      </c>
      <c r="K60" s="63">
        <f t="shared" si="31"/>
        <v>432</v>
      </c>
      <c r="L60" s="108">
        <f t="shared" si="32"/>
        <v>39744</v>
      </c>
      <c r="M60" s="5">
        <v>452</v>
      </c>
      <c r="N60" s="75">
        <v>467</v>
      </c>
      <c r="O60" s="75">
        <v>449</v>
      </c>
      <c r="P60" s="63">
        <f t="shared" si="33"/>
        <v>456</v>
      </c>
      <c r="Q60" s="108">
        <f t="shared" si="34"/>
        <v>41040</v>
      </c>
      <c r="R60" s="5">
        <v>449</v>
      </c>
      <c r="S60" s="75">
        <v>448</v>
      </c>
      <c r="T60" s="76">
        <v>455</v>
      </c>
      <c r="U60" s="63">
        <f t="shared" si="35"/>
        <v>450.66666666666669</v>
      </c>
      <c r="V60" s="111">
        <f t="shared" si="36"/>
        <v>41010.666666666672</v>
      </c>
      <c r="W60" s="64">
        <f t="shared" si="37"/>
        <v>440.25</v>
      </c>
      <c r="X60" s="65">
        <f t="shared" si="38"/>
        <v>160691.25</v>
      </c>
    </row>
    <row r="61" spans="1:24" ht="15" customHeight="1" thickBot="1" x14ac:dyDescent="0.3">
      <c r="A61" s="50" t="s">
        <v>371</v>
      </c>
      <c r="B61" s="507">
        <v>1050</v>
      </c>
      <c r="C61" s="5" t="s">
        <v>622</v>
      </c>
      <c r="D61" s="5" t="s">
        <v>622</v>
      </c>
      <c r="E61" s="5" t="s">
        <v>622</v>
      </c>
      <c r="F61" s="63">
        <f t="shared" si="29"/>
        <v>0</v>
      </c>
      <c r="G61" s="108">
        <f t="shared" si="30"/>
        <v>0</v>
      </c>
      <c r="H61" s="5" t="s">
        <v>622</v>
      </c>
      <c r="I61" s="5" t="s">
        <v>622</v>
      </c>
      <c r="J61" s="5" t="s">
        <v>622</v>
      </c>
      <c r="K61" s="63">
        <f t="shared" si="31"/>
        <v>0</v>
      </c>
      <c r="L61" s="108">
        <f t="shared" si="32"/>
        <v>0</v>
      </c>
      <c r="M61" s="5" t="s">
        <v>622</v>
      </c>
      <c r="N61" s="75" t="s">
        <v>622</v>
      </c>
      <c r="O61" s="75" t="s">
        <v>622</v>
      </c>
      <c r="P61" s="63">
        <f t="shared" si="33"/>
        <v>0</v>
      </c>
      <c r="Q61" s="108">
        <f t="shared" si="34"/>
        <v>0</v>
      </c>
      <c r="R61" s="5" t="s">
        <v>622</v>
      </c>
      <c r="S61" s="75" t="s">
        <v>622</v>
      </c>
      <c r="T61" s="76" t="s">
        <v>622</v>
      </c>
      <c r="U61" s="63">
        <f t="shared" si="35"/>
        <v>0</v>
      </c>
      <c r="V61" s="111">
        <f t="shared" si="36"/>
        <v>0</v>
      </c>
      <c r="W61" s="64">
        <v>0</v>
      </c>
      <c r="X61" s="65">
        <f t="shared" si="38"/>
        <v>0</v>
      </c>
    </row>
    <row r="62" spans="1:24" ht="15" customHeight="1" thickBot="1" x14ac:dyDescent="0.3">
      <c r="A62" s="50" t="s">
        <v>150</v>
      </c>
      <c r="B62" s="507" t="s">
        <v>476</v>
      </c>
      <c r="C62" s="5">
        <v>14</v>
      </c>
      <c r="D62" s="5">
        <v>13</v>
      </c>
      <c r="E62" s="5">
        <v>13</v>
      </c>
      <c r="F62" s="63">
        <f t="shared" si="29"/>
        <v>13.333333333333334</v>
      </c>
      <c r="G62" s="108">
        <f t="shared" si="30"/>
        <v>1226.6666666666667</v>
      </c>
      <c r="H62" s="5">
        <v>13</v>
      </c>
      <c r="I62" s="5">
        <v>13</v>
      </c>
      <c r="J62" s="5">
        <v>12</v>
      </c>
      <c r="K62" s="63">
        <f t="shared" si="31"/>
        <v>12.666666666666666</v>
      </c>
      <c r="L62" s="108">
        <f t="shared" si="32"/>
        <v>1165.3333333333333</v>
      </c>
      <c r="M62" s="5">
        <v>12</v>
      </c>
      <c r="N62" s="75">
        <v>12</v>
      </c>
      <c r="O62" s="75">
        <v>12</v>
      </c>
      <c r="P62" s="63">
        <f t="shared" si="33"/>
        <v>12</v>
      </c>
      <c r="Q62" s="108">
        <f t="shared" si="34"/>
        <v>1080</v>
      </c>
      <c r="R62" s="5">
        <v>12</v>
      </c>
      <c r="S62" s="75">
        <v>12</v>
      </c>
      <c r="T62" s="76">
        <v>12</v>
      </c>
      <c r="U62" s="63">
        <f t="shared" si="35"/>
        <v>12</v>
      </c>
      <c r="V62" s="112">
        <f t="shared" si="36"/>
        <v>1092</v>
      </c>
      <c r="W62" s="64">
        <f>SUM(C62+D62+E62+H62+I62+J62+M62+N62+O62+R62+S62+T62)/12</f>
        <v>12.5</v>
      </c>
      <c r="X62" s="65">
        <f t="shared" si="38"/>
        <v>4562.5</v>
      </c>
    </row>
    <row r="63" spans="1:24" ht="15" customHeight="1" thickBot="1" x14ac:dyDescent="0.3">
      <c r="A63" s="53" t="s">
        <v>154</v>
      </c>
      <c r="B63" s="37"/>
      <c r="C63" s="80">
        <f>SUM(C57:C62)</f>
        <v>1203.1599999999999</v>
      </c>
      <c r="D63" s="80">
        <f>SUM(D57:D62)</f>
        <v>1187.71</v>
      </c>
      <c r="E63" s="80">
        <f>SUM(E57:E62)</f>
        <v>1191.0999999999999</v>
      </c>
      <c r="F63" s="68">
        <f t="shared" si="29"/>
        <v>1193.99</v>
      </c>
      <c r="G63" s="108">
        <f t="shared" si="30"/>
        <v>109847.08</v>
      </c>
      <c r="H63" s="94">
        <f>SUM(H57:H62)</f>
        <v>1177.8699999999999</v>
      </c>
      <c r="I63" s="80">
        <f>SUM(I57:I62)</f>
        <v>1155.9299999999998</v>
      </c>
      <c r="J63" s="80">
        <f>SUM(J57:J62)</f>
        <v>1124.52</v>
      </c>
      <c r="K63" s="68">
        <f t="shared" si="31"/>
        <v>1152.7733333333333</v>
      </c>
      <c r="L63" s="119">
        <f t="shared" si="32"/>
        <v>106055.14666666667</v>
      </c>
      <c r="M63" s="94">
        <f>SUM(M57:M62)</f>
        <v>1120.3800000000001</v>
      </c>
      <c r="N63" s="80">
        <f>SUM(N57:N62)</f>
        <v>1145</v>
      </c>
      <c r="O63" s="80">
        <f>SUM(O57:O62)</f>
        <v>1186.5500000000002</v>
      </c>
      <c r="P63" s="68">
        <f t="shared" si="33"/>
        <v>1150.6433333333334</v>
      </c>
      <c r="Q63" s="108">
        <f t="shared" si="34"/>
        <v>103557.90000000001</v>
      </c>
      <c r="R63" s="94">
        <f>SUM(R57:R62)</f>
        <v>1172.1300000000001</v>
      </c>
      <c r="S63" s="80">
        <f>SUM(S57:S62)</f>
        <v>1159.71</v>
      </c>
      <c r="T63" s="81">
        <f>SUM(T57:T62)</f>
        <v>1167.27</v>
      </c>
      <c r="U63" s="68">
        <f t="shared" si="35"/>
        <v>1166.3700000000001</v>
      </c>
      <c r="V63" s="120">
        <f t="shared" si="36"/>
        <v>106139.67000000001</v>
      </c>
      <c r="W63" s="69">
        <f>SUM(W57:W62)</f>
        <v>1165.9441666666667</v>
      </c>
      <c r="X63" s="69">
        <f>SUM(X57:X62)</f>
        <v>425569.62083333335</v>
      </c>
    </row>
    <row r="64" spans="1:24" ht="15" customHeight="1" thickBot="1" x14ac:dyDescent="0.3">
      <c r="A64" s="54" t="s">
        <v>158</v>
      </c>
      <c r="B64" s="38"/>
      <c r="C64" s="80">
        <f>C55+C63</f>
        <v>6273.4599999999991</v>
      </c>
      <c r="D64" s="80">
        <f>D55+D63</f>
        <v>6278.31</v>
      </c>
      <c r="E64" s="80">
        <f>E55+E63</f>
        <v>6350.5</v>
      </c>
      <c r="F64" s="80">
        <f>F55+F63</f>
        <v>6300.7566666666662</v>
      </c>
      <c r="G64" s="68">
        <f>SUM(G55+G63)</f>
        <v>579669.61333333328</v>
      </c>
      <c r="H64" s="80">
        <f>H55+H63</f>
        <v>6300.57</v>
      </c>
      <c r="I64" s="80">
        <f>I55+I63</f>
        <v>6292.83</v>
      </c>
      <c r="J64" s="80">
        <f>J55+J63</f>
        <v>6227.119999999999</v>
      </c>
      <c r="K64" s="120">
        <f t="shared" si="31"/>
        <v>6273.5066666666653</v>
      </c>
      <c r="L64" s="68">
        <f>SUM(L55+L63)</f>
        <v>577162.61333333328</v>
      </c>
      <c r="M64" s="94">
        <f>M55+M63</f>
        <v>6341.9800000000005</v>
      </c>
      <c r="N64" s="80">
        <f>N55+N63</f>
        <v>6348.5999999999995</v>
      </c>
      <c r="O64" s="80">
        <f>O55+O63</f>
        <v>6310.55</v>
      </c>
      <c r="P64" s="99">
        <f t="shared" si="33"/>
        <v>6333.71</v>
      </c>
      <c r="Q64" s="68">
        <f>SUM(Q55+Q63)</f>
        <v>570033.9</v>
      </c>
      <c r="R64" s="94">
        <f>R55+R63</f>
        <v>6259.829999999999</v>
      </c>
      <c r="S64" s="80">
        <f>S55+S63</f>
        <v>6270.0100000000011</v>
      </c>
      <c r="T64" s="81">
        <f>T55+T63</f>
        <v>6198.77</v>
      </c>
      <c r="U64" s="99">
        <f t="shared" si="35"/>
        <v>6242.87</v>
      </c>
      <c r="V64" s="68">
        <f>SUM(V55+V63)</f>
        <v>568101.17000000004</v>
      </c>
      <c r="W64" s="80">
        <f>W55+W63</f>
        <v>6287.7108333333326</v>
      </c>
      <c r="X64" s="82">
        <f>X55+X63</f>
        <v>2295014.4541666671</v>
      </c>
    </row>
    <row r="65" spans="1:24" ht="15" customHeight="1" x14ac:dyDescent="0.25">
      <c r="A65" s="114" t="s">
        <v>623</v>
      </c>
      <c r="B65" s="19"/>
      <c r="C65" s="115"/>
      <c r="D65" s="115"/>
      <c r="E65" s="115"/>
      <c r="F65" s="115"/>
      <c r="G65" s="113"/>
      <c r="H65" s="115"/>
      <c r="I65" s="115"/>
      <c r="J65" s="115"/>
      <c r="K65" s="139"/>
      <c r="L65" s="113"/>
      <c r="M65" s="115"/>
      <c r="N65" s="115"/>
      <c r="O65" s="115"/>
      <c r="P65" s="93"/>
      <c r="Q65" s="113"/>
      <c r="R65" s="115"/>
      <c r="S65" s="115"/>
      <c r="T65" s="115"/>
      <c r="U65" s="93"/>
      <c r="V65" s="113"/>
      <c r="W65" s="115"/>
      <c r="X65" s="115"/>
    </row>
    <row r="66" spans="1:24" ht="15" customHeight="1" x14ac:dyDescent="0.25">
      <c r="A66" s="114" t="s">
        <v>624</v>
      </c>
      <c r="B66" s="19"/>
      <c r="C66" s="115"/>
      <c r="D66" s="115"/>
      <c r="E66" s="115"/>
      <c r="F66" s="115"/>
      <c r="G66" s="113"/>
      <c r="H66" s="115"/>
      <c r="I66" s="115"/>
      <c r="J66" s="115"/>
      <c r="K66" s="139"/>
      <c r="L66" s="113"/>
      <c r="M66" s="115"/>
      <c r="N66" s="115"/>
      <c r="O66" s="115"/>
      <c r="P66" s="93"/>
      <c r="Q66" s="113"/>
      <c r="R66" s="115"/>
      <c r="S66" s="115"/>
      <c r="T66" s="115"/>
      <c r="U66" s="93"/>
      <c r="V66" s="113"/>
      <c r="W66" s="115"/>
      <c r="X66" s="115"/>
    </row>
    <row r="67" spans="1:24" ht="15" customHeight="1" x14ac:dyDescent="0.25">
      <c r="A67" s="114" t="s">
        <v>514</v>
      </c>
      <c r="B67" s="19"/>
      <c r="C67" s="115"/>
      <c r="D67" s="115"/>
      <c r="E67" s="115"/>
      <c r="F67" s="115"/>
      <c r="G67" s="113"/>
      <c r="H67" s="115"/>
      <c r="I67" s="115"/>
      <c r="J67" s="115"/>
      <c r="K67" s="139"/>
      <c r="L67" s="113"/>
      <c r="M67" s="115"/>
      <c r="N67" s="115"/>
      <c r="O67" s="115"/>
      <c r="P67" s="93"/>
      <c r="Q67" s="113"/>
      <c r="R67" s="115"/>
      <c r="S67" s="115"/>
      <c r="T67" s="115"/>
      <c r="U67" s="93"/>
      <c r="V67" s="113"/>
      <c r="W67" s="115"/>
      <c r="X67" s="115"/>
    </row>
    <row r="68" spans="1:24" ht="15" customHeight="1" x14ac:dyDescent="0.25">
      <c r="A68" s="114" t="s">
        <v>568</v>
      </c>
      <c r="B68" s="19"/>
      <c r="C68" s="115"/>
      <c r="D68" s="115"/>
      <c r="E68" s="115"/>
      <c r="F68" s="115"/>
      <c r="G68" s="113"/>
      <c r="H68" s="115"/>
      <c r="I68" s="115"/>
      <c r="J68" s="115"/>
      <c r="K68" s="139"/>
      <c r="L68" s="113"/>
      <c r="M68" s="115"/>
      <c r="N68" s="115"/>
      <c r="O68" s="115"/>
      <c r="P68" s="93"/>
      <c r="Q68" s="113"/>
      <c r="R68" s="115"/>
      <c r="S68" s="115"/>
      <c r="T68" s="115"/>
      <c r="U68" s="93"/>
      <c r="V68" s="113"/>
      <c r="W68" s="115"/>
      <c r="X68" s="115"/>
    </row>
    <row r="69" spans="1:24" ht="15" customHeight="1" x14ac:dyDescent="0.2">
      <c r="A69" s="45"/>
      <c r="B69" s="10"/>
      <c r="C69" s="13"/>
      <c r="D69" s="13"/>
      <c r="E69" s="13"/>
      <c r="F69" s="13"/>
      <c r="G69" s="13"/>
      <c r="H69" s="13"/>
      <c r="I69" s="13"/>
      <c r="J69" s="13"/>
      <c r="K69" s="13"/>
      <c r="L69" s="13"/>
      <c r="M69" s="13"/>
      <c r="N69" s="13"/>
      <c r="O69" s="13"/>
      <c r="P69" s="13"/>
      <c r="Q69" s="13"/>
      <c r="R69" s="13"/>
      <c r="S69" s="13"/>
      <c r="T69" s="13"/>
      <c r="U69" s="13"/>
      <c r="V69" s="13"/>
      <c r="W69" s="13"/>
      <c r="X69" s="13"/>
    </row>
    <row r="70" spans="1:24" ht="15" customHeight="1" x14ac:dyDescent="0.2">
      <c r="A70" s="45"/>
      <c r="B70" s="10"/>
      <c r="C70" s="13"/>
      <c r="D70" s="13"/>
      <c r="E70" s="13"/>
      <c r="F70" s="13"/>
      <c r="G70" s="13"/>
      <c r="H70" s="13"/>
      <c r="I70" s="13"/>
      <c r="J70" s="13"/>
      <c r="K70" s="13"/>
      <c r="L70" s="13"/>
      <c r="M70" s="13"/>
      <c r="N70" s="13"/>
      <c r="O70" s="13"/>
      <c r="P70" s="13"/>
      <c r="Q70" s="13"/>
      <c r="R70" s="13"/>
      <c r="S70" s="13"/>
      <c r="T70" s="13"/>
      <c r="U70" s="13"/>
      <c r="V70" s="13"/>
      <c r="W70" s="13"/>
      <c r="X70" s="13"/>
    </row>
    <row r="71" spans="1:24" ht="15" customHeight="1" thickBot="1" x14ac:dyDescent="0.25">
      <c r="A71" s="45" t="s">
        <v>157</v>
      </c>
      <c r="B71" s="10"/>
      <c r="C71" s="13"/>
      <c r="D71" s="13"/>
      <c r="E71" s="13"/>
      <c r="F71" s="13"/>
      <c r="G71" s="13"/>
      <c r="H71" s="13"/>
      <c r="I71" s="13"/>
      <c r="J71" s="13"/>
      <c r="K71" s="13"/>
      <c r="L71" s="13"/>
      <c r="M71" s="13"/>
      <c r="N71" s="13"/>
      <c r="O71" s="13"/>
      <c r="P71" s="13"/>
      <c r="Q71" s="13"/>
      <c r="R71" s="13"/>
      <c r="S71" s="13"/>
      <c r="T71" s="13"/>
      <c r="U71" s="13"/>
      <c r="V71" s="13"/>
      <c r="W71" s="13"/>
      <c r="X71" s="13"/>
    </row>
    <row r="72" spans="1:24" ht="15" customHeight="1" thickBot="1" x14ac:dyDescent="0.25">
      <c r="A72" s="683" t="s">
        <v>569</v>
      </c>
      <c r="B72" s="1174" t="s">
        <v>155</v>
      </c>
      <c r="C72" s="1175"/>
      <c r="D72" s="1175"/>
      <c r="E72" s="1175"/>
      <c r="F72" s="1175"/>
      <c r="G72" s="1175"/>
      <c r="H72" s="1175"/>
      <c r="I72" s="1175"/>
      <c r="J72" s="1175"/>
      <c r="K72" s="1175"/>
      <c r="L72" s="1175"/>
      <c r="M72" s="1175"/>
      <c r="N72" s="1175"/>
      <c r="O72" s="1175"/>
      <c r="P72" s="1175"/>
      <c r="Q72" s="1175"/>
      <c r="R72" s="1175"/>
      <c r="S72" s="1175"/>
      <c r="T72" s="1175"/>
      <c r="U72" s="39"/>
      <c r="V72" s="39"/>
      <c r="W72" s="92"/>
      <c r="X72" s="13"/>
    </row>
    <row r="73" spans="1:24" ht="15" customHeight="1" x14ac:dyDescent="0.25">
      <c r="A73" s="56"/>
      <c r="B73" s="40" t="s">
        <v>268</v>
      </c>
      <c r="C73" s="57"/>
      <c r="D73" s="58"/>
      <c r="E73" s="58"/>
      <c r="F73" s="1158" t="s">
        <v>265</v>
      </c>
      <c r="G73" s="1160" t="s">
        <v>285</v>
      </c>
      <c r="H73" s="58"/>
      <c r="I73" s="58"/>
      <c r="J73" s="58"/>
      <c r="K73" s="1158" t="s">
        <v>265</v>
      </c>
      <c r="L73" s="1160" t="s">
        <v>285</v>
      </c>
      <c r="M73" s="58"/>
      <c r="N73" s="58"/>
      <c r="O73" s="58"/>
      <c r="P73" s="1158" t="s">
        <v>265</v>
      </c>
      <c r="Q73" s="1160" t="s">
        <v>285</v>
      </c>
      <c r="R73" s="58"/>
      <c r="S73" s="58"/>
      <c r="T73" s="59"/>
      <c r="U73" s="1158" t="s">
        <v>265</v>
      </c>
      <c r="V73" s="1160" t="s">
        <v>285</v>
      </c>
      <c r="W73" s="1167" t="s">
        <v>156</v>
      </c>
      <c r="X73" s="1165" t="s">
        <v>157</v>
      </c>
    </row>
    <row r="74" spans="1:24" ht="23.25" customHeight="1" thickBot="1" x14ac:dyDescent="0.3">
      <c r="A74" s="47" t="s">
        <v>56</v>
      </c>
      <c r="B74" s="41" t="s">
        <v>471</v>
      </c>
      <c r="C74" s="60">
        <v>41456</v>
      </c>
      <c r="D74" s="61">
        <v>41487</v>
      </c>
      <c r="E74" s="61">
        <v>41518</v>
      </c>
      <c r="F74" s="1159"/>
      <c r="G74" s="1161"/>
      <c r="H74" s="61">
        <v>41548</v>
      </c>
      <c r="I74" s="61">
        <v>41579</v>
      </c>
      <c r="J74" s="61">
        <v>41609</v>
      </c>
      <c r="K74" s="1159"/>
      <c r="L74" s="1161"/>
      <c r="M74" s="61">
        <v>41640</v>
      </c>
      <c r="N74" s="61">
        <v>41671</v>
      </c>
      <c r="O74" s="61">
        <v>41699</v>
      </c>
      <c r="P74" s="1159"/>
      <c r="Q74" s="1161"/>
      <c r="R74" s="61">
        <v>41730</v>
      </c>
      <c r="S74" s="61">
        <v>41760</v>
      </c>
      <c r="T74" s="62">
        <v>41791</v>
      </c>
      <c r="U74" s="1159"/>
      <c r="V74" s="1161"/>
      <c r="W74" s="1168"/>
      <c r="X74" s="1166"/>
    </row>
    <row r="75" spans="1:24" ht="15" customHeight="1" thickBot="1" x14ac:dyDescent="0.3">
      <c r="A75" s="48" t="s">
        <v>317</v>
      </c>
      <c r="B75" s="42" t="s">
        <v>509</v>
      </c>
      <c r="C75" s="125">
        <v>941.97</v>
      </c>
      <c r="D75" s="125">
        <v>957.77</v>
      </c>
      <c r="E75" s="117">
        <v>933.83</v>
      </c>
      <c r="F75" s="63">
        <f>SUM(C75:E75)/3</f>
        <v>944.52333333333343</v>
      </c>
      <c r="G75" s="108">
        <f>F75*92</f>
        <v>86896.146666666682</v>
      </c>
      <c r="H75" s="117">
        <v>918.42</v>
      </c>
      <c r="I75" s="117">
        <v>899.6</v>
      </c>
      <c r="J75" s="117">
        <v>866.23</v>
      </c>
      <c r="K75" s="63">
        <f>SUM(H75:J75)/3</f>
        <v>894.75</v>
      </c>
      <c r="L75" s="108">
        <f>K75*92</f>
        <v>82317</v>
      </c>
      <c r="M75" s="117">
        <v>899.3</v>
      </c>
      <c r="N75" s="85">
        <v>927.3</v>
      </c>
      <c r="O75" s="85">
        <v>896.5</v>
      </c>
      <c r="P75" s="63">
        <f>SUM(M75:O75)/3</f>
        <v>907.69999999999993</v>
      </c>
      <c r="Q75" s="108">
        <f>P75*90</f>
        <v>81693</v>
      </c>
      <c r="R75" s="117">
        <v>793.4</v>
      </c>
      <c r="S75" s="85">
        <v>764.2</v>
      </c>
      <c r="T75" s="135">
        <v>819.9</v>
      </c>
      <c r="U75" s="63">
        <f>SUM(R75:T75)/3</f>
        <v>792.5</v>
      </c>
      <c r="V75" s="111">
        <f>U75*91</f>
        <v>72117.5</v>
      </c>
      <c r="W75" s="64">
        <f>SUM(C75+D75+E75+H75+I75+J75+M75+N75+O75+R75+S75+T75)/12</f>
        <v>884.86833333333334</v>
      </c>
      <c r="X75" s="65">
        <f>W75*365</f>
        <v>322976.94166666665</v>
      </c>
    </row>
    <row r="76" spans="1:24" ht="15" customHeight="1" thickBot="1" x14ac:dyDescent="0.3">
      <c r="A76" s="49" t="s">
        <v>140</v>
      </c>
      <c r="B76" s="43" t="s">
        <v>472</v>
      </c>
      <c r="C76" s="126">
        <v>123.42</v>
      </c>
      <c r="D76" s="126">
        <v>136.22999999999999</v>
      </c>
      <c r="E76" s="118">
        <v>140.37</v>
      </c>
      <c r="F76" s="63">
        <f>SUM(C76:E76)/3</f>
        <v>133.34</v>
      </c>
      <c r="G76" s="108">
        <f>F76*92</f>
        <v>12267.28</v>
      </c>
      <c r="H76" s="118">
        <v>136.38999999999999</v>
      </c>
      <c r="I76" s="118">
        <v>125.57</v>
      </c>
      <c r="J76" s="118">
        <v>113.52</v>
      </c>
      <c r="K76" s="63">
        <f>SUM(H76:J76)/3</f>
        <v>125.15999999999998</v>
      </c>
      <c r="L76" s="108">
        <f>K76*92</f>
        <v>11514.719999999998</v>
      </c>
      <c r="M76" s="118">
        <v>114.2</v>
      </c>
      <c r="N76" s="86">
        <v>120.6</v>
      </c>
      <c r="O76" s="86">
        <v>108.2</v>
      </c>
      <c r="P76" s="63">
        <f>SUM(M76:O76)/3</f>
        <v>114.33333333333333</v>
      </c>
      <c r="Q76" s="108">
        <f>P76*90</f>
        <v>10290</v>
      </c>
      <c r="R76" s="118">
        <v>121.4</v>
      </c>
      <c r="S76" s="86">
        <v>117.1</v>
      </c>
      <c r="T76" s="89">
        <v>115.3</v>
      </c>
      <c r="U76" s="63">
        <f>SUM(R76:T76)/3</f>
        <v>117.93333333333334</v>
      </c>
      <c r="V76" s="111">
        <f>U76*91</f>
        <v>10731.933333333334</v>
      </c>
      <c r="W76" s="64">
        <f>SUM(C76+D76+E76+H76+I76+J76+M76+N76+O76+R76+S76+T76)/12</f>
        <v>122.69166666666666</v>
      </c>
      <c r="X76" s="65">
        <f>W76*365</f>
        <v>44782.458333333328</v>
      </c>
    </row>
    <row r="77" spans="1:24" ht="15" customHeight="1" thickBot="1" x14ac:dyDescent="0.3">
      <c r="A77" s="50" t="s">
        <v>349</v>
      </c>
      <c r="B77" s="44" t="s">
        <v>348</v>
      </c>
      <c r="C77" s="4">
        <v>286.64999999999998</v>
      </c>
      <c r="D77" s="4">
        <v>295.10000000000002</v>
      </c>
      <c r="E77" s="3">
        <v>302.02999999999997</v>
      </c>
      <c r="F77" s="63">
        <f>SUM(C77:E77)/3</f>
        <v>294.59333333333331</v>
      </c>
      <c r="G77" s="108">
        <f>F77*92</f>
        <v>27102.586666666662</v>
      </c>
      <c r="H77" s="3">
        <v>277.16000000000003</v>
      </c>
      <c r="I77" s="3">
        <v>255.03</v>
      </c>
      <c r="J77" s="3">
        <v>254.71</v>
      </c>
      <c r="K77" s="63">
        <f>SUM(H77:J77)/3</f>
        <v>262.3</v>
      </c>
      <c r="L77" s="108">
        <f>K77*92</f>
        <v>24131.600000000002</v>
      </c>
      <c r="M77" s="3">
        <v>259</v>
      </c>
      <c r="N77" s="87">
        <v>265.89999999999998</v>
      </c>
      <c r="O77" s="87">
        <v>275</v>
      </c>
      <c r="P77" s="63">
        <f>SUM(M77:O77)/3</f>
        <v>266.63333333333333</v>
      </c>
      <c r="Q77" s="108">
        <f>P77*90</f>
        <v>23997</v>
      </c>
      <c r="R77" s="3">
        <v>277.8</v>
      </c>
      <c r="S77" s="87">
        <v>266.8</v>
      </c>
      <c r="T77" s="90">
        <v>273.10000000000002</v>
      </c>
      <c r="U77" s="63">
        <f>SUM(R77:T77)/3</f>
        <v>272.56666666666666</v>
      </c>
      <c r="V77" s="111">
        <f>U77*91</f>
        <v>24803.566666666666</v>
      </c>
      <c r="W77" s="64">
        <f>SUM(C77+D77+E77+H77+I77+J77+M77+N77+O77+R77+S77+T77)/12</f>
        <v>274.02333333333337</v>
      </c>
      <c r="X77" s="65">
        <f>W77*365</f>
        <v>100018.51666666668</v>
      </c>
    </row>
    <row r="78" spans="1:24" ht="15" customHeight="1" thickBot="1" x14ac:dyDescent="0.3">
      <c r="A78" s="50" t="s">
        <v>478</v>
      </c>
      <c r="B78" s="44" t="s">
        <v>510</v>
      </c>
      <c r="C78" s="4">
        <v>941.71</v>
      </c>
      <c r="D78" s="4">
        <v>964.48</v>
      </c>
      <c r="E78" s="3">
        <v>1066.43</v>
      </c>
      <c r="F78" s="63">
        <f>SUM(C78:E78)/3</f>
        <v>990.87333333333333</v>
      </c>
      <c r="G78" s="108">
        <f>F78*92</f>
        <v>91160.346666666665</v>
      </c>
      <c r="H78" s="3">
        <v>1272.03</v>
      </c>
      <c r="I78" s="3">
        <v>1329.67</v>
      </c>
      <c r="J78" s="3">
        <v>1339.94</v>
      </c>
      <c r="K78" s="63">
        <f>SUM(H78:J78)/3</f>
        <v>1313.8799999999999</v>
      </c>
      <c r="L78" s="108">
        <f>K78*92</f>
        <v>120876.95999999999</v>
      </c>
      <c r="M78" s="3">
        <v>1310.9</v>
      </c>
      <c r="N78" s="87">
        <v>1272.8</v>
      </c>
      <c r="O78" s="87">
        <v>1299</v>
      </c>
      <c r="P78" s="63">
        <f>SUM(M78:O78)/3</f>
        <v>1294.2333333333333</v>
      </c>
      <c r="Q78" s="108">
        <f>P78*90</f>
        <v>116481</v>
      </c>
      <c r="R78" s="3">
        <v>1376.6</v>
      </c>
      <c r="S78" s="87">
        <v>1384.1</v>
      </c>
      <c r="T78" s="90">
        <v>1359.6</v>
      </c>
      <c r="U78" s="63">
        <f>SUM(R78:T78)/3</f>
        <v>1373.4333333333332</v>
      </c>
      <c r="V78" s="111">
        <f>U78*91</f>
        <v>124982.43333333332</v>
      </c>
      <c r="W78" s="64">
        <f>SUM(C78+D78+E78+H78+I78+J78+M78+N78+O78+R78+S78+T78)/12</f>
        <v>1243.105</v>
      </c>
      <c r="X78" s="65">
        <f>W78*365</f>
        <v>453733.32500000001</v>
      </c>
    </row>
    <row r="79" spans="1:24" ht="15" customHeight="1" thickBot="1" x14ac:dyDescent="0.3">
      <c r="A79" s="51" t="s">
        <v>282</v>
      </c>
      <c r="B79" s="44" t="s">
        <v>306</v>
      </c>
      <c r="C79" s="4">
        <v>411.26</v>
      </c>
      <c r="D79" s="4">
        <v>427.84</v>
      </c>
      <c r="E79" s="3">
        <v>413.47</v>
      </c>
      <c r="F79" s="63">
        <f t="shared" ref="F79:F88" si="39">SUM(C79:E79)/3</f>
        <v>417.52333333333331</v>
      </c>
      <c r="G79" s="108">
        <f t="shared" ref="G79:G88" si="40">F79*92</f>
        <v>38412.146666666667</v>
      </c>
      <c r="H79" s="3">
        <v>420.9</v>
      </c>
      <c r="I79" s="3">
        <v>424.1</v>
      </c>
      <c r="J79" s="3">
        <v>416.9</v>
      </c>
      <c r="K79" s="63">
        <f t="shared" ref="K79:K89" si="41">SUM(H79:J79)/3</f>
        <v>420.63333333333338</v>
      </c>
      <c r="L79" s="108">
        <f t="shared" ref="L79:L89" si="42">K79*92</f>
        <v>38698.26666666667</v>
      </c>
      <c r="M79" s="3">
        <v>428.3</v>
      </c>
      <c r="N79" s="87">
        <v>431.7</v>
      </c>
      <c r="O79" s="87">
        <v>423.3</v>
      </c>
      <c r="P79" s="63">
        <f t="shared" ref="P79:P89" si="43">SUM(M79:O79)/3</f>
        <v>427.76666666666665</v>
      </c>
      <c r="Q79" s="108">
        <f t="shared" ref="Q79:Q89" si="44">P79*90</f>
        <v>38499</v>
      </c>
      <c r="R79" s="3">
        <v>427.4</v>
      </c>
      <c r="S79" s="87">
        <v>421.6</v>
      </c>
      <c r="T79" s="90">
        <v>412.1</v>
      </c>
      <c r="U79" s="63">
        <f t="shared" ref="U79:U89" si="45">SUM(R79:T79)/3</f>
        <v>420.36666666666662</v>
      </c>
      <c r="V79" s="111">
        <f t="shared" ref="V79:V89" si="46">U79*91</f>
        <v>38253.366666666661</v>
      </c>
      <c r="W79" s="64">
        <f t="shared" ref="W79:W89" si="47">SUM(C79+D79+E79+H79+I79+J79+M79+N79+O79+R79+S79+T79)/12</f>
        <v>421.57250000000005</v>
      </c>
      <c r="X79" s="65">
        <f t="shared" ref="X79:X88" si="48">W79*365</f>
        <v>153873.96250000002</v>
      </c>
    </row>
    <row r="80" spans="1:24" ht="15" customHeight="1" thickBot="1" x14ac:dyDescent="0.3">
      <c r="A80" s="50" t="s">
        <v>16</v>
      </c>
      <c r="B80" s="44" t="s">
        <v>275</v>
      </c>
      <c r="C80" s="4">
        <v>69.55</v>
      </c>
      <c r="D80" s="4">
        <v>68.94</v>
      </c>
      <c r="E80" s="3">
        <v>73.2</v>
      </c>
      <c r="F80" s="63">
        <f t="shared" si="39"/>
        <v>70.563333333333333</v>
      </c>
      <c r="G80" s="108">
        <f t="shared" si="40"/>
        <v>6491.8266666666668</v>
      </c>
      <c r="H80" s="3">
        <v>71.61</v>
      </c>
      <c r="I80" s="3">
        <v>66.77</v>
      </c>
      <c r="J80" s="3">
        <v>61.16</v>
      </c>
      <c r="K80" s="63">
        <f t="shared" si="41"/>
        <v>66.513333333333335</v>
      </c>
      <c r="L80" s="108">
        <f t="shared" si="42"/>
        <v>6119.2266666666665</v>
      </c>
      <c r="M80" s="3">
        <v>69.7</v>
      </c>
      <c r="N80" s="87">
        <v>71</v>
      </c>
      <c r="O80" s="87">
        <v>60.4</v>
      </c>
      <c r="P80" s="63">
        <f t="shared" si="43"/>
        <v>67.033333333333331</v>
      </c>
      <c r="Q80" s="108">
        <f t="shared" si="44"/>
        <v>6033</v>
      </c>
      <c r="R80" s="3">
        <v>64.8</v>
      </c>
      <c r="S80" s="87">
        <v>62.6</v>
      </c>
      <c r="T80" s="90">
        <v>65.099999999999994</v>
      </c>
      <c r="U80" s="63">
        <f t="shared" si="45"/>
        <v>64.166666666666671</v>
      </c>
      <c r="V80" s="111">
        <f t="shared" si="46"/>
        <v>5839.166666666667</v>
      </c>
      <c r="W80" s="64">
        <f t="shared" si="47"/>
        <v>67.069166666666675</v>
      </c>
      <c r="X80" s="65">
        <f t="shared" si="48"/>
        <v>24480.245833333338</v>
      </c>
    </row>
    <row r="81" spans="1:24" ht="15" customHeight="1" thickBot="1" x14ac:dyDescent="0.3">
      <c r="A81" s="50" t="s">
        <v>17</v>
      </c>
      <c r="B81" s="44" t="s">
        <v>511</v>
      </c>
      <c r="C81" s="4">
        <v>236.26</v>
      </c>
      <c r="D81" s="4">
        <v>236.81</v>
      </c>
      <c r="E81" s="3">
        <v>240.63</v>
      </c>
      <c r="F81" s="63">
        <f t="shared" si="39"/>
        <v>237.9</v>
      </c>
      <c r="G81" s="108">
        <f t="shared" si="40"/>
        <v>21886.799999999999</v>
      </c>
      <c r="H81" s="3">
        <v>252.13</v>
      </c>
      <c r="I81" s="3">
        <v>249.3</v>
      </c>
      <c r="J81" s="3">
        <v>258.16000000000003</v>
      </c>
      <c r="K81" s="63">
        <f t="shared" si="41"/>
        <v>253.19666666666669</v>
      </c>
      <c r="L81" s="108">
        <f t="shared" si="42"/>
        <v>23294.093333333334</v>
      </c>
      <c r="M81" s="3">
        <v>250.6</v>
      </c>
      <c r="N81" s="87">
        <v>214.1</v>
      </c>
      <c r="O81" s="87">
        <v>228.3</v>
      </c>
      <c r="P81" s="63">
        <f t="shared" si="43"/>
        <v>231</v>
      </c>
      <c r="Q81" s="108">
        <f t="shared" si="44"/>
        <v>20790</v>
      </c>
      <c r="R81" s="3">
        <v>224.4</v>
      </c>
      <c r="S81" s="87">
        <v>238.2</v>
      </c>
      <c r="T81" s="90">
        <v>246.8</v>
      </c>
      <c r="U81" s="63">
        <f t="shared" si="45"/>
        <v>236.4666666666667</v>
      </c>
      <c r="V81" s="111">
        <f t="shared" si="46"/>
        <v>21518.466666666671</v>
      </c>
      <c r="W81" s="64">
        <f t="shared" si="47"/>
        <v>239.64083333333335</v>
      </c>
      <c r="X81" s="65">
        <f t="shared" si="48"/>
        <v>87468.904166666674</v>
      </c>
    </row>
    <row r="82" spans="1:24" ht="15" customHeight="1" thickBot="1" x14ac:dyDescent="0.3">
      <c r="A82" s="50" t="s">
        <v>142</v>
      </c>
      <c r="B82" s="44" t="s">
        <v>308</v>
      </c>
      <c r="C82" s="4">
        <v>108.48</v>
      </c>
      <c r="D82" s="4">
        <v>104.16</v>
      </c>
      <c r="E82" s="3">
        <v>102.9</v>
      </c>
      <c r="F82" s="63">
        <f t="shared" si="39"/>
        <v>105.17999999999999</v>
      </c>
      <c r="G82" s="108">
        <f t="shared" si="40"/>
        <v>9676.56</v>
      </c>
      <c r="H82" s="3">
        <v>104.23</v>
      </c>
      <c r="I82" s="3">
        <v>99.27</v>
      </c>
      <c r="J82" s="3">
        <v>97.68</v>
      </c>
      <c r="K82" s="63">
        <f t="shared" si="41"/>
        <v>100.39333333333333</v>
      </c>
      <c r="L82" s="108">
        <f t="shared" si="42"/>
        <v>9236.1866666666665</v>
      </c>
      <c r="M82" s="3">
        <v>104.5</v>
      </c>
      <c r="N82" s="87">
        <v>103.8</v>
      </c>
      <c r="O82" s="87">
        <v>103.7</v>
      </c>
      <c r="P82" s="63">
        <f t="shared" si="43"/>
        <v>104</v>
      </c>
      <c r="Q82" s="108">
        <f t="shared" si="44"/>
        <v>9360</v>
      </c>
      <c r="R82" s="3">
        <v>107.9</v>
      </c>
      <c r="S82" s="87">
        <v>105.1</v>
      </c>
      <c r="T82" s="90">
        <v>107.9</v>
      </c>
      <c r="U82" s="63">
        <f t="shared" si="45"/>
        <v>106.96666666666665</v>
      </c>
      <c r="V82" s="111">
        <f t="shared" si="46"/>
        <v>9733.9666666666653</v>
      </c>
      <c r="W82" s="64">
        <f t="shared" si="47"/>
        <v>104.13500000000001</v>
      </c>
      <c r="X82" s="65">
        <f t="shared" si="48"/>
        <v>38009.275000000001</v>
      </c>
    </row>
    <row r="83" spans="1:24" ht="15" customHeight="1" thickBot="1" x14ac:dyDescent="0.3">
      <c r="A83" s="51" t="s">
        <v>283</v>
      </c>
      <c r="B83" s="44" t="s">
        <v>315</v>
      </c>
      <c r="C83" s="4">
        <f>332.55+175.84</f>
        <v>508.39</v>
      </c>
      <c r="D83" s="4">
        <f>324.42+175.81</f>
        <v>500.23</v>
      </c>
      <c r="E83" s="3">
        <f>329.47+175.3</f>
        <v>504.77000000000004</v>
      </c>
      <c r="F83" s="63">
        <f t="shared" si="39"/>
        <v>504.46333333333337</v>
      </c>
      <c r="G83" s="108">
        <f t="shared" si="40"/>
        <v>46410.626666666671</v>
      </c>
      <c r="H83" s="3">
        <f>327.9+173.16</f>
        <v>501.05999999999995</v>
      </c>
      <c r="I83" s="3">
        <f>313.67+171.43</f>
        <v>485.1</v>
      </c>
      <c r="J83" s="3">
        <f>317.03+173.48</f>
        <v>490.51</v>
      </c>
      <c r="K83" s="63">
        <f t="shared" si="41"/>
        <v>492.22333333333336</v>
      </c>
      <c r="L83" s="108">
        <f t="shared" si="42"/>
        <v>45284.546666666669</v>
      </c>
      <c r="M83" s="3">
        <f>329.5+175.9</f>
        <v>505.4</v>
      </c>
      <c r="N83" s="87">
        <f>333.1+175.9</f>
        <v>509</v>
      </c>
      <c r="O83" s="87">
        <f>335.5+175.9</f>
        <v>511.4</v>
      </c>
      <c r="P83" s="63">
        <f t="shared" si="43"/>
        <v>508.59999999999997</v>
      </c>
      <c r="Q83" s="108">
        <f t="shared" si="44"/>
        <v>45774</v>
      </c>
      <c r="R83" s="3">
        <f>326.2+175.7</f>
        <v>501.9</v>
      </c>
      <c r="S83" s="87">
        <f>327.6+175.6</f>
        <v>503.20000000000005</v>
      </c>
      <c r="T83" s="90">
        <f>330.1+175.6</f>
        <v>505.70000000000005</v>
      </c>
      <c r="U83" s="63">
        <f t="shared" si="45"/>
        <v>503.60000000000008</v>
      </c>
      <c r="V83" s="111">
        <f t="shared" si="46"/>
        <v>45827.600000000006</v>
      </c>
      <c r="W83" s="64">
        <f t="shared" si="47"/>
        <v>502.22166666666664</v>
      </c>
      <c r="X83" s="65">
        <f t="shared" si="48"/>
        <v>183310.90833333333</v>
      </c>
    </row>
    <row r="84" spans="1:24" ht="15" customHeight="1" thickBot="1" x14ac:dyDescent="0.3">
      <c r="A84" s="50" t="s">
        <v>151</v>
      </c>
      <c r="B84" s="121" t="s">
        <v>309</v>
      </c>
      <c r="C84" s="4">
        <v>121.23</v>
      </c>
      <c r="D84" s="4">
        <v>107.94</v>
      </c>
      <c r="E84" s="3">
        <v>105.6</v>
      </c>
      <c r="F84" s="63">
        <f t="shared" si="39"/>
        <v>111.58999999999999</v>
      </c>
      <c r="G84" s="108">
        <f t="shared" si="40"/>
        <v>10266.279999999999</v>
      </c>
      <c r="H84" s="3">
        <v>98.77</v>
      </c>
      <c r="I84" s="3">
        <v>99.77</v>
      </c>
      <c r="J84" s="3">
        <v>99.03</v>
      </c>
      <c r="K84" s="63">
        <f t="shared" si="41"/>
        <v>99.19</v>
      </c>
      <c r="L84" s="108">
        <f t="shared" si="42"/>
        <v>9125.48</v>
      </c>
      <c r="M84" s="3">
        <v>90.5</v>
      </c>
      <c r="N84" s="87">
        <v>95.1</v>
      </c>
      <c r="O84" s="87">
        <v>85.2</v>
      </c>
      <c r="P84" s="63">
        <f t="shared" si="43"/>
        <v>90.266666666666666</v>
      </c>
      <c r="Q84" s="108">
        <f t="shared" si="44"/>
        <v>8124</v>
      </c>
      <c r="R84" s="3">
        <v>88.4</v>
      </c>
      <c r="S84" s="87">
        <v>67.400000000000006</v>
      </c>
      <c r="T84" s="90">
        <v>1.4</v>
      </c>
      <c r="U84" s="63">
        <f t="shared" si="45"/>
        <v>52.400000000000006</v>
      </c>
      <c r="V84" s="111">
        <f t="shared" si="46"/>
        <v>4768.4000000000005</v>
      </c>
      <c r="W84" s="64">
        <f t="shared" si="47"/>
        <v>88.361666666666679</v>
      </c>
      <c r="X84" s="65">
        <f t="shared" si="48"/>
        <v>32252.008333333339</v>
      </c>
    </row>
    <row r="85" spans="1:24" ht="15" customHeight="1" thickBot="1" x14ac:dyDescent="0.3">
      <c r="A85" s="49" t="s">
        <v>20</v>
      </c>
      <c r="B85" s="43" t="s">
        <v>310</v>
      </c>
      <c r="C85" s="126">
        <v>299.83999999999997</v>
      </c>
      <c r="D85" s="126">
        <v>332.32</v>
      </c>
      <c r="E85" s="118">
        <v>393.43</v>
      </c>
      <c r="F85" s="63">
        <f t="shared" si="39"/>
        <v>341.86333333333329</v>
      </c>
      <c r="G85" s="108">
        <f t="shared" si="40"/>
        <v>31451.426666666663</v>
      </c>
      <c r="H85" s="118">
        <v>509.35</v>
      </c>
      <c r="I85" s="3">
        <v>500.67</v>
      </c>
      <c r="J85" s="118">
        <v>493.52</v>
      </c>
      <c r="K85" s="63">
        <f t="shared" si="41"/>
        <v>501.18</v>
      </c>
      <c r="L85" s="111">
        <f t="shared" si="42"/>
        <v>46108.56</v>
      </c>
      <c r="M85" s="3">
        <v>485</v>
      </c>
      <c r="N85" s="86">
        <v>494.8</v>
      </c>
      <c r="O85" s="86">
        <v>494.3</v>
      </c>
      <c r="P85" s="63">
        <f t="shared" si="43"/>
        <v>491.36666666666662</v>
      </c>
      <c r="Q85" s="108">
        <f t="shared" si="44"/>
        <v>44222.999999999993</v>
      </c>
      <c r="R85" s="3">
        <f>518.2</f>
        <v>518.20000000000005</v>
      </c>
      <c r="S85" s="86">
        <v>495.5</v>
      </c>
      <c r="T85" s="89">
        <v>517.9</v>
      </c>
      <c r="U85" s="63">
        <f t="shared" si="45"/>
        <v>510.5333333333333</v>
      </c>
      <c r="V85" s="111">
        <f t="shared" si="46"/>
        <v>46458.533333333333</v>
      </c>
      <c r="W85" s="64">
        <f t="shared" si="47"/>
        <v>461.23583333333335</v>
      </c>
      <c r="X85" s="65">
        <f t="shared" si="48"/>
        <v>168351.07916666666</v>
      </c>
    </row>
    <row r="86" spans="1:24" ht="15" customHeight="1" thickBot="1" x14ac:dyDescent="0.3">
      <c r="A86" s="51" t="s">
        <v>473</v>
      </c>
      <c r="B86" s="44" t="s">
        <v>474</v>
      </c>
      <c r="C86" s="4">
        <f>329.68+135</f>
        <v>464.68</v>
      </c>
      <c r="D86" s="4">
        <f>322.13+136.55</f>
        <v>458.68</v>
      </c>
      <c r="E86" s="3">
        <f>334.4+135.43</f>
        <v>469.83</v>
      </c>
      <c r="F86" s="63">
        <f t="shared" si="39"/>
        <v>464.3966666666667</v>
      </c>
      <c r="G86" s="108">
        <f t="shared" si="40"/>
        <v>42724.493333333339</v>
      </c>
      <c r="H86" s="3">
        <f>338.03+133.74</f>
        <v>471.77</v>
      </c>
      <c r="I86" s="3">
        <f>321.27+127.63</f>
        <v>448.9</v>
      </c>
      <c r="J86" s="3">
        <f>303.55+113.58</f>
        <v>417.13</v>
      </c>
      <c r="K86" s="63">
        <f t="shared" si="41"/>
        <v>445.93333333333334</v>
      </c>
      <c r="L86" s="108">
        <f t="shared" si="42"/>
        <v>41025.866666666669</v>
      </c>
      <c r="M86" s="3">
        <f>296.4+119.1</f>
        <v>415.5</v>
      </c>
      <c r="N86" s="87">
        <f>319+12.6</f>
        <v>331.6</v>
      </c>
      <c r="O86" s="87">
        <f>317.5+122.8</f>
        <v>440.3</v>
      </c>
      <c r="P86" s="63">
        <f t="shared" si="43"/>
        <v>395.8</v>
      </c>
      <c r="Q86" s="108">
        <f t="shared" si="44"/>
        <v>35622</v>
      </c>
      <c r="R86" s="3">
        <f>318.7+115.7</f>
        <v>434.4</v>
      </c>
      <c r="S86" s="87">
        <f>325.5+101.9</f>
        <v>427.4</v>
      </c>
      <c r="T86" s="90">
        <f>323.5+92.7</f>
        <v>416.2</v>
      </c>
      <c r="U86" s="63">
        <f t="shared" si="45"/>
        <v>426</v>
      </c>
      <c r="V86" s="111">
        <f t="shared" si="46"/>
        <v>38766</v>
      </c>
      <c r="W86" s="64">
        <f t="shared" si="47"/>
        <v>433.03249999999997</v>
      </c>
      <c r="X86" s="65">
        <f t="shared" si="48"/>
        <v>158056.86249999999</v>
      </c>
    </row>
    <row r="87" spans="1:24" ht="15" customHeight="1" thickBot="1" x14ac:dyDescent="0.3">
      <c r="A87" s="50" t="s">
        <v>143</v>
      </c>
      <c r="B87" s="44" t="s">
        <v>512</v>
      </c>
      <c r="C87" s="4">
        <v>195.52</v>
      </c>
      <c r="D87" s="4">
        <v>205.48</v>
      </c>
      <c r="E87" s="3">
        <v>206.43</v>
      </c>
      <c r="F87" s="63">
        <f t="shared" si="39"/>
        <v>202.47666666666669</v>
      </c>
      <c r="G87" s="108">
        <f t="shared" si="40"/>
        <v>18627.853333333336</v>
      </c>
      <c r="H87" s="3">
        <v>190.35</v>
      </c>
      <c r="I87" s="3">
        <v>190.57</v>
      </c>
      <c r="J87" s="3">
        <v>178.94</v>
      </c>
      <c r="K87" s="63">
        <f t="shared" si="41"/>
        <v>186.61999999999998</v>
      </c>
      <c r="L87" s="108">
        <f t="shared" si="42"/>
        <v>17169.039999999997</v>
      </c>
      <c r="M87" s="3">
        <v>177.7</v>
      </c>
      <c r="N87" s="87">
        <v>173.3</v>
      </c>
      <c r="O87" s="87">
        <v>198.1</v>
      </c>
      <c r="P87" s="63">
        <f t="shared" si="43"/>
        <v>183.03333333333333</v>
      </c>
      <c r="Q87" s="108">
        <f t="shared" si="44"/>
        <v>16473</v>
      </c>
      <c r="R87" s="3">
        <v>216.1</v>
      </c>
      <c r="S87" s="87">
        <v>216.6</v>
      </c>
      <c r="T87" s="90">
        <v>201.3</v>
      </c>
      <c r="U87" s="63">
        <f t="shared" si="45"/>
        <v>211.33333333333334</v>
      </c>
      <c r="V87" s="111">
        <f t="shared" si="46"/>
        <v>19231.333333333336</v>
      </c>
      <c r="W87" s="64">
        <f t="shared" si="47"/>
        <v>195.86583333333337</v>
      </c>
      <c r="X87" s="65">
        <f t="shared" si="48"/>
        <v>71491.029166666674</v>
      </c>
    </row>
    <row r="88" spans="1:24" ht="15" customHeight="1" thickBot="1" x14ac:dyDescent="0.3">
      <c r="A88" s="50" t="s">
        <v>144</v>
      </c>
      <c r="B88" s="34"/>
      <c r="C88" s="4">
        <v>0</v>
      </c>
      <c r="D88" s="4">
        <v>0</v>
      </c>
      <c r="E88" s="18"/>
      <c r="F88" s="67">
        <f t="shared" si="39"/>
        <v>0</v>
      </c>
      <c r="G88" s="108">
        <f t="shared" si="40"/>
        <v>0</v>
      </c>
      <c r="H88" s="18"/>
      <c r="I88" s="18"/>
      <c r="J88" s="18"/>
      <c r="K88" s="67">
        <f t="shared" si="41"/>
        <v>0</v>
      </c>
      <c r="L88" s="108">
        <f t="shared" si="42"/>
        <v>0</v>
      </c>
      <c r="M88" s="18"/>
      <c r="N88" s="4"/>
      <c r="O88" s="87"/>
      <c r="P88" s="67">
        <f t="shared" si="43"/>
        <v>0</v>
      </c>
      <c r="Q88" s="108">
        <f t="shared" si="44"/>
        <v>0</v>
      </c>
      <c r="R88" s="3"/>
      <c r="S88" s="3"/>
      <c r="T88" s="4"/>
      <c r="U88" s="67">
        <f t="shared" si="45"/>
        <v>0</v>
      </c>
      <c r="V88" s="112">
        <f t="shared" si="46"/>
        <v>0</v>
      </c>
      <c r="W88" s="137">
        <f t="shared" si="47"/>
        <v>0</v>
      </c>
      <c r="X88" s="65">
        <f t="shared" si="48"/>
        <v>0</v>
      </c>
    </row>
    <row r="89" spans="1:24" ht="15" customHeight="1" thickBot="1" x14ac:dyDescent="0.3">
      <c r="A89" s="46" t="s">
        <v>152</v>
      </c>
      <c r="B89" s="35"/>
      <c r="C89" s="80">
        <f>SUM(C75:C88)</f>
        <v>4708.9600000000009</v>
      </c>
      <c r="D89" s="80">
        <f>SUM(D75:D88)</f>
        <v>4795.9799999999996</v>
      </c>
      <c r="E89" s="80">
        <f>SUM(E75:E88)</f>
        <v>4952.92</v>
      </c>
      <c r="F89" s="68">
        <f>SUM(C89:E89)/3</f>
        <v>4819.2866666666669</v>
      </c>
      <c r="G89" s="108">
        <f>F89*92</f>
        <v>443374.37333333335</v>
      </c>
      <c r="H89" s="94">
        <f>SUM(H75:H88)</f>
        <v>5224.17</v>
      </c>
      <c r="I89" s="80">
        <f>SUM(I75:I88)</f>
        <v>5174.3199999999988</v>
      </c>
      <c r="J89" s="80">
        <f>SUM(J75:J88)</f>
        <v>5087.4299999999994</v>
      </c>
      <c r="K89" s="68">
        <f t="shared" si="41"/>
        <v>5161.9733333333324</v>
      </c>
      <c r="L89" s="119">
        <f t="shared" si="42"/>
        <v>474901.54666666657</v>
      </c>
      <c r="M89" s="9">
        <f>SUM(M75:M88)</f>
        <v>5110.5999999999995</v>
      </c>
      <c r="N89" s="80">
        <f>SUM(N75:N88)</f>
        <v>5011</v>
      </c>
      <c r="O89" s="80">
        <f>SUM(O75:O88)</f>
        <v>5123.7000000000007</v>
      </c>
      <c r="P89" s="68">
        <f t="shared" si="43"/>
        <v>5081.7666666666664</v>
      </c>
      <c r="Q89" s="119">
        <f t="shared" si="44"/>
        <v>457359</v>
      </c>
      <c r="R89" s="94">
        <f>SUM(R75:R88)</f>
        <v>5152.7000000000007</v>
      </c>
      <c r="S89" s="80">
        <f>SUM(S75:S88)</f>
        <v>5069.7999999999993</v>
      </c>
      <c r="T89" s="81">
        <f>SUM(T75:T88)</f>
        <v>5042.3</v>
      </c>
      <c r="U89" s="68">
        <f t="shared" si="45"/>
        <v>5088.2666666666664</v>
      </c>
      <c r="V89" s="120">
        <f t="shared" si="46"/>
        <v>463032.26666666666</v>
      </c>
      <c r="W89" s="138">
        <f t="shared" si="47"/>
        <v>5037.8233333333337</v>
      </c>
      <c r="X89" s="695">
        <f>SUM(X75:X88)</f>
        <v>1838805.5166666661</v>
      </c>
    </row>
    <row r="90" spans="1:24" ht="15" customHeight="1" thickBot="1" x14ac:dyDescent="0.3">
      <c r="A90" s="46" t="s">
        <v>153</v>
      </c>
      <c r="B90" s="35"/>
      <c r="C90" s="70"/>
      <c r="D90" s="70"/>
      <c r="E90" s="71"/>
      <c r="F90" s="98"/>
      <c r="G90" s="98"/>
      <c r="H90" s="72"/>
      <c r="I90" s="70" t="s">
        <v>258</v>
      </c>
      <c r="J90" s="71"/>
      <c r="K90" s="97"/>
      <c r="L90" s="97"/>
      <c r="M90" s="72"/>
      <c r="N90" s="70"/>
      <c r="O90" s="71"/>
      <c r="P90" s="97"/>
      <c r="Q90" s="97"/>
      <c r="R90" s="72"/>
      <c r="S90" s="70"/>
      <c r="T90" s="71"/>
      <c r="U90" s="71"/>
      <c r="V90" s="70"/>
      <c r="W90" s="96"/>
      <c r="X90" s="69" t="s">
        <v>0</v>
      </c>
    </row>
    <row r="91" spans="1:24" ht="15" customHeight="1" thickBot="1" x14ac:dyDescent="0.3">
      <c r="A91" s="684" t="s">
        <v>145</v>
      </c>
      <c r="B91" s="685" t="s">
        <v>513</v>
      </c>
      <c r="C91" s="686">
        <v>779.06</v>
      </c>
      <c r="D91" s="686">
        <v>776.29</v>
      </c>
      <c r="E91" s="686">
        <v>789.97</v>
      </c>
      <c r="F91" s="687">
        <f t="shared" ref="F91:F97" si="49">SUM(C91:E91)/3</f>
        <v>781.7733333333332</v>
      </c>
      <c r="G91" s="688">
        <f t="shared" ref="G91:G97" si="50">F91*92</f>
        <v>71923.146666666653</v>
      </c>
      <c r="H91" s="686">
        <v>756.94</v>
      </c>
      <c r="I91" s="686">
        <v>766.6</v>
      </c>
      <c r="J91" s="686">
        <v>741.45</v>
      </c>
      <c r="K91" s="687">
        <f t="shared" ref="K91:K98" si="51">SUM(H91:J91)/3</f>
        <v>754.99666666666656</v>
      </c>
      <c r="L91" s="688">
        <f t="shared" ref="L91:L97" si="52">K91*92</f>
        <v>69459.693333333329</v>
      </c>
      <c r="M91" s="686">
        <v>742.32</v>
      </c>
      <c r="N91" s="689">
        <v>764</v>
      </c>
      <c r="O91" s="689">
        <v>776.68</v>
      </c>
      <c r="P91" s="687">
        <f t="shared" ref="P91:P98" si="53">SUM(M91:O91)/3</f>
        <v>761</v>
      </c>
      <c r="Q91" s="688">
        <f t="shared" ref="Q91:Q97" si="54">P91*90</f>
        <v>68490</v>
      </c>
      <c r="R91" s="686">
        <v>753.07</v>
      </c>
      <c r="S91" s="689">
        <v>741.45</v>
      </c>
      <c r="T91" s="690">
        <v>739.17</v>
      </c>
      <c r="U91" s="687">
        <f t="shared" ref="U91:U98" si="55">SUM(R91:T91)/3</f>
        <v>744.56333333333339</v>
      </c>
      <c r="V91" s="691">
        <f t="shared" ref="V91:V97" si="56">U91*91</f>
        <v>67755.263333333336</v>
      </c>
      <c r="W91" s="692">
        <f t="shared" ref="W91:W96" si="57">SUM(C91+D91+E91+H91+I91+J91+M91+N91+O91+R91+S91+T91)/12</f>
        <v>760.58333333333337</v>
      </c>
      <c r="X91" s="693">
        <f t="shared" ref="X91:X96" si="58">W91*365</f>
        <v>277612.91666666669</v>
      </c>
    </row>
    <row r="92" spans="1:24" ht="15" customHeight="1" thickBot="1" x14ac:dyDescent="0.3">
      <c r="A92" s="50" t="s">
        <v>146</v>
      </c>
      <c r="B92" s="507">
        <v>35</v>
      </c>
      <c r="C92" s="5">
        <v>9.94</v>
      </c>
      <c r="D92" s="5">
        <v>10</v>
      </c>
      <c r="E92" s="5">
        <v>10.5</v>
      </c>
      <c r="F92" s="63">
        <f t="shared" si="49"/>
        <v>10.146666666666667</v>
      </c>
      <c r="G92" s="108">
        <f t="shared" si="50"/>
        <v>933.49333333333334</v>
      </c>
      <c r="H92" s="5">
        <v>10</v>
      </c>
      <c r="I92" s="5">
        <f>10+0.37</f>
        <v>10.37</v>
      </c>
      <c r="J92" s="5">
        <f>1+9.13</f>
        <v>10.130000000000001</v>
      </c>
      <c r="K92" s="63">
        <f t="shared" si="51"/>
        <v>10.166666666666666</v>
      </c>
      <c r="L92" s="108">
        <f t="shared" si="52"/>
        <v>935.33333333333326</v>
      </c>
      <c r="M92" s="5">
        <f>1+11.71</f>
        <v>12.71</v>
      </c>
      <c r="N92" s="75">
        <f>1+11.32</f>
        <v>12.32</v>
      </c>
      <c r="O92" s="75">
        <f>1+10.55</f>
        <v>11.55</v>
      </c>
      <c r="P92" s="63">
        <f t="shared" si="53"/>
        <v>12.193333333333333</v>
      </c>
      <c r="Q92" s="108">
        <f t="shared" si="54"/>
        <v>1097.4000000000001</v>
      </c>
      <c r="R92" s="5">
        <f>1+11</f>
        <v>12</v>
      </c>
      <c r="S92" s="75">
        <f>1+11</f>
        <v>12</v>
      </c>
      <c r="T92" s="76">
        <f>0.43+11</f>
        <v>11.43</v>
      </c>
      <c r="U92" s="63">
        <f t="shared" si="55"/>
        <v>11.81</v>
      </c>
      <c r="V92" s="111">
        <f t="shared" si="56"/>
        <v>1074.71</v>
      </c>
      <c r="W92" s="64">
        <f t="shared" si="57"/>
        <v>11.079166666666666</v>
      </c>
      <c r="X92" s="66">
        <f t="shared" si="58"/>
        <v>4043.895833333333</v>
      </c>
    </row>
    <row r="93" spans="1:24" ht="15" customHeight="1" thickBot="1" x14ac:dyDescent="0.3">
      <c r="A93" s="50" t="s">
        <v>148</v>
      </c>
      <c r="B93" s="507">
        <v>26</v>
      </c>
      <c r="C93" s="5">
        <v>17</v>
      </c>
      <c r="D93" s="5">
        <v>19</v>
      </c>
      <c r="E93" s="5">
        <v>18</v>
      </c>
      <c r="F93" s="63">
        <f t="shared" si="49"/>
        <v>18</v>
      </c>
      <c r="G93" s="108">
        <f t="shared" si="50"/>
        <v>1656</v>
      </c>
      <c r="H93" s="5">
        <v>17</v>
      </c>
      <c r="I93" s="5">
        <v>18</v>
      </c>
      <c r="J93" s="5">
        <v>19</v>
      </c>
      <c r="K93" s="63">
        <f t="shared" si="51"/>
        <v>18</v>
      </c>
      <c r="L93" s="108">
        <f t="shared" si="52"/>
        <v>1656</v>
      </c>
      <c r="M93" s="5">
        <v>33</v>
      </c>
      <c r="N93" s="75">
        <v>26</v>
      </c>
      <c r="O93" s="75">
        <v>11</v>
      </c>
      <c r="P93" s="63">
        <f t="shared" si="53"/>
        <v>23.333333333333332</v>
      </c>
      <c r="Q93" s="108">
        <f t="shared" si="54"/>
        <v>2100</v>
      </c>
      <c r="R93" s="5">
        <v>11</v>
      </c>
      <c r="S93" s="75">
        <v>14</v>
      </c>
      <c r="T93" s="76">
        <v>15</v>
      </c>
      <c r="U93" s="63">
        <f t="shared" si="55"/>
        <v>13.333333333333334</v>
      </c>
      <c r="V93" s="111">
        <f t="shared" si="56"/>
        <v>1213.3333333333335</v>
      </c>
      <c r="W93" s="64">
        <f t="shared" si="57"/>
        <v>18.166666666666668</v>
      </c>
      <c r="X93" s="65">
        <f t="shared" si="58"/>
        <v>6630.8333333333339</v>
      </c>
    </row>
    <row r="94" spans="1:24" ht="15" customHeight="1" thickBot="1" x14ac:dyDescent="0.3">
      <c r="A94" s="50" t="s">
        <v>147</v>
      </c>
      <c r="B94" s="507" t="s">
        <v>476</v>
      </c>
      <c r="C94" s="5">
        <v>345</v>
      </c>
      <c r="D94" s="5">
        <v>350</v>
      </c>
      <c r="E94" s="5">
        <v>355</v>
      </c>
      <c r="F94" s="63">
        <f t="shared" si="49"/>
        <v>350</v>
      </c>
      <c r="G94" s="108">
        <f t="shared" si="50"/>
        <v>32200</v>
      </c>
      <c r="H94" s="5">
        <v>381</v>
      </c>
      <c r="I94" s="5">
        <v>372</v>
      </c>
      <c r="J94" s="5">
        <v>371</v>
      </c>
      <c r="K94" s="63">
        <f t="shared" si="51"/>
        <v>374.66666666666669</v>
      </c>
      <c r="L94" s="108">
        <f t="shared" si="52"/>
        <v>34469.333333333336</v>
      </c>
      <c r="M94" s="5">
        <v>375</v>
      </c>
      <c r="N94" s="75">
        <v>394</v>
      </c>
      <c r="O94" s="75">
        <v>403</v>
      </c>
      <c r="P94" s="63">
        <f t="shared" si="53"/>
        <v>390.66666666666669</v>
      </c>
      <c r="Q94" s="108">
        <f t="shared" si="54"/>
        <v>35160</v>
      </c>
      <c r="R94" s="5">
        <v>422</v>
      </c>
      <c r="S94" s="75">
        <v>435</v>
      </c>
      <c r="T94" s="76">
        <v>431</v>
      </c>
      <c r="U94" s="63">
        <f t="shared" si="55"/>
        <v>429.33333333333331</v>
      </c>
      <c r="V94" s="111">
        <f t="shared" si="56"/>
        <v>39069.333333333328</v>
      </c>
      <c r="W94" s="64">
        <f t="shared" si="57"/>
        <v>386.16666666666669</v>
      </c>
      <c r="X94" s="66">
        <f t="shared" si="58"/>
        <v>140950.83333333334</v>
      </c>
    </row>
    <row r="95" spans="1:24" ht="15" customHeight="1" thickBot="1" x14ac:dyDescent="0.3">
      <c r="A95" s="50" t="s">
        <v>371</v>
      </c>
      <c r="B95" s="507">
        <v>1050</v>
      </c>
      <c r="C95" s="5">
        <v>331</v>
      </c>
      <c r="D95" s="5">
        <v>327</v>
      </c>
      <c r="E95" s="5">
        <v>242</v>
      </c>
      <c r="F95" s="63">
        <f t="shared" si="49"/>
        <v>300</v>
      </c>
      <c r="G95" s="108">
        <f t="shared" si="50"/>
        <v>27600</v>
      </c>
      <c r="H95" s="5">
        <v>0</v>
      </c>
      <c r="I95" s="5">
        <v>0</v>
      </c>
      <c r="J95" s="5">
        <v>0</v>
      </c>
      <c r="K95" s="63">
        <f t="shared" si="51"/>
        <v>0</v>
      </c>
      <c r="L95" s="108">
        <f t="shared" si="52"/>
        <v>0</v>
      </c>
      <c r="M95" s="5">
        <v>0</v>
      </c>
      <c r="N95" s="75">
        <v>0</v>
      </c>
      <c r="O95" s="75">
        <v>0</v>
      </c>
      <c r="P95" s="63">
        <f t="shared" si="53"/>
        <v>0</v>
      </c>
      <c r="Q95" s="108">
        <f t="shared" si="54"/>
        <v>0</v>
      </c>
      <c r="R95" s="5">
        <v>0</v>
      </c>
      <c r="S95" s="75">
        <v>0</v>
      </c>
      <c r="T95" s="76">
        <v>0</v>
      </c>
      <c r="U95" s="63">
        <f t="shared" si="55"/>
        <v>0</v>
      </c>
      <c r="V95" s="111">
        <f t="shared" si="56"/>
        <v>0</v>
      </c>
      <c r="W95" s="64">
        <f t="shared" si="57"/>
        <v>75</v>
      </c>
      <c r="X95" s="65">
        <f t="shared" si="58"/>
        <v>27375</v>
      </c>
    </row>
    <row r="96" spans="1:24" ht="15" customHeight="1" thickBot="1" x14ac:dyDescent="0.3">
      <c r="A96" s="50" t="s">
        <v>150</v>
      </c>
      <c r="B96" s="507" t="s">
        <v>476</v>
      </c>
      <c r="C96" s="5">
        <v>16</v>
      </c>
      <c r="D96" s="5">
        <v>16</v>
      </c>
      <c r="E96" s="5">
        <v>16</v>
      </c>
      <c r="F96" s="63">
        <f t="shared" si="49"/>
        <v>16</v>
      </c>
      <c r="G96" s="108">
        <f t="shared" si="50"/>
        <v>1472</v>
      </c>
      <c r="H96" s="5">
        <v>15</v>
      </c>
      <c r="I96" s="5">
        <v>15</v>
      </c>
      <c r="J96" s="5">
        <v>15</v>
      </c>
      <c r="K96" s="63">
        <f t="shared" si="51"/>
        <v>15</v>
      </c>
      <c r="L96" s="108">
        <f t="shared" si="52"/>
        <v>1380</v>
      </c>
      <c r="M96" s="5">
        <v>15</v>
      </c>
      <c r="N96" s="75">
        <v>15</v>
      </c>
      <c r="O96" s="75">
        <v>16</v>
      </c>
      <c r="P96" s="63">
        <f t="shared" si="53"/>
        <v>15.333333333333334</v>
      </c>
      <c r="Q96" s="108">
        <f t="shared" si="54"/>
        <v>1380</v>
      </c>
      <c r="R96" s="5">
        <v>16</v>
      </c>
      <c r="S96" s="75">
        <v>15</v>
      </c>
      <c r="T96" s="76">
        <v>15</v>
      </c>
      <c r="U96" s="63">
        <f t="shared" si="55"/>
        <v>15.333333333333334</v>
      </c>
      <c r="V96" s="112">
        <f t="shared" si="56"/>
        <v>1395.3333333333335</v>
      </c>
      <c r="W96" s="64">
        <f t="shared" si="57"/>
        <v>15.416666666666666</v>
      </c>
      <c r="X96" s="66">
        <f t="shared" si="58"/>
        <v>5627.083333333333</v>
      </c>
    </row>
    <row r="97" spans="1:24" ht="15" customHeight="1" thickBot="1" x14ac:dyDescent="0.3">
      <c r="A97" s="53" t="s">
        <v>154</v>
      </c>
      <c r="B97" s="37"/>
      <c r="C97" s="80">
        <f>SUM(C91:C96)</f>
        <v>1498</v>
      </c>
      <c r="D97" s="80">
        <f>SUM(D91:D96)</f>
        <v>1498.29</v>
      </c>
      <c r="E97" s="80">
        <f>SUM(E91:E96)</f>
        <v>1431.47</v>
      </c>
      <c r="F97" s="68">
        <f t="shared" si="49"/>
        <v>1475.92</v>
      </c>
      <c r="G97" s="108">
        <f t="shared" si="50"/>
        <v>135784.64000000001</v>
      </c>
      <c r="H97" s="94">
        <f>SUM(H91:H96)</f>
        <v>1179.94</v>
      </c>
      <c r="I97" s="80">
        <f>SUM(I91:I96)</f>
        <v>1181.97</v>
      </c>
      <c r="J97" s="80">
        <f>SUM(J91:J96)</f>
        <v>1156.58</v>
      </c>
      <c r="K97" s="68">
        <f t="shared" si="51"/>
        <v>1172.83</v>
      </c>
      <c r="L97" s="119">
        <f t="shared" si="52"/>
        <v>107900.35999999999</v>
      </c>
      <c r="M97" s="94">
        <f>SUM(M91:M96)</f>
        <v>1178.0300000000002</v>
      </c>
      <c r="N97" s="80">
        <f>SUM(N91:N96)</f>
        <v>1211.3200000000002</v>
      </c>
      <c r="O97" s="80">
        <f>SUM(O91:O96)</f>
        <v>1218.23</v>
      </c>
      <c r="P97" s="68">
        <f t="shared" si="53"/>
        <v>1202.5266666666669</v>
      </c>
      <c r="Q97" s="108">
        <f t="shared" si="54"/>
        <v>108227.40000000002</v>
      </c>
      <c r="R97" s="94">
        <f>SUM(R91:R96)</f>
        <v>1214.0700000000002</v>
      </c>
      <c r="S97" s="80">
        <f>SUM(S91:S96)</f>
        <v>1217.45</v>
      </c>
      <c r="T97" s="81">
        <f>SUM(T91:T96)</f>
        <v>1211.5999999999999</v>
      </c>
      <c r="U97" s="68">
        <f t="shared" si="55"/>
        <v>1214.3733333333334</v>
      </c>
      <c r="V97" s="120">
        <f t="shared" si="56"/>
        <v>110507.97333333334</v>
      </c>
      <c r="W97" s="69">
        <f>SUM(W91:W96)</f>
        <v>1266.4125000000001</v>
      </c>
      <c r="X97" s="69">
        <f>SUM(X91:X96)</f>
        <v>462240.56249999994</v>
      </c>
    </row>
    <row r="98" spans="1:24" ht="15" customHeight="1" thickBot="1" x14ac:dyDescent="0.3">
      <c r="A98" s="54" t="s">
        <v>158</v>
      </c>
      <c r="B98" s="38"/>
      <c r="C98" s="80">
        <f>C89+C97</f>
        <v>6206.9600000000009</v>
      </c>
      <c r="D98" s="80">
        <f>D89+D97</f>
        <v>6294.2699999999995</v>
      </c>
      <c r="E98" s="80">
        <f>E89+E97</f>
        <v>6384.39</v>
      </c>
      <c r="F98" s="80">
        <f>F89+F97</f>
        <v>6295.2066666666669</v>
      </c>
      <c r="G98" s="68">
        <f>SUM(G89+G97)</f>
        <v>579159.01333333342</v>
      </c>
      <c r="H98" s="80">
        <f>H89+H97</f>
        <v>6404.1100000000006</v>
      </c>
      <c r="I98" s="80">
        <f>I89+I97</f>
        <v>6356.2899999999991</v>
      </c>
      <c r="J98" s="80">
        <f>J89+J97</f>
        <v>6244.0099999999993</v>
      </c>
      <c r="K98" s="120">
        <f t="shared" si="51"/>
        <v>6334.8033333333333</v>
      </c>
      <c r="L98" s="68">
        <f>SUM(L89+L97)</f>
        <v>582801.9066666665</v>
      </c>
      <c r="M98" s="94">
        <f>M89+M97</f>
        <v>6288.6299999999992</v>
      </c>
      <c r="N98" s="80">
        <f>N89+N97</f>
        <v>6222.32</v>
      </c>
      <c r="O98" s="80">
        <f>O89+O97</f>
        <v>6341.93</v>
      </c>
      <c r="P98" s="99">
        <f t="shared" si="53"/>
        <v>6284.2933333333322</v>
      </c>
      <c r="Q98" s="68">
        <f>SUM(Q89+Q97)</f>
        <v>565586.4</v>
      </c>
      <c r="R98" s="94">
        <f>R89+R97</f>
        <v>6366.77</v>
      </c>
      <c r="S98" s="80">
        <f>S89+S97</f>
        <v>6287.2499999999991</v>
      </c>
      <c r="T98" s="81">
        <f>T89+T97</f>
        <v>6253.9</v>
      </c>
      <c r="U98" s="99">
        <f t="shared" si="55"/>
        <v>6302.6399999999994</v>
      </c>
      <c r="V98" s="68">
        <f>SUM(V89+V97)</f>
        <v>573540.24</v>
      </c>
      <c r="W98" s="80">
        <f>W89+W97</f>
        <v>6304.2358333333341</v>
      </c>
      <c r="X98" s="82">
        <f>X89+X97</f>
        <v>2301046.0791666661</v>
      </c>
    </row>
    <row r="99" spans="1:24" s="676" customFormat="1" ht="15" customHeight="1" x14ac:dyDescent="0.2">
      <c r="A99" s="677" t="s">
        <v>514</v>
      </c>
      <c r="B99" s="678"/>
      <c r="C99" s="679"/>
      <c r="D99" s="679"/>
      <c r="E99" s="679"/>
      <c r="F99" s="679"/>
      <c r="G99" s="680"/>
      <c r="H99" s="679"/>
      <c r="I99" s="679"/>
      <c r="J99" s="679"/>
      <c r="K99" s="681"/>
      <c r="L99" s="680"/>
      <c r="M99" s="679"/>
      <c r="N99" s="679"/>
      <c r="O99" s="679"/>
      <c r="P99" s="682"/>
      <c r="Q99" s="680"/>
      <c r="R99" s="679"/>
      <c r="S99" s="679"/>
      <c r="T99" s="679"/>
      <c r="U99" s="682"/>
      <c r="V99" s="680"/>
      <c r="W99" s="679"/>
      <c r="X99" s="679"/>
    </row>
    <row r="100" spans="1:24" s="676" customFormat="1" ht="15" customHeight="1" x14ac:dyDescent="0.2">
      <c r="A100" s="677" t="s">
        <v>568</v>
      </c>
      <c r="B100" s="678"/>
      <c r="C100" s="679"/>
      <c r="D100" s="679"/>
      <c r="E100" s="679"/>
      <c r="F100" s="679"/>
      <c r="G100" s="680"/>
      <c r="H100" s="679"/>
      <c r="I100" s="679"/>
      <c r="J100" s="679"/>
      <c r="K100" s="681"/>
      <c r="L100" s="680"/>
      <c r="M100" s="679"/>
      <c r="N100" s="679"/>
      <c r="O100" s="679"/>
      <c r="P100" s="682"/>
      <c r="Q100" s="680"/>
      <c r="R100" s="679"/>
      <c r="S100" s="679"/>
      <c r="T100" s="679"/>
      <c r="U100" s="682"/>
      <c r="V100" s="680"/>
      <c r="W100" s="679"/>
      <c r="X100" s="679"/>
    </row>
    <row r="101" spans="1:24" ht="15" customHeight="1" x14ac:dyDescent="0.25">
      <c r="A101" s="114"/>
      <c r="B101" s="19"/>
      <c r="C101" s="115"/>
      <c r="D101" s="115"/>
      <c r="E101" s="115"/>
      <c r="F101" s="115"/>
      <c r="G101" s="113"/>
      <c r="H101" s="115"/>
      <c r="I101" s="115"/>
      <c r="J101" s="115"/>
      <c r="K101" s="139"/>
      <c r="L101" s="113"/>
      <c r="M101" s="115"/>
      <c r="N101" s="115"/>
      <c r="O101" s="115"/>
      <c r="P101" s="93"/>
      <c r="Q101" s="113"/>
      <c r="R101" s="115"/>
      <c r="S101" s="115"/>
      <c r="T101" s="115"/>
      <c r="U101" s="93"/>
      <c r="V101" s="113"/>
      <c r="W101" s="115"/>
      <c r="X101" s="115"/>
    </row>
    <row r="102" spans="1:24" ht="22.5" customHeight="1" thickBot="1" x14ac:dyDescent="0.25">
      <c r="A102" s="45" t="s">
        <v>157</v>
      </c>
    </row>
    <row r="103" spans="1:24" ht="21.75" customHeight="1" thickBot="1" x14ac:dyDescent="0.3">
      <c r="A103" s="665" t="s">
        <v>487</v>
      </c>
      <c r="B103" s="1157" t="s">
        <v>155</v>
      </c>
      <c r="C103" s="1157"/>
      <c r="D103" s="1157"/>
      <c r="E103" s="1157"/>
      <c r="F103" s="1157"/>
      <c r="G103" s="1157"/>
      <c r="H103" s="1157"/>
      <c r="I103" s="1157"/>
      <c r="J103" s="1157"/>
      <c r="K103" s="1157"/>
      <c r="L103" s="1157"/>
      <c r="M103" s="1157"/>
      <c r="N103" s="1157"/>
      <c r="O103" s="1157"/>
      <c r="P103" s="1157"/>
      <c r="Q103" s="1157"/>
      <c r="R103" s="1157"/>
      <c r="S103" s="1157"/>
      <c r="T103" s="1157"/>
      <c r="U103" s="39"/>
      <c r="V103" s="39"/>
      <c r="W103" s="92"/>
      <c r="X103" s="13"/>
    </row>
    <row r="104" spans="1:24" ht="15" customHeight="1" x14ac:dyDescent="0.25">
      <c r="A104" s="603"/>
      <c r="B104" s="40" t="s">
        <v>268</v>
      </c>
      <c r="C104" s="57"/>
      <c r="D104" s="58"/>
      <c r="E104" s="58"/>
      <c r="F104" s="1158" t="s">
        <v>265</v>
      </c>
      <c r="G104" s="1160" t="s">
        <v>285</v>
      </c>
      <c r="H104" s="58"/>
      <c r="I104" s="58"/>
      <c r="J104" s="58"/>
      <c r="K104" s="1158" t="s">
        <v>265</v>
      </c>
      <c r="L104" s="1160" t="s">
        <v>285</v>
      </c>
      <c r="M104" s="58"/>
      <c r="N104" s="58"/>
      <c r="O104" s="58"/>
      <c r="P104" s="1158" t="s">
        <v>265</v>
      </c>
      <c r="Q104" s="1160" t="s">
        <v>285</v>
      </c>
      <c r="R104" s="58"/>
      <c r="S104" s="58"/>
      <c r="T104" s="59"/>
      <c r="U104" s="1158" t="s">
        <v>265</v>
      </c>
      <c r="V104" s="1160" t="s">
        <v>285</v>
      </c>
      <c r="W104" s="1162" t="s">
        <v>156</v>
      </c>
      <c r="X104" s="1170" t="s">
        <v>157</v>
      </c>
    </row>
    <row r="105" spans="1:24" ht="31.5" customHeight="1" thickBot="1" x14ac:dyDescent="0.3">
      <c r="A105" s="47" t="s">
        <v>56</v>
      </c>
      <c r="B105" s="41" t="s">
        <v>471</v>
      </c>
      <c r="C105" s="60">
        <v>41091</v>
      </c>
      <c r="D105" s="61">
        <v>41122</v>
      </c>
      <c r="E105" s="61">
        <v>41153</v>
      </c>
      <c r="F105" s="1159"/>
      <c r="G105" s="1161"/>
      <c r="H105" s="61">
        <v>41183</v>
      </c>
      <c r="I105" s="61">
        <v>41214</v>
      </c>
      <c r="J105" s="61">
        <v>41244</v>
      </c>
      <c r="K105" s="1159"/>
      <c r="L105" s="1161"/>
      <c r="M105" s="61">
        <v>41275</v>
      </c>
      <c r="N105" s="61">
        <v>41306</v>
      </c>
      <c r="O105" s="61">
        <v>41334</v>
      </c>
      <c r="P105" s="1159"/>
      <c r="Q105" s="1161"/>
      <c r="R105" s="61">
        <v>41365</v>
      </c>
      <c r="S105" s="61">
        <v>41395</v>
      </c>
      <c r="T105" s="62">
        <v>41426</v>
      </c>
      <c r="U105" s="1159"/>
      <c r="V105" s="1161"/>
      <c r="W105" s="1163"/>
      <c r="X105" s="1171"/>
    </row>
    <row r="106" spans="1:24" ht="15" customHeight="1" thickBot="1" x14ac:dyDescent="0.3">
      <c r="A106" s="48" t="s">
        <v>317</v>
      </c>
      <c r="B106" s="42" t="s">
        <v>509</v>
      </c>
      <c r="C106" s="125">
        <v>921.84</v>
      </c>
      <c r="D106" s="125">
        <v>874.39</v>
      </c>
      <c r="E106" s="117">
        <v>884.74</v>
      </c>
      <c r="F106" s="63">
        <f>SUM(C106:E106)/3</f>
        <v>893.65666666666675</v>
      </c>
      <c r="G106" s="108">
        <f t="shared" ref="G106:G119" si="59">F106*92</f>
        <v>82216.413333333345</v>
      </c>
      <c r="H106" s="117">
        <v>860.03</v>
      </c>
      <c r="I106" s="117">
        <v>866.27</v>
      </c>
      <c r="J106" s="117">
        <v>859.7</v>
      </c>
      <c r="K106" s="63">
        <f t="shared" ref="K106:K120" si="60">SUM(H106:J106)/3</f>
        <v>862</v>
      </c>
      <c r="L106" s="108">
        <f t="shared" ref="L106:L120" si="61">K106*92</f>
        <v>79304</v>
      </c>
      <c r="M106" s="117">
        <v>900.52</v>
      </c>
      <c r="N106" s="85">
        <v>908.54</v>
      </c>
      <c r="O106" s="85">
        <v>879.87</v>
      </c>
      <c r="P106" s="63">
        <f t="shared" ref="P106:P120" si="62">SUM(M106:O106)/3</f>
        <v>896.31</v>
      </c>
      <c r="Q106" s="108">
        <f t="shared" ref="Q106:Q120" si="63">P106*90</f>
        <v>80667.899999999994</v>
      </c>
      <c r="R106" s="117">
        <v>907.7</v>
      </c>
      <c r="S106" s="85">
        <v>898.9</v>
      </c>
      <c r="T106" s="135">
        <v>914.4</v>
      </c>
      <c r="U106" s="63">
        <f t="shared" ref="U106:U120" si="64">SUM(R106:T106)/3</f>
        <v>907</v>
      </c>
      <c r="V106" s="111">
        <f t="shared" ref="V106:V120" si="65">U106*91</f>
        <v>82537</v>
      </c>
      <c r="W106" s="64">
        <f t="shared" ref="W106:W120" si="66">SUM(C106+D106+E106+H106+I106+J106+M106+N106+O106+R106+S106+T106)/12</f>
        <v>889.74166666666667</v>
      </c>
      <c r="X106" s="65">
        <f t="shared" ref="X106:X119" si="67">W106*365</f>
        <v>324755.70833333331</v>
      </c>
    </row>
    <row r="107" spans="1:24" ht="15" customHeight="1" thickBot="1" x14ac:dyDescent="0.3">
      <c r="A107" s="49" t="s">
        <v>140</v>
      </c>
      <c r="B107" s="43" t="s">
        <v>472</v>
      </c>
      <c r="C107" s="126">
        <v>116.48</v>
      </c>
      <c r="D107" s="126">
        <v>77.03</v>
      </c>
      <c r="E107" s="118">
        <v>83</v>
      </c>
      <c r="F107" s="63">
        <f t="shared" ref="F107:F119" si="68">SUM(C107:E107)/3</f>
        <v>92.17</v>
      </c>
      <c r="G107" s="108">
        <f t="shared" si="59"/>
        <v>8479.64</v>
      </c>
      <c r="H107" s="118">
        <v>101.29</v>
      </c>
      <c r="I107" s="118">
        <v>107.5</v>
      </c>
      <c r="J107" s="118">
        <v>113.06</v>
      </c>
      <c r="K107" s="63">
        <f t="shared" si="60"/>
        <v>107.28333333333335</v>
      </c>
      <c r="L107" s="108">
        <f t="shared" si="61"/>
        <v>9870.0666666666675</v>
      </c>
      <c r="M107" s="118">
        <v>107.26</v>
      </c>
      <c r="N107" s="86">
        <v>111.32</v>
      </c>
      <c r="O107" s="86">
        <v>118.81</v>
      </c>
      <c r="P107" s="63">
        <f t="shared" si="62"/>
        <v>112.46333333333332</v>
      </c>
      <c r="Q107" s="108">
        <f t="shared" si="63"/>
        <v>10121.699999999999</v>
      </c>
      <c r="R107" s="118">
        <v>120.23</v>
      </c>
      <c r="S107" s="86">
        <v>113.35</v>
      </c>
      <c r="T107" s="89">
        <v>130.4</v>
      </c>
      <c r="U107" s="63">
        <f t="shared" si="64"/>
        <v>121.32666666666667</v>
      </c>
      <c r="V107" s="111">
        <f t="shared" si="65"/>
        <v>11040.726666666667</v>
      </c>
      <c r="W107" s="64">
        <f t="shared" si="66"/>
        <v>108.31083333333333</v>
      </c>
      <c r="X107" s="65">
        <f t="shared" si="67"/>
        <v>39533.45416666667</v>
      </c>
    </row>
    <row r="108" spans="1:24" ht="15" customHeight="1" thickBot="1" x14ac:dyDescent="0.3">
      <c r="A108" s="50" t="s">
        <v>349</v>
      </c>
      <c r="B108" s="44" t="s">
        <v>348</v>
      </c>
      <c r="C108" s="4">
        <v>308.89999999999998</v>
      </c>
      <c r="D108" s="4">
        <v>302.10000000000002</v>
      </c>
      <c r="E108" s="3">
        <v>297.73</v>
      </c>
      <c r="F108" s="63">
        <f t="shared" si="68"/>
        <v>302.91000000000003</v>
      </c>
      <c r="G108" s="108">
        <f t="shared" si="59"/>
        <v>27867.72</v>
      </c>
      <c r="H108" s="3">
        <v>301.39</v>
      </c>
      <c r="I108" s="3">
        <v>290.23</v>
      </c>
      <c r="J108" s="3">
        <v>270.68</v>
      </c>
      <c r="K108" s="63">
        <f t="shared" si="60"/>
        <v>287.43333333333334</v>
      </c>
      <c r="L108" s="108">
        <f t="shared" si="61"/>
        <v>26443.866666666669</v>
      </c>
      <c r="M108" s="3">
        <v>283.64999999999998</v>
      </c>
      <c r="N108" s="87">
        <v>273.14</v>
      </c>
      <c r="O108" s="87">
        <v>273.32</v>
      </c>
      <c r="P108" s="63">
        <f t="shared" si="62"/>
        <v>276.70333333333332</v>
      </c>
      <c r="Q108" s="108">
        <f t="shared" si="63"/>
        <v>24903.3</v>
      </c>
      <c r="R108" s="3">
        <v>257.87</v>
      </c>
      <c r="S108" s="87">
        <v>281.45</v>
      </c>
      <c r="T108" s="90">
        <v>274.63</v>
      </c>
      <c r="U108" s="63">
        <f t="shared" si="64"/>
        <v>271.31666666666666</v>
      </c>
      <c r="V108" s="111">
        <f t="shared" si="65"/>
        <v>24689.816666666666</v>
      </c>
      <c r="W108" s="64">
        <f t="shared" si="66"/>
        <v>284.59083333333331</v>
      </c>
      <c r="X108" s="65">
        <f t="shared" si="67"/>
        <v>103875.65416666666</v>
      </c>
    </row>
    <row r="109" spans="1:24" ht="15" customHeight="1" thickBot="1" x14ac:dyDescent="0.3">
      <c r="A109" s="50" t="s">
        <v>478</v>
      </c>
      <c r="B109" s="44" t="s">
        <v>510</v>
      </c>
      <c r="C109" s="4">
        <v>36.1</v>
      </c>
      <c r="D109" s="4">
        <v>228.1</v>
      </c>
      <c r="E109" s="3">
        <v>261.02999999999997</v>
      </c>
      <c r="F109" s="63">
        <f>SUM(C109:E109)/3</f>
        <v>175.07666666666668</v>
      </c>
      <c r="G109" s="108">
        <f>F109*92</f>
        <v>16107.053333333335</v>
      </c>
      <c r="H109" s="3">
        <v>276.70999999999998</v>
      </c>
      <c r="I109" s="3">
        <v>398.07</v>
      </c>
      <c r="J109" s="3">
        <v>416.32</v>
      </c>
      <c r="K109" s="63">
        <f>SUM(H109:J109)/3</f>
        <v>363.7</v>
      </c>
      <c r="L109" s="108">
        <f>K109*92</f>
        <v>33460.400000000001</v>
      </c>
      <c r="M109" s="3">
        <v>421.61</v>
      </c>
      <c r="N109" s="87">
        <v>467.07</v>
      </c>
      <c r="O109" s="87">
        <v>546.48</v>
      </c>
      <c r="P109" s="63">
        <f>SUM(M109:O109)/3</f>
        <v>478.38666666666671</v>
      </c>
      <c r="Q109" s="108">
        <f>P109*90</f>
        <v>43054.8</v>
      </c>
      <c r="R109" s="3">
        <v>567.1</v>
      </c>
      <c r="S109" s="87">
        <v>698.55</v>
      </c>
      <c r="T109" s="90">
        <v>845.8</v>
      </c>
      <c r="U109" s="63">
        <f>SUM(R109:T109)/3</f>
        <v>703.81666666666661</v>
      </c>
      <c r="V109" s="111">
        <f>U109*91</f>
        <v>64047.316666666658</v>
      </c>
      <c r="W109" s="64">
        <f>SUM(C109+D109+E109+H109+I109+J109+M109+N109+O109+R109+S109+T109)/12</f>
        <v>430.24500000000006</v>
      </c>
      <c r="X109" s="65">
        <f>W109*365</f>
        <v>157039.42500000002</v>
      </c>
    </row>
    <row r="110" spans="1:24" ht="15" customHeight="1" thickBot="1" x14ac:dyDescent="0.3">
      <c r="A110" s="51" t="s">
        <v>282</v>
      </c>
      <c r="B110" s="44" t="s">
        <v>306</v>
      </c>
      <c r="C110" s="4">
        <v>419.77</v>
      </c>
      <c r="D110" s="4">
        <v>421.19</v>
      </c>
      <c r="E110" s="3">
        <v>425.03</v>
      </c>
      <c r="F110" s="63">
        <f t="shared" si="68"/>
        <v>421.99666666666667</v>
      </c>
      <c r="G110" s="108">
        <f t="shared" si="59"/>
        <v>38823.693333333336</v>
      </c>
      <c r="H110" s="3">
        <v>409.9</v>
      </c>
      <c r="I110" s="3">
        <v>420.37</v>
      </c>
      <c r="J110" s="3">
        <v>406.81</v>
      </c>
      <c r="K110" s="63">
        <f t="shared" si="60"/>
        <v>412.35999999999996</v>
      </c>
      <c r="L110" s="108">
        <f t="shared" si="61"/>
        <v>37937.119999999995</v>
      </c>
      <c r="M110" s="3">
        <v>416.35</v>
      </c>
      <c r="N110" s="87">
        <v>418.61</v>
      </c>
      <c r="O110" s="87">
        <v>407.13</v>
      </c>
      <c r="P110" s="63">
        <f t="shared" si="62"/>
        <v>414.03000000000003</v>
      </c>
      <c r="Q110" s="108">
        <f t="shared" si="63"/>
        <v>37262.700000000004</v>
      </c>
      <c r="R110" s="3">
        <v>417.63</v>
      </c>
      <c r="S110" s="87">
        <v>421.81</v>
      </c>
      <c r="T110" s="90">
        <v>407.9</v>
      </c>
      <c r="U110" s="63">
        <f t="shared" si="64"/>
        <v>415.78000000000003</v>
      </c>
      <c r="V110" s="111">
        <f t="shared" si="65"/>
        <v>37835.980000000003</v>
      </c>
      <c r="W110" s="64">
        <f t="shared" si="66"/>
        <v>416.04166666666669</v>
      </c>
      <c r="X110" s="65">
        <f t="shared" si="67"/>
        <v>151855.20833333334</v>
      </c>
    </row>
    <row r="111" spans="1:24" ht="15" customHeight="1" thickBot="1" x14ac:dyDescent="0.3">
      <c r="A111" s="50" t="s">
        <v>16</v>
      </c>
      <c r="B111" s="44" t="s">
        <v>275</v>
      </c>
      <c r="C111" s="4">
        <v>70.94</v>
      </c>
      <c r="D111" s="4">
        <v>71.900000000000006</v>
      </c>
      <c r="E111" s="3">
        <v>68.069999999999993</v>
      </c>
      <c r="F111" s="63">
        <f t="shared" si="68"/>
        <v>70.303333333333327</v>
      </c>
      <c r="G111" s="108">
        <f t="shared" si="59"/>
        <v>6467.9066666666658</v>
      </c>
      <c r="H111" s="3">
        <v>69.39</v>
      </c>
      <c r="I111" s="3">
        <v>69.3</v>
      </c>
      <c r="J111" s="3">
        <v>59.71</v>
      </c>
      <c r="K111" s="63">
        <f t="shared" si="60"/>
        <v>66.13333333333334</v>
      </c>
      <c r="L111" s="108">
        <f t="shared" si="61"/>
        <v>6084.2666666666673</v>
      </c>
      <c r="M111" s="3">
        <v>68.97</v>
      </c>
      <c r="N111" s="87">
        <v>70.709999999999994</v>
      </c>
      <c r="O111" s="87">
        <v>68.349999999999994</v>
      </c>
      <c r="P111" s="63">
        <f t="shared" si="62"/>
        <v>69.343333333333334</v>
      </c>
      <c r="Q111" s="108">
        <f t="shared" si="63"/>
        <v>6240.9</v>
      </c>
      <c r="R111" s="3">
        <v>66.930000000000007</v>
      </c>
      <c r="S111" s="87">
        <v>59.87</v>
      </c>
      <c r="T111" s="90">
        <v>63.13</v>
      </c>
      <c r="U111" s="63">
        <f t="shared" si="64"/>
        <v>63.31</v>
      </c>
      <c r="V111" s="111">
        <f t="shared" si="65"/>
        <v>5761.21</v>
      </c>
      <c r="W111" s="64">
        <f t="shared" si="66"/>
        <v>67.272499999999994</v>
      </c>
      <c r="X111" s="65">
        <f t="shared" si="67"/>
        <v>24554.462499999998</v>
      </c>
    </row>
    <row r="112" spans="1:24" ht="15" customHeight="1" thickBot="1" x14ac:dyDescent="0.3">
      <c r="A112" s="50" t="s">
        <v>17</v>
      </c>
      <c r="B112" s="44" t="s">
        <v>511</v>
      </c>
      <c r="C112" s="4">
        <v>235.45</v>
      </c>
      <c r="D112" s="4">
        <v>243.87</v>
      </c>
      <c r="E112" s="3">
        <v>244.83</v>
      </c>
      <c r="F112" s="63">
        <f t="shared" si="68"/>
        <v>241.38333333333333</v>
      </c>
      <c r="G112" s="108">
        <f t="shared" si="59"/>
        <v>22207.266666666666</v>
      </c>
      <c r="H112" s="3">
        <v>252.06</v>
      </c>
      <c r="I112" s="3">
        <v>237.4</v>
      </c>
      <c r="J112" s="3">
        <v>227.13</v>
      </c>
      <c r="K112" s="63">
        <f t="shared" si="60"/>
        <v>238.86333333333334</v>
      </c>
      <c r="L112" s="108">
        <f t="shared" si="61"/>
        <v>21975.426666666666</v>
      </c>
      <c r="M112" s="3">
        <v>223.06</v>
      </c>
      <c r="N112" s="87">
        <v>247.18</v>
      </c>
      <c r="O112" s="87">
        <v>247.45</v>
      </c>
      <c r="P112" s="63">
        <f t="shared" si="62"/>
        <v>239.23000000000002</v>
      </c>
      <c r="Q112" s="108">
        <f t="shared" si="63"/>
        <v>21530.7</v>
      </c>
      <c r="R112" s="3">
        <v>247.7</v>
      </c>
      <c r="S112" s="87">
        <v>240.77</v>
      </c>
      <c r="T112" s="90">
        <v>232.57</v>
      </c>
      <c r="U112" s="63">
        <f t="shared" si="64"/>
        <v>240.34666666666666</v>
      </c>
      <c r="V112" s="111">
        <f t="shared" si="65"/>
        <v>21871.546666666665</v>
      </c>
      <c r="W112" s="64">
        <f t="shared" si="66"/>
        <v>239.95583333333335</v>
      </c>
      <c r="X112" s="65">
        <f t="shared" si="67"/>
        <v>87583.879166666666</v>
      </c>
    </row>
    <row r="113" spans="1:24" ht="15" customHeight="1" thickBot="1" x14ac:dyDescent="0.3">
      <c r="A113" s="50" t="s">
        <v>142</v>
      </c>
      <c r="B113" s="44" t="s">
        <v>308</v>
      </c>
      <c r="C113" s="4">
        <v>98.45</v>
      </c>
      <c r="D113" s="4">
        <v>100.77</v>
      </c>
      <c r="E113" s="3">
        <v>100.23</v>
      </c>
      <c r="F113" s="63">
        <f t="shared" si="68"/>
        <v>99.816666666666663</v>
      </c>
      <c r="G113" s="108">
        <f t="shared" si="59"/>
        <v>9183.1333333333332</v>
      </c>
      <c r="H113" s="3">
        <v>103.61</v>
      </c>
      <c r="I113" s="3">
        <v>100.2</v>
      </c>
      <c r="J113" s="3">
        <v>97.06</v>
      </c>
      <c r="K113" s="63">
        <f t="shared" si="60"/>
        <v>100.29</v>
      </c>
      <c r="L113" s="108">
        <f t="shared" si="61"/>
        <v>9226.68</v>
      </c>
      <c r="M113" s="3">
        <v>102.94</v>
      </c>
      <c r="N113" s="87">
        <v>101.29</v>
      </c>
      <c r="O113" s="87">
        <v>103.16</v>
      </c>
      <c r="P113" s="63">
        <f t="shared" si="62"/>
        <v>102.46333333333332</v>
      </c>
      <c r="Q113" s="108">
        <f t="shared" si="63"/>
        <v>9221.6999999999989</v>
      </c>
      <c r="R113" s="3">
        <v>103.87</v>
      </c>
      <c r="S113" s="87">
        <v>103.29</v>
      </c>
      <c r="T113" s="90">
        <v>100.5</v>
      </c>
      <c r="U113" s="63">
        <f t="shared" si="64"/>
        <v>102.55333333333334</v>
      </c>
      <c r="V113" s="111">
        <f t="shared" si="65"/>
        <v>9332.3533333333344</v>
      </c>
      <c r="W113" s="64">
        <f t="shared" si="66"/>
        <v>101.28083333333332</v>
      </c>
      <c r="X113" s="65">
        <f t="shared" si="67"/>
        <v>36967.504166666658</v>
      </c>
    </row>
    <row r="114" spans="1:24" ht="15" customHeight="1" thickBot="1" x14ac:dyDescent="0.3">
      <c r="A114" s="51" t="s">
        <v>283</v>
      </c>
      <c r="B114" s="44" t="s">
        <v>315</v>
      </c>
      <c r="C114" s="4">
        <f>328.97+174.97</f>
        <v>503.94000000000005</v>
      </c>
      <c r="D114" s="4">
        <f>300.84+172.35</f>
        <v>473.18999999999994</v>
      </c>
      <c r="E114" s="3">
        <f>325.9+160.53</f>
        <v>486.42999999999995</v>
      </c>
      <c r="F114" s="63">
        <f t="shared" si="68"/>
        <v>487.8533333333333</v>
      </c>
      <c r="G114" s="108">
        <f t="shared" si="59"/>
        <v>44882.506666666661</v>
      </c>
      <c r="H114" s="3">
        <f>327.9+172.52</f>
        <v>500.41999999999996</v>
      </c>
      <c r="I114" s="3">
        <f>328.97+173.13</f>
        <v>502.1</v>
      </c>
      <c r="J114" s="3">
        <f>301.65+174.97</f>
        <v>476.62</v>
      </c>
      <c r="K114" s="63">
        <f t="shared" si="60"/>
        <v>493.04666666666662</v>
      </c>
      <c r="L114" s="108">
        <f t="shared" si="61"/>
        <v>45360.293333333328</v>
      </c>
      <c r="M114" s="3">
        <f>300.45+169.35</f>
        <v>469.79999999999995</v>
      </c>
      <c r="N114" s="87">
        <f>325.93+174.54</f>
        <v>500.47</v>
      </c>
      <c r="O114" s="87">
        <f>324.74+174.1</f>
        <v>498.84000000000003</v>
      </c>
      <c r="P114" s="63">
        <f t="shared" si="62"/>
        <v>489.70333333333338</v>
      </c>
      <c r="Q114" s="108">
        <f t="shared" si="63"/>
        <v>44073.3</v>
      </c>
      <c r="R114" s="3">
        <f>330.73+175.57</f>
        <v>506.3</v>
      </c>
      <c r="S114" s="87">
        <f>324.77+175.39</f>
        <v>500.15999999999997</v>
      </c>
      <c r="T114" s="90">
        <f>323.73+175.87</f>
        <v>499.6</v>
      </c>
      <c r="U114" s="63">
        <f t="shared" si="64"/>
        <v>502.02</v>
      </c>
      <c r="V114" s="111">
        <f t="shared" si="65"/>
        <v>45683.82</v>
      </c>
      <c r="W114" s="64">
        <f t="shared" si="66"/>
        <v>493.15583333333342</v>
      </c>
      <c r="X114" s="65">
        <f t="shared" si="67"/>
        <v>180001.87916666671</v>
      </c>
    </row>
    <row r="115" spans="1:24" ht="15" customHeight="1" thickBot="1" x14ac:dyDescent="0.3">
      <c r="A115" s="50" t="s">
        <v>151</v>
      </c>
      <c r="B115" s="121" t="s">
        <v>309</v>
      </c>
      <c r="C115" s="4">
        <v>48.97</v>
      </c>
      <c r="D115" s="4">
        <v>13.94</v>
      </c>
      <c r="E115" s="3">
        <v>14</v>
      </c>
      <c r="F115" s="63">
        <f t="shared" si="68"/>
        <v>25.636666666666667</v>
      </c>
      <c r="G115" s="108">
        <f t="shared" si="59"/>
        <v>2358.5733333333333</v>
      </c>
      <c r="H115" s="3">
        <v>17.350000000000001</v>
      </c>
      <c r="I115" s="3">
        <v>19.87</v>
      </c>
      <c r="J115" s="3">
        <v>17.55</v>
      </c>
      <c r="K115" s="63">
        <f t="shared" si="60"/>
        <v>18.256666666666664</v>
      </c>
      <c r="L115" s="108">
        <f t="shared" si="61"/>
        <v>1679.613333333333</v>
      </c>
      <c r="M115" s="3">
        <v>76.650000000000006</v>
      </c>
      <c r="N115" s="87">
        <v>100.79</v>
      </c>
      <c r="O115" s="87">
        <v>124.9</v>
      </c>
      <c r="P115" s="63">
        <f t="shared" si="62"/>
        <v>100.78000000000002</v>
      </c>
      <c r="Q115" s="108">
        <f t="shared" si="63"/>
        <v>9070.2000000000007</v>
      </c>
      <c r="R115" s="3">
        <v>125.27</v>
      </c>
      <c r="S115" s="87">
        <v>120.55</v>
      </c>
      <c r="T115" s="90">
        <v>112.23</v>
      </c>
      <c r="U115" s="63">
        <f t="shared" si="64"/>
        <v>119.35000000000001</v>
      </c>
      <c r="V115" s="111">
        <f t="shared" si="65"/>
        <v>10860.85</v>
      </c>
      <c r="W115" s="64">
        <f t="shared" si="66"/>
        <v>66.005833333333328</v>
      </c>
      <c r="X115" s="65">
        <f t="shared" si="67"/>
        <v>24092.129166666666</v>
      </c>
    </row>
    <row r="116" spans="1:24" ht="15" customHeight="1" thickBot="1" x14ac:dyDescent="0.3">
      <c r="A116" s="49" t="s">
        <v>20</v>
      </c>
      <c r="B116" s="43" t="s">
        <v>310</v>
      </c>
      <c r="C116" s="126">
        <v>500.32</v>
      </c>
      <c r="D116" s="126">
        <v>421.61</v>
      </c>
      <c r="E116" s="118">
        <v>409.57</v>
      </c>
      <c r="F116" s="63">
        <f t="shared" si="68"/>
        <v>443.83333333333331</v>
      </c>
      <c r="G116" s="108">
        <f t="shared" si="59"/>
        <v>40832.666666666664</v>
      </c>
      <c r="H116" s="118">
        <v>408</v>
      </c>
      <c r="I116" s="3">
        <v>306.5</v>
      </c>
      <c r="J116" s="118">
        <v>302.55</v>
      </c>
      <c r="K116" s="63">
        <f t="shared" si="60"/>
        <v>339.01666666666665</v>
      </c>
      <c r="L116" s="111">
        <f t="shared" si="61"/>
        <v>31189.533333333333</v>
      </c>
      <c r="M116" s="3">
        <v>300.87</v>
      </c>
      <c r="N116" s="86">
        <v>298.20999999999998</v>
      </c>
      <c r="O116" s="86">
        <v>302.68</v>
      </c>
      <c r="P116" s="63">
        <f t="shared" si="62"/>
        <v>300.58666666666664</v>
      </c>
      <c r="Q116" s="108">
        <f t="shared" si="63"/>
        <v>27052.799999999999</v>
      </c>
      <c r="R116" s="3">
        <v>304.39999999999998</v>
      </c>
      <c r="S116" s="86">
        <v>303.70999999999998</v>
      </c>
      <c r="T116" s="89">
        <v>301.60000000000002</v>
      </c>
      <c r="U116" s="63">
        <f t="shared" si="64"/>
        <v>303.23666666666662</v>
      </c>
      <c r="V116" s="111">
        <f t="shared" si="65"/>
        <v>27594.536666666663</v>
      </c>
      <c r="W116" s="64">
        <f t="shared" si="66"/>
        <v>346.66833333333335</v>
      </c>
      <c r="X116" s="65">
        <f t="shared" si="67"/>
        <v>126533.94166666668</v>
      </c>
    </row>
    <row r="117" spans="1:24" ht="15" customHeight="1" thickBot="1" x14ac:dyDescent="0.3">
      <c r="A117" s="51" t="s">
        <v>473</v>
      </c>
      <c r="B117" s="44" t="s">
        <v>474</v>
      </c>
      <c r="C117" s="4">
        <f>329.94+107.1</f>
        <v>437.03999999999996</v>
      </c>
      <c r="D117" s="4">
        <f>353.94+109.42</f>
        <v>463.36</v>
      </c>
      <c r="E117" s="3">
        <f>346+122.97</f>
        <v>468.97</v>
      </c>
      <c r="F117" s="63">
        <f t="shared" si="68"/>
        <v>456.45666666666665</v>
      </c>
      <c r="G117" s="108">
        <f t="shared" si="59"/>
        <v>41994.013333333329</v>
      </c>
      <c r="H117" s="3">
        <f>339.48+114.45</f>
        <v>453.93</v>
      </c>
      <c r="I117" s="3">
        <f>335.7+125.53</f>
        <v>461.23</v>
      </c>
      <c r="J117" s="3">
        <f>300.06+116.03</f>
        <v>416.09000000000003</v>
      </c>
      <c r="K117" s="63">
        <f t="shared" si="60"/>
        <v>443.75</v>
      </c>
      <c r="L117" s="108">
        <f t="shared" si="61"/>
        <v>40825</v>
      </c>
      <c r="M117" s="3">
        <f>267.68+122.45</f>
        <v>390.13</v>
      </c>
      <c r="N117" s="87">
        <f>289.32+123.54</f>
        <v>412.86</v>
      </c>
      <c r="O117" s="87">
        <f>310.48+121.81</f>
        <v>432.29</v>
      </c>
      <c r="P117" s="63">
        <f t="shared" si="62"/>
        <v>411.76</v>
      </c>
      <c r="Q117" s="108">
        <f t="shared" si="63"/>
        <v>37058.400000000001</v>
      </c>
      <c r="R117" s="3">
        <f>318.03+118.73</f>
        <v>436.76</v>
      </c>
      <c r="S117" s="87">
        <f>314.26+110.03</f>
        <v>424.28999999999996</v>
      </c>
      <c r="T117" s="90">
        <f>322.6+127.73</f>
        <v>450.33000000000004</v>
      </c>
      <c r="U117" s="63">
        <f t="shared" si="64"/>
        <v>437.12666666666672</v>
      </c>
      <c r="V117" s="111">
        <f t="shared" si="65"/>
        <v>39778.526666666672</v>
      </c>
      <c r="W117" s="64">
        <f t="shared" si="66"/>
        <v>437.27333333333331</v>
      </c>
      <c r="X117" s="65">
        <f t="shared" si="67"/>
        <v>159604.76666666666</v>
      </c>
    </row>
    <row r="118" spans="1:24" ht="15" customHeight="1" thickBot="1" x14ac:dyDescent="0.3">
      <c r="A118" s="50" t="s">
        <v>143</v>
      </c>
      <c r="B118" s="44" t="s">
        <v>512</v>
      </c>
      <c r="C118" s="4">
        <v>163.44999999999999</v>
      </c>
      <c r="D118" s="4">
        <v>178.06</v>
      </c>
      <c r="E118" s="3">
        <v>188.23</v>
      </c>
      <c r="F118" s="63">
        <f t="shared" si="68"/>
        <v>176.58</v>
      </c>
      <c r="G118" s="108">
        <f t="shared" si="59"/>
        <v>16245.36</v>
      </c>
      <c r="H118" s="3">
        <v>193.58</v>
      </c>
      <c r="I118" s="3">
        <v>206.73</v>
      </c>
      <c r="J118" s="3">
        <v>169.58</v>
      </c>
      <c r="K118" s="63">
        <f t="shared" si="60"/>
        <v>189.96333333333334</v>
      </c>
      <c r="L118" s="108">
        <f t="shared" si="61"/>
        <v>17476.626666666667</v>
      </c>
      <c r="M118" s="3">
        <v>184.06</v>
      </c>
      <c r="N118" s="87">
        <v>189.36</v>
      </c>
      <c r="O118" s="87">
        <v>187</v>
      </c>
      <c r="P118" s="63">
        <f t="shared" si="62"/>
        <v>186.8066666666667</v>
      </c>
      <c r="Q118" s="108">
        <f t="shared" si="63"/>
        <v>16812.600000000002</v>
      </c>
      <c r="R118" s="3">
        <v>179.23</v>
      </c>
      <c r="S118" s="87">
        <v>189.97</v>
      </c>
      <c r="T118" s="90">
        <v>186.63</v>
      </c>
      <c r="U118" s="63">
        <f t="shared" si="64"/>
        <v>185.27666666666664</v>
      </c>
      <c r="V118" s="111">
        <f t="shared" si="65"/>
        <v>16860.176666666666</v>
      </c>
      <c r="W118" s="64">
        <f t="shared" si="66"/>
        <v>184.65666666666667</v>
      </c>
      <c r="X118" s="65">
        <f t="shared" si="67"/>
        <v>67399.683333333334</v>
      </c>
    </row>
    <row r="119" spans="1:24" ht="15" customHeight="1" thickBot="1" x14ac:dyDescent="0.3">
      <c r="A119" s="50" t="s">
        <v>144</v>
      </c>
      <c r="B119" s="34"/>
      <c r="C119" s="4">
        <v>0</v>
      </c>
      <c r="D119" s="4">
        <v>0</v>
      </c>
      <c r="E119" s="18"/>
      <c r="F119" s="67">
        <f t="shared" si="68"/>
        <v>0</v>
      </c>
      <c r="G119" s="108">
        <f t="shared" si="59"/>
        <v>0</v>
      </c>
      <c r="H119" s="18"/>
      <c r="I119" s="18"/>
      <c r="J119" s="18"/>
      <c r="K119" s="67">
        <f t="shared" si="60"/>
        <v>0</v>
      </c>
      <c r="L119" s="108">
        <f t="shared" si="61"/>
        <v>0</v>
      </c>
      <c r="M119" s="18"/>
      <c r="N119" s="4"/>
      <c r="O119" s="87"/>
      <c r="P119" s="67">
        <f t="shared" si="62"/>
        <v>0</v>
      </c>
      <c r="Q119" s="108">
        <f t="shared" si="63"/>
        <v>0</v>
      </c>
      <c r="R119" s="3"/>
      <c r="S119" s="3"/>
      <c r="T119" s="4"/>
      <c r="U119" s="67">
        <f t="shared" si="64"/>
        <v>0</v>
      </c>
      <c r="V119" s="112">
        <f t="shared" si="65"/>
        <v>0</v>
      </c>
      <c r="W119" s="137">
        <f t="shared" si="66"/>
        <v>0</v>
      </c>
      <c r="X119" s="65">
        <f t="shared" si="67"/>
        <v>0</v>
      </c>
    </row>
    <row r="120" spans="1:24" ht="15" customHeight="1" thickBot="1" x14ac:dyDescent="0.3">
      <c r="A120" s="46" t="s">
        <v>152</v>
      </c>
      <c r="B120" s="35"/>
      <c r="C120" s="80">
        <f>SUM(C106:C119)</f>
        <v>3861.6499999999992</v>
      </c>
      <c r="D120" s="80">
        <f>SUM(D106:D119)</f>
        <v>3869.51</v>
      </c>
      <c r="E120" s="80">
        <f>SUM(E106:E119)</f>
        <v>3931.86</v>
      </c>
      <c r="F120" s="68">
        <f>SUM(C120:E120)/3</f>
        <v>3887.6733333333336</v>
      </c>
      <c r="G120" s="108">
        <f>F120*92</f>
        <v>357665.94666666671</v>
      </c>
      <c r="H120" s="94">
        <f>SUM(H106:H119)</f>
        <v>3947.6600000000003</v>
      </c>
      <c r="I120" s="80">
        <f>SUM(I106:I119)</f>
        <v>3985.77</v>
      </c>
      <c r="J120" s="80">
        <f>SUM(J106:J119)</f>
        <v>3832.8600000000006</v>
      </c>
      <c r="K120" s="68">
        <f t="shared" si="60"/>
        <v>3922.0966666666668</v>
      </c>
      <c r="L120" s="119">
        <f t="shared" si="61"/>
        <v>360832.89333333337</v>
      </c>
      <c r="M120" s="9">
        <f>SUM(M106:M119)</f>
        <v>3945.87</v>
      </c>
      <c r="N120" s="80">
        <f>SUM(N106:N119)</f>
        <v>4099.55</v>
      </c>
      <c r="O120" s="80">
        <f>SUM(O106:O119)</f>
        <v>4190.28</v>
      </c>
      <c r="P120" s="68">
        <f t="shared" si="62"/>
        <v>4078.5666666666671</v>
      </c>
      <c r="Q120" s="119">
        <f t="shared" si="63"/>
        <v>367071.00000000006</v>
      </c>
      <c r="R120" s="94">
        <f>SUM(R106:R119)</f>
        <v>4240.99</v>
      </c>
      <c r="S120" s="80">
        <f>SUM(S106:S119)</f>
        <v>4356.67</v>
      </c>
      <c r="T120" s="81">
        <f>SUM(T106:T119)</f>
        <v>4519.72</v>
      </c>
      <c r="U120" s="68">
        <f t="shared" si="64"/>
        <v>4372.46</v>
      </c>
      <c r="V120" s="120">
        <f t="shared" si="65"/>
        <v>397893.86</v>
      </c>
      <c r="W120" s="138">
        <f t="shared" si="66"/>
        <v>4065.1991666666668</v>
      </c>
      <c r="X120" s="69">
        <f>SUM(X106:X119)</f>
        <v>1483797.6958333333</v>
      </c>
    </row>
    <row r="121" spans="1:24" ht="15" customHeight="1" thickBot="1" x14ac:dyDescent="0.3">
      <c r="A121" s="46" t="s">
        <v>153</v>
      </c>
      <c r="B121" s="35"/>
      <c r="C121" s="70"/>
      <c r="D121" s="70"/>
      <c r="E121" s="71"/>
      <c r="F121" s="98"/>
      <c r="G121" s="98"/>
      <c r="H121" s="72"/>
      <c r="I121" s="70" t="s">
        <v>258</v>
      </c>
      <c r="J121" s="71"/>
      <c r="K121" s="97"/>
      <c r="L121" s="97"/>
      <c r="M121" s="72"/>
      <c r="N121" s="70"/>
      <c r="O121" s="71"/>
      <c r="P121" s="97"/>
      <c r="Q121" s="97"/>
      <c r="R121" s="72"/>
      <c r="S121" s="70"/>
      <c r="T121" s="71"/>
      <c r="U121" s="71"/>
      <c r="V121" s="70"/>
      <c r="W121" s="96"/>
      <c r="X121" s="69" t="s">
        <v>0</v>
      </c>
    </row>
    <row r="122" spans="1:24" ht="15" customHeight="1" thickBot="1" x14ac:dyDescent="0.3">
      <c r="A122" s="666" t="s">
        <v>145</v>
      </c>
      <c r="B122" s="667" t="s">
        <v>513</v>
      </c>
      <c r="C122" s="668">
        <v>750.68</v>
      </c>
      <c r="D122" s="668">
        <v>754.87</v>
      </c>
      <c r="E122" s="668">
        <v>733.8</v>
      </c>
      <c r="F122" s="669">
        <f t="shared" ref="F122:F128" si="69">SUM(C122:E122)/3</f>
        <v>746.44999999999993</v>
      </c>
      <c r="G122" s="670">
        <f t="shared" ref="G122:G128" si="70">F122*92</f>
        <v>68673.399999999994</v>
      </c>
      <c r="H122" s="668">
        <v>732.16</v>
      </c>
      <c r="I122" s="668">
        <v>769.5</v>
      </c>
      <c r="J122" s="668">
        <v>753</v>
      </c>
      <c r="K122" s="669">
        <f t="shared" ref="K122:K129" si="71">SUM(H122:J122)/3</f>
        <v>751.55333333333328</v>
      </c>
      <c r="L122" s="670">
        <f t="shared" ref="L122:L128" si="72">K122*92</f>
        <v>69142.906666666662</v>
      </c>
      <c r="M122" s="668">
        <v>762.26</v>
      </c>
      <c r="N122" s="671">
        <v>778.68</v>
      </c>
      <c r="O122" s="671">
        <v>781.61</v>
      </c>
      <c r="P122" s="669">
        <f t="shared" ref="P122:P129" si="73">SUM(M122:O122)/3</f>
        <v>774.18333333333339</v>
      </c>
      <c r="Q122" s="670">
        <f t="shared" ref="Q122:Q128" si="74">P122*90</f>
        <v>69676.5</v>
      </c>
      <c r="R122" s="668">
        <v>765.3</v>
      </c>
      <c r="S122" s="671">
        <v>756.16</v>
      </c>
      <c r="T122" s="672">
        <v>771.93</v>
      </c>
      <c r="U122" s="669">
        <f t="shared" ref="U122:U129" si="75">SUM(R122:T122)/3</f>
        <v>764.46333333333325</v>
      </c>
      <c r="V122" s="673">
        <f t="shared" ref="V122:V128" si="76">U122*91</f>
        <v>69566.16333333333</v>
      </c>
      <c r="W122" s="674">
        <f t="shared" ref="W122:W127" si="77">SUM(C122+D122+E122+H122+I122+J122+M122+N122+O122+R122+S122+T122)/12</f>
        <v>759.16250000000002</v>
      </c>
      <c r="X122" s="675">
        <f t="shared" ref="X122:X127" si="78">W122*365</f>
        <v>277094.3125</v>
      </c>
    </row>
    <row r="123" spans="1:24" ht="15" customHeight="1" thickBot="1" x14ac:dyDescent="0.3">
      <c r="A123" s="50" t="s">
        <v>146</v>
      </c>
      <c r="B123" s="507">
        <v>35</v>
      </c>
      <c r="C123" s="5">
        <f>5+3.03</f>
        <v>8.0299999999999994</v>
      </c>
      <c r="D123" s="5">
        <f>1.55+5</f>
        <v>6.55</v>
      </c>
      <c r="E123" s="5">
        <f>1.27+5</f>
        <v>6.27</v>
      </c>
      <c r="F123" s="63">
        <f t="shared" si="69"/>
        <v>6.9499999999999993</v>
      </c>
      <c r="G123" s="108">
        <f t="shared" si="70"/>
        <v>639.4</v>
      </c>
      <c r="H123" s="5">
        <f>0.84+5.48</f>
        <v>6.32</v>
      </c>
      <c r="I123" s="5">
        <v>4.3</v>
      </c>
      <c r="J123" s="5">
        <v>4</v>
      </c>
      <c r="K123" s="63">
        <f t="shared" si="71"/>
        <v>4.873333333333334</v>
      </c>
      <c r="L123" s="108">
        <f t="shared" si="72"/>
        <v>448.34666666666675</v>
      </c>
      <c r="M123" s="5">
        <v>4</v>
      </c>
      <c r="N123" s="75">
        <f>0.39+4.14</f>
        <v>4.5299999999999994</v>
      </c>
      <c r="O123" s="75">
        <v>4.32</v>
      </c>
      <c r="P123" s="63">
        <f t="shared" si="73"/>
        <v>4.2833333333333332</v>
      </c>
      <c r="Q123" s="108">
        <f t="shared" si="74"/>
        <v>385.5</v>
      </c>
      <c r="R123" s="5">
        <v>5.2</v>
      </c>
      <c r="S123" s="75">
        <v>7.03</v>
      </c>
      <c r="T123" s="76">
        <v>9</v>
      </c>
      <c r="U123" s="63">
        <f t="shared" si="75"/>
        <v>7.0766666666666671</v>
      </c>
      <c r="V123" s="111">
        <f t="shared" si="76"/>
        <v>643.97666666666669</v>
      </c>
      <c r="W123" s="64">
        <f t="shared" si="77"/>
        <v>5.7958333333333343</v>
      </c>
      <c r="X123" s="66">
        <f t="shared" si="78"/>
        <v>2115.479166666667</v>
      </c>
    </row>
    <row r="124" spans="1:24" ht="15" customHeight="1" thickBot="1" x14ac:dyDescent="0.3">
      <c r="A124" s="50" t="s">
        <v>148</v>
      </c>
      <c r="B124" s="507">
        <v>26</v>
      </c>
      <c r="C124" s="5">
        <v>20</v>
      </c>
      <c r="D124" s="5">
        <v>19</v>
      </c>
      <c r="E124" s="5">
        <v>20</v>
      </c>
      <c r="F124" s="63">
        <f t="shared" si="69"/>
        <v>19.666666666666668</v>
      </c>
      <c r="G124" s="108">
        <f t="shared" si="70"/>
        <v>1809.3333333333335</v>
      </c>
      <c r="H124" s="5">
        <v>18</v>
      </c>
      <c r="I124" s="5">
        <v>18</v>
      </c>
      <c r="J124" s="5">
        <v>19</v>
      </c>
      <c r="K124" s="63">
        <f t="shared" si="71"/>
        <v>18.333333333333332</v>
      </c>
      <c r="L124" s="108">
        <f t="shared" si="72"/>
        <v>1686.6666666666665</v>
      </c>
      <c r="M124" s="5">
        <v>19</v>
      </c>
      <c r="N124" s="75">
        <v>16</v>
      </c>
      <c r="O124" s="75">
        <v>14</v>
      </c>
      <c r="P124" s="63">
        <f t="shared" si="73"/>
        <v>16.333333333333332</v>
      </c>
      <c r="Q124" s="108">
        <f t="shared" si="74"/>
        <v>1470</v>
      </c>
      <c r="R124" s="5">
        <v>12</v>
      </c>
      <c r="S124" s="75">
        <v>10</v>
      </c>
      <c r="T124" s="76">
        <v>12</v>
      </c>
      <c r="U124" s="63">
        <f t="shared" si="75"/>
        <v>11.333333333333334</v>
      </c>
      <c r="V124" s="111">
        <f t="shared" si="76"/>
        <v>1031.3333333333335</v>
      </c>
      <c r="W124" s="64">
        <f t="shared" si="77"/>
        <v>16.416666666666668</v>
      </c>
      <c r="X124" s="65">
        <f t="shared" si="78"/>
        <v>5992.0833333333339</v>
      </c>
    </row>
    <row r="125" spans="1:24" ht="15" customHeight="1" thickBot="1" x14ac:dyDescent="0.3">
      <c r="A125" s="50" t="s">
        <v>147</v>
      </c>
      <c r="B125" s="507" t="s">
        <v>476</v>
      </c>
      <c r="C125" s="5">
        <v>328</v>
      </c>
      <c r="D125" s="5">
        <v>329</v>
      </c>
      <c r="E125" s="5">
        <v>344</v>
      </c>
      <c r="F125" s="63">
        <f t="shared" si="69"/>
        <v>333.66666666666669</v>
      </c>
      <c r="G125" s="108">
        <f t="shared" si="70"/>
        <v>30697.333333333336</v>
      </c>
      <c r="H125" s="5">
        <v>365</v>
      </c>
      <c r="I125" s="5">
        <v>366</v>
      </c>
      <c r="J125" s="5">
        <v>346</v>
      </c>
      <c r="K125" s="63">
        <f t="shared" si="71"/>
        <v>359</v>
      </c>
      <c r="L125" s="108">
        <f t="shared" si="72"/>
        <v>33028</v>
      </c>
      <c r="M125" s="5">
        <v>337</v>
      </c>
      <c r="N125" s="75">
        <v>333</v>
      </c>
      <c r="O125" s="75">
        <v>341</v>
      </c>
      <c r="P125" s="63">
        <f t="shared" si="73"/>
        <v>337</v>
      </c>
      <c r="Q125" s="108">
        <f t="shared" si="74"/>
        <v>30330</v>
      </c>
      <c r="R125" s="5">
        <v>333</v>
      </c>
      <c r="S125" s="75">
        <v>361</v>
      </c>
      <c r="T125" s="76">
        <v>362</v>
      </c>
      <c r="U125" s="63">
        <f t="shared" si="75"/>
        <v>352</v>
      </c>
      <c r="V125" s="111">
        <f t="shared" si="76"/>
        <v>32032</v>
      </c>
      <c r="W125" s="64">
        <f t="shared" si="77"/>
        <v>345.41666666666669</v>
      </c>
      <c r="X125" s="66">
        <f t="shared" si="78"/>
        <v>126077.08333333334</v>
      </c>
    </row>
    <row r="126" spans="1:24" ht="15" customHeight="1" thickBot="1" x14ac:dyDescent="0.3">
      <c r="A126" s="50" t="s">
        <v>371</v>
      </c>
      <c r="B126" s="507">
        <v>1050</v>
      </c>
      <c r="C126" s="5">
        <v>1039</v>
      </c>
      <c r="D126" s="5">
        <v>1043</v>
      </c>
      <c r="E126" s="5">
        <v>1037</v>
      </c>
      <c r="F126" s="63">
        <f t="shared" si="69"/>
        <v>1039.6666666666667</v>
      </c>
      <c r="G126" s="108">
        <f t="shared" si="70"/>
        <v>95649.333333333343</v>
      </c>
      <c r="H126" s="5">
        <v>1027</v>
      </c>
      <c r="I126" s="5">
        <v>1008</v>
      </c>
      <c r="J126" s="5">
        <v>1031</v>
      </c>
      <c r="K126" s="63">
        <f t="shared" si="71"/>
        <v>1022</v>
      </c>
      <c r="L126" s="108">
        <f t="shared" si="72"/>
        <v>94024</v>
      </c>
      <c r="M126" s="5">
        <v>1029</v>
      </c>
      <c r="N126" s="75">
        <v>971</v>
      </c>
      <c r="O126" s="75">
        <v>853</v>
      </c>
      <c r="P126" s="63">
        <f t="shared" si="73"/>
        <v>951</v>
      </c>
      <c r="Q126" s="108">
        <f t="shared" si="74"/>
        <v>85590</v>
      </c>
      <c r="R126" s="5">
        <v>796</v>
      </c>
      <c r="S126" s="75">
        <v>641</v>
      </c>
      <c r="T126" s="76">
        <v>467</v>
      </c>
      <c r="U126" s="63">
        <f t="shared" si="75"/>
        <v>634.66666666666663</v>
      </c>
      <c r="V126" s="111">
        <f t="shared" si="76"/>
        <v>57754.666666666664</v>
      </c>
      <c r="W126" s="64">
        <f t="shared" si="77"/>
        <v>911.83333333333337</v>
      </c>
      <c r="X126" s="65">
        <f t="shared" si="78"/>
        <v>332819.16666666669</v>
      </c>
    </row>
    <row r="127" spans="1:24" ht="15" customHeight="1" thickBot="1" x14ac:dyDescent="0.3">
      <c r="A127" s="50" t="s">
        <v>150</v>
      </c>
      <c r="B127" s="507" t="s">
        <v>476</v>
      </c>
      <c r="C127" s="5">
        <v>17</v>
      </c>
      <c r="D127" s="5">
        <v>16</v>
      </c>
      <c r="E127" s="5">
        <v>16</v>
      </c>
      <c r="F127" s="63">
        <f t="shared" si="69"/>
        <v>16.333333333333332</v>
      </c>
      <c r="G127" s="108">
        <f t="shared" si="70"/>
        <v>1502.6666666666665</v>
      </c>
      <c r="H127" s="5">
        <v>16</v>
      </c>
      <c r="I127" s="5">
        <v>16</v>
      </c>
      <c r="J127" s="5">
        <v>16</v>
      </c>
      <c r="K127" s="63">
        <f t="shared" si="71"/>
        <v>16</v>
      </c>
      <c r="L127" s="108">
        <f t="shared" si="72"/>
        <v>1472</v>
      </c>
      <c r="M127" s="5">
        <v>16</v>
      </c>
      <c r="N127" s="75">
        <v>17</v>
      </c>
      <c r="O127" s="75">
        <v>16</v>
      </c>
      <c r="P127" s="63">
        <f t="shared" si="73"/>
        <v>16.333333333333332</v>
      </c>
      <c r="Q127" s="108">
        <f t="shared" si="74"/>
        <v>1470</v>
      </c>
      <c r="R127" s="5">
        <v>16</v>
      </c>
      <c r="S127" s="75">
        <v>16</v>
      </c>
      <c r="T127" s="76">
        <v>16</v>
      </c>
      <c r="U127" s="63">
        <f t="shared" si="75"/>
        <v>16</v>
      </c>
      <c r="V127" s="112">
        <f t="shared" si="76"/>
        <v>1456</v>
      </c>
      <c r="W127" s="64">
        <f t="shared" si="77"/>
        <v>16.166666666666668</v>
      </c>
      <c r="X127" s="66">
        <f t="shared" si="78"/>
        <v>5900.8333333333339</v>
      </c>
    </row>
    <row r="128" spans="1:24" ht="15" customHeight="1" thickBot="1" x14ac:dyDescent="0.3">
      <c r="A128" s="53" t="s">
        <v>154</v>
      </c>
      <c r="B128" s="37"/>
      <c r="C128" s="80">
        <f>SUM(C122:C127)</f>
        <v>2162.71</v>
      </c>
      <c r="D128" s="80">
        <f>SUM(D122:D127)</f>
        <v>2168.42</v>
      </c>
      <c r="E128" s="80">
        <f>SUM(E122:E127)</f>
        <v>2157.0699999999997</v>
      </c>
      <c r="F128" s="68">
        <f t="shared" si="69"/>
        <v>2162.7333333333331</v>
      </c>
      <c r="G128" s="108">
        <f t="shared" si="70"/>
        <v>198971.46666666665</v>
      </c>
      <c r="H128" s="94">
        <f>SUM(H122:H127)</f>
        <v>2164.48</v>
      </c>
      <c r="I128" s="80">
        <f>SUM(I122:I127)</f>
        <v>2181.8000000000002</v>
      </c>
      <c r="J128" s="80">
        <f>SUM(J122:J127)</f>
        <v>2169</v>
      </c>
      <c r="K128" s="68">
        <f t="shared" si="71"/>
        <v>2171.7600000000002</v>
      </c>
      <c r="L128" s="119">
        <f t="shared" si="72"/>
        <v>199801.92</v>
      </c>
      <c r="M128" s="94">
        <f>SUM(M122:M127)</f>
        <v>2167.2600000000002</v>
      </c>
      <c r="N128" s="80">
        <f>SUM(N122:N127)</f>
        <v>2120.21</v>
      </c>
      <c r="O128" s="80">
        <f>SUM(O122:O127)</f>
        <v>2009.93</v>
      </c>
      <c r="P128" s="68">
        <f t="shared" si="73"/>
        <v>2099.1333333333337</v>
      </c>
      <c r="Q128" s="108">
        <f t="shared" si="74"/>
        <v>188922.00000000003</v>
      </c>
      <c r="R128" s="94">
        <f>SUM(R122:R127)</f>
        <v>1927.5</v>
      </c>
      <c r="S128" s="80">
        <f>SUM(S122:S127)</f>
        <v>1791.19</v>
      </c>
      <c r="T128" s="81">
        <f>SUM(T122:T127)</f>
        <v>1637.9299999999998</v>
      </c>
      <c r="U128" s="68">
        <f t="shared" si="75"/>
        <v>1785.54</v>
      </c>
      <c r="V128" s="120">
        <f t="shared" si="76"/>
        <v>162484.13999999998</v>
      </c>
      <c r="W128" s="69">
        <f>SUM(W122:W127)</f>
        <v>2054.7916666666665</v>
      </c>
      <c r="X128" s="69">
        <f>SUM(X122:X127)</f>
        <v>749998.95833333337</v>
      </c>
    </row>
    <row r="129" spans="1:24" ht="15" customHeight="1" thickBot="1" x14ac:dyDescent="0.3">
      <c r="A129" s="54" t="s">
        <v>158</v>
      </c>
      <c r="B129" s="38"/>
      <c r="C129" s="80">
        <f>C120+C128</f>
        <v>6024.3599999999988</v>
      </c>
      <c r="D129" s="80">
        <f>D120+D128</f>
        <v>6037.93</v>
      </c>
      <c r="E129" s="80">
        <f>E120+E128</f>
        <v>6088.93</v>
      </c>
      <c r="F129" s="80">
        <f>F120+F128</f>
        <v>6050.4066666666668</v>
      </c>
      <c r="G129" s="68">
        <f>SUM(G120+G128)</f>
        <v>556637.41333333333</v>
      </c>
      <c r="H129" s="80">
        <f>H120+H128</f>
        <v>6112.14</v>
      </c>
      <c r="I129" s="80">
        <f>I120+I128</f>
        <v>6167.57</v>
      </c>
      <c r="J129" s="80">
        <f>J120+J128</f>
        <v>6001.8600000000006</v>
      </c>
      <c r="K129" s="120">
        <f t="shared" si="71"/>
        <v>6093.8566666666666</v>
      </c>
      <c r="L129" s="68">
        <f>SUM(L120+L128)</f>
        <v>560634.81333333335</v>
      </c>
      <c r="M129" s="94">
        <f>M120+M128</f>
        <v>6113.13</v>
      </c>
      <c r="N129" s="80">
        <f>N120+N128</f>
        <v>6219.76</v>
      </c>
      <c r="O129" s="80">
        <f>O120+O128</f>
        <v>6200.21</v>
      </c>
      <c r="P129" s="99">
        <f t="shared" si="73"/>
        <v>6177.7</v>
      </c>
      <c r="Q129" s="68">
        <f>SUM(Q120+Q128)</f>
        <v>555993.00000000012</v>
      </c>
      <c r="R129" s="94">
        <f>R120+R128</f>
        <v>6168.49</v>
      </c>
      <c r="S129" s="80">
        <f>S120+S128</f>
        <v>6147.8600000000006</v>
      </c>
      <c r="T129" s="81">
        <f>T120+T128</f>
        <v>6157.65</v>
      </c>
      <c r="U129" s="99">
        <f t="shared" si="75"/>
        <v>6158</v>
      </c>
      <c r="V129" s="68">
        <f>SUM(V120+V128)</f>
        <v>560378</v>
      </c>
      <c r="W129" s="80">
        <f>W120+W128</f>
        <v>6119.9908333333333</v>
      </c>
      <c r="X129" s="82">
        <f>X120+X128</f>
        <v>2233796.6541666668</v>
      </c>
    </row>
    <row r="130" spans="1:24" ht="15" customHeight="1" x14ac:dyDescent="0.25">
      <c r="A130" s="604" t="s">
        <v>514</v>
      </c>
      <c r="B130" s="605"/>
      <c r="C130" s="606"/>
      <c r="D130" s="115"/>
      <c r="E130" s="115"/>
      <c r="F130" s="115"/>
      <c r="G130" s="113"/>
      <c r="H130" s="115"/>
      <c r="I130" s="115"/>
      <c r="J130" s="115"/>
      <c r="K130" s="139"/>
      <c r="L130" s="113"/>
      <c r="M130" s="115"/>
      <c r="N130" s="115"/>
      <c r="O130" s="115"/>
      <c r="P130" s="93"/>
      <c r="Q130" s="113"/>
      <c r="R130" s="115"/>
      <c r="S130" s="115"/>
      <c r="T130" s="115"/>
      <c r="U130" s="93"/>
      <c r="V130" s="113"/>
      <c r="W130" s="115"/>
      <c r="X130" s="115"/>
    </row>
    <row r="131" spans="1:24" ht="15" customHeight="1" x14ac:dyDescent="0.25">
      <c r="A131" s="604" t="s">
        <v>515</v>
      </c>
      <c r="B131" s="605"/>
      <c r="C131" s="606"/>
      <c r="D131" s="115"/>
      <c r="E131" s="115"/>
      <c r="F131" s="115"/>
      <c r="G131" s="113"/>
      <c r="H131" s="115"/>
      <c r="I131" s="115"/>
      <c r="J131" s="115"/>
      <c r="K131" s="139"/>
      <c r="L131" s="113"/>
      <c r="M131" s="115"/>
      <c r="N131" s="115"/>
      <c r="O131" s="115"/>
      <c r="P131" s="93"/>
      <c r="Q131" s="113"/>
      <c r="R131" s="115"/>
      <c r="S131" s="115"/>
      <c r="T131" s="115"/>
      <c r="U131" s="93"/>
      <c r="V131" s="113"/>
      <c r="W131" s="115"/>
      <c r="X131" s="115"/>
    </row>
    <row r="132" spans="1:24" ht="15" customHeight="1" x14ac:dyDescent="0.25">
      <c r="A132" s="114"/>
      <c r="B132" s="19"/>
      <c r="C132" s="115"/>
      <c r="D132" s="115"/>
      <c r="E132" s="115"/>
      <c r="F132" s="115"/>
      <c r="G132" s="113"/>
      <c r="H132" s="115"/>
      <c r="I132" s="115"/>
      <c r="J132" s="115"/>
      <c r="K132" s="139"/>
      <c r="L132" s="113"/>
      <c r="M132" s="115"/>
      <c r="N132" s="115"/>
      <c r="O132" s="115"/>
      <c r="P132" s="93"/>
      <c r="Q132" s="113"/>
      <c r="R132" s="115"/>
      <c r="S132" s="115"/>
      <c r="T132" s="115"/>
      <c r="U132" s="93"/>
      <c r="V132" s="113"/>
      <c r="W132" s="115"/>
      <c r="X132" s="115"/>
    </row>
    <row r="133" spans="1:24" ht="18" customHeight="1" x14ac:dyDescent="0.2">
      <c r="A133" s="45" t="s">
        <v>157</v>
      </c>
      <c r="B133" s="10"/>
      <c r="C133" s="13"/>
      <c r="D133" s="13"/>
      <c r="E133" s="13"/>
      <c r="F133" s="13"/>
      <c r="G133" s="13"/>
      <c r="H133" s="13"/>
      <c r="I133" s="13"/>
      <c r="J133" s="13"/>
      <c r="K133" s="13"/>
      <c r="L133" s="13"/>
      <c r="M133" s="13"/>
      <c r="N133" s="13"/>
      <c r="O133" s="13"/>
      <c r="P133" s="13"/>
      <c r="Q133" s="13"/>
      <c r="R133" s="13"/>
      <c r="S133" s="13"/>
      <c r="T133" s="13"/>
      <c r="U133" s="13"/>
      <c r="V133" s="13"/>
      <c r="W133" s="13"/>
      <c r="X133" s="13"/>
    </row>
    <row r="134" spans="1:24" ht="18" customHeight="1" thickBot="1" x14ac:dyDescent="0.25">
      <c r="A134" s="45"/>
      <c r="B134" s="10"/>
      <c r="C134" s="13"/>
      <c r="D134" s="13"/>
      <c r="E134" s="13"/>
      <c r="F134" s="13"/>
      <c r="G134" s="13"/>
      <c r="H134" s="13"/>
      <c r="I134" s="13"/>
      <c r="J134" s="13"/>
      <c r="K134" s="13"/>
      <c r="L134" s="13"/>
      <c r="M134" s="13"/>
      <c r="N134" s="13"/>
      <c r="O134" s="13"/>
      <c r="P134" s="13"/>
      <c r="Q134" s="13"/>
      <c r="R134" s="13"/>
      <c r="S134" s="13"/>
      <c r="T134" s="13"/>
      <c r="U134" s="13"/>
      <c r="V134" s="13"/>
      <c r="W134" s="13"/>
      <c r="X134" s="13"/>
    </row>
    <row r="135" spans="1:24" ht="20.25" customHeight="1" thickBot="1" x14ac:dyDescent="0.3">
      <c r="A135" s="508" t="s">
        <v>452</v>
      </c>
      <c r="B135" s="1156" t="s">
        <v>155</v>
      </c>
      <c r="C135" s="1157"/>
      <c r="D135" s="1157"/>
      <c r="E135" s="1157"/>
      <c r="F135" s="1157"/>
      <c r="G135" s="1157"/>
      <c r="H135" s="1157"/>
      <c r="I135" s="1157"/>
      <c r="J135" s="1157"/>
      <c r="K135" s="1157"/>
      <c r="L135" s="1157"/>
      <c r="M135" s="1157"/>
      <c r="N135" s="1157"/>
      <c r="O135" s="1157"/>
      <c r="P135" s="1157"/>
      <c r="Q135" s="1157"/>
      <c r="R135" s="1157"/>
      <c r="S135" s="1157"/>
      <c r="T135" s="1157"/>
      <c r="U135" s="39"/>
      <c r="V135" s="39"/>
      <c r="W135" s="92"/>
      <c r="X135" s="13"/>
    </row>
    <row r="136" spans="1:24" ht="15" customHeight="1" x14ac:dyDescent="0.25">
      <c r="A136" s="56"/>
      <c r="B136" s="40" t="s">
        <v>268</v>
      </c>
      <c r="C136" s="57"/>
      <c r="D136" s="58"/>
      <c r="E136" s="58"/>
      <c r="F136" s="1158" t="s">
        <v>265</v>
      </c>
      <c r="G136" s="1160" t="s">
        <v>285</v>
      </c>
      <c r="H136" s="58"/>
      <c r="I136" s="58"/>
      <c r="J136" s="58"/>
      <c r="K136" s="1158" t="s">
        <v>265</v>
      </c>
      <c r="L136" s="1160" t="s">
        <v>285</v>
      </c>
      <c r="M136" s="58"/>
      <c r="N136" s="598" t="s">
        <v>506</v>
      </c>
      <c r="O136" s="58"/>
      <c r="P136" s="1158" t="s">
        <v>265</v>
      </c>
      <c r="Q136" s="1160" t="s">
        <v>285</v>
      </c>
      <c r="R136" s="58"/>
      <c r="S136" s="58"/>
      <c r="T136" s="59"/>
      <c r="U136" s="1158" t="s">
        <v>265</v>
      </c>
      <c r="V136" s="1160" t="s">
        <v>285</v>
      </c>
      <c r="W136" s="1167" t="s">
        <v>156</v>
      </c>
      <c r="X136" s="1165" t="s">
        <v>157</v>
      </c>
    </row>
    <row r="137" spans="1:24" ht="24.75" customHeight="1" thickBot="1" x14ac:dyDescent="0.3">
      <c r="A137" s="47" t="s">
        <v>56</v>
      </c>
      <c r="B137" s="41" t="s">
        <v>471</v>
      </c>
      <c r="C137" s="60">
        <v>40735</v>
      </c>
      <c r="D137" s="61">
        <v>40766</v>
      </c>
      <c r="E137" s="61">
        <v>40797</v>
      </c>
      <c r="F137" s="1159"/>
      <c r="G137" s="1161"/>
      <c r="H137" s="61">
        <v>40827</v>
      </c>
      <c r="I137" s="61">
        <v>40858</v>
      </c>
      <c r="J137" s="61">
        <v>40888</v>
      </c>
      <c r="K137" s="1159"/>
      <c r="L137" s="1161"/>
      <c r="M137" s="61">
        <v>40920</v>
      </c>
      <c r="N137" s="61">
        <v>40951</v>
      </c>
      <c r="O137" s="61">
        <v>40980</v>
      </c>
      <c r="P137" s="1159"/>
      <c r="Q137" s="1161"/>
      <c r="R137" s="61">
        <v>41011</v>
      </c>
      <c r="S137" s="61">
        <v>41041</v>
      </c>
      <c r="T137" s="62">
        <v>41072</v>
      </c>
      <c r="U137" s="1159"/>
      <c r="V137" s="1161"/>
      <c r="W137" s="1168"/>
      <c r="X137" s="1166"/>
    </row>
    <row r="138" spans="1:24" ht="15" customHeight="1" thickBot="1" x14ac:dyDescent="0.3">
      <c r="A138" s="48" t="s">
        <v>298</v>
      </c>
      <c r="B138" s="42" t="s">
        <v>303</v>
      </c>
      <c r="C138" s="125">
        <v>450.87</v>
      </c>
      <c r="D138" s="125">
        <v>452.77</v>
      </c>
      <c r="E138" s="117">
        <v>472.67</v>
      </c>
      <c r="F138" s="63">
        <f>SUM(C138:E138)/3</f>
        <v>458.77</v>
      </c>
      <c r="G138" s="108">
        <f t="shared" ref="G138:G151" si="79">F138*92</f>
        <v>42206.84</v>
      </c>
      <c r="H138" s="117">
        <v>514.9</v>
      </c>
      <c r="I138" s="117">
        <v>447.87</v>
      </c>
      <c r="J138" s="117">
        <v>415.97</v>
      </c>
      <c r="K138" s="63">
        <f t="shared" ref="K138:K152" si="80">SUM(H138:J138)/3</f>
        <v>459.58</v>
      </c>
      <c r="L138" s="108">
        <f t="shared" ref="L138:L152" si="81">K138*92</f>
        <v>42281.36</v>
      </c>
      <c r="M138" s="117">
        <v>444.71</v>
      </c>
      <c r="N138" s="85">
        <v>460.97</v>
      </c>
      <c r="O138" s="85">
        <v>468.19</v>
      </c>
      <c r="P138" s="63">
        <f t="shared" ref="P138:P152" si="82">SUM(M138:O138)/3</f>
        <v>457.95666666666671</v>
      </c>
      <c r="Q138" s="108">
        <f>P138*91</f>
        <v>41674.056666666671</v>
      </c>
      <c r="R138" s="117">
        <v>470.97</v>
      </c>
      <c r="S138" s="85">
        <v>469.94</v>
      </c>
      <c r="T138" s="135">
        <v>491.63</v>
      </c>
      <c r="U138" s="63">
        <f t="shared" ref="U138:U152" si="83">SUM(R138:T138)/3</f>
        <v>477.51333333333332</v>
      </c>
      <c r="V138" s="111">
        <f t="shared" ref="V138:V152" si="84">U138*91</f>
        <v>43453.713333333333</v>
      </c>
      <c r="W138" s="64">
        <f t="shared" ref="W138:W152" si="85">SUM(C138+D138+E138+H138+I138+J138+M138+N138+O138+R138+S138+T138)/12</f>
        <v>463.45499999999998</v>
      </c>
      <c r="X138" s="65">
        <f>W138*366</f>
        <v>169624.53</v>
      </c>
    </row>
    <row r="139" spans="1:24" ht="15" customHeight="1" thickBot="1" x14ac:dyDescent="0.3">
      <c r="A139" s="49" t="s">
        <v>140</v>
      </c>
      <c r="B139" s="43" t="s">
        <v>472</v>
      </c>
      <c r="C139" s="126">
        <v>145.81</v>
      </c>
      <c r="D139" s="126">
        <v>140.29</v>
      </c>
      <c r="E139" s="118">
        <v>135.07</v>
      </c>
      <c r="F139" s="63">
        <f t="shared" ref="F139:F151" si="86">SUM(C139:E139)/3</f>
        <v>140.39000000000001</v>
      </c>
      <c r="G139" s="108">
        <f t="shared" si="79"/>
        <v>12915.880000000001</v>
      </c>
      <c r="H139" s="118">
        <v>127.87</v>
      </c>
      <c r="I139" s="118">
        <v>122.27</v>
      </c>
      <c r="J139" s="118">
        <v>104.16</v>
      </c>
      <c r="K139" s="63">
        <f t="shared" si="80"/>
        <v>118.09999999999998</v>
      </c>
      <c r="L139" s="108">
        <f t="shared" si="81"/>
        <v>10865.199999999999</v>
      </c>
      <c r="M139" s="118">
        <v>116.1</v>
      </c>
      <c r="N139" s="86">
        <v>112.1</v>
      </c>
      <c r="O139" s="86">
        <v>111.58</v>
      </c>
      <c r="P139" s="63">
        <f t="shared" si="82"/>
        <v>113.25999999999999</v>
      </c>
      <c r="Q139" s="108">
        <f>P139*91</f>
        <v>10306.66</v>
      </c>
      <c r="R139" s="118">
        <v>114.03</v>
      </c>
      <c r="S139" s="86">
        <v>118.77</v>
      </c>
      <c r="T139" s="89">
        <v>123.93</v>
      </c>
      <c r="U139" s="63">
        <f t="shared" si="83"/>
        <v>118.91000000000001</v>
      </c>
      <c r="V139" s="111">
        <f t="shared" si="84"/>
        <v>10820.810000000001</v>
      </c>
      <c r="W139" s="64">
        <f t="shared" si="85"/>
        <v>122.66500000000001</v>
      </c>
      <c r="X139" s="65">
        <f>W139*366</f>
        <v>44895.39</v>
      </c>
    </row>
    <row r="140" spans="1:24" ht="15" customHeight="1" thickBot="1" x14ac:dyDescent="0.3">
      <c r="A140" s="50" t="s">
        <v>299</v>
      </c>
      <c r="B140" s="44" t="s">
        <v>304</v>
      </c>
      <c r="C140" s="4">
        <v>442.61</v>
      </c>
      <c r="D140" s="4">
        <v>448.58</v>
      </c>
      <c r="E140" s="3">
        <v>454.97</v>
      </c>
      <c r="F140" s="63">
        <f t="shared" si="86"/>
        <v>448.72</v>
      </c>
      <c r="G140" s="108">
        <f t="shared" si="79"/>
        <v>41282.240000000005</v>
      </c>
      <c r="H140" s="3">
        <v>451.35</v>
      </c>
      <c r="I140" s="3">
        <v>450.2</v>
      </c>
      <c r="J140" s="3">
        <v>437.55</v>
      </c>
      <c r="K140" s="63">
        <f t="shared" si="80"/>
        <v>446.36666666666662</v>
      </c>
      <c r="L140" s="108">
        <f t="shared" si="81"/>
        <v>41065.73333333333</v>
      </c>
      <c r="M140" s="3">
        <v>442.84</v>
      </c>
      <c r="N140" s="87">
        <v>450.31</v>
      </c>
      <c r="O140" s="87">
        <v>443.1</v>
      </c>
      <c r="P140" s="63">
        <f t="shared" si="82"/>
        <v>445.41666666666669</v>
      </c>
      <c r="Q140" s="108">
        <f t="shared" ref="Q140:Q150" si="87">P140*91</f>
        <v>40532.916666666672</v>
      </c>
      <c r="R140" s="3">
        <v>438.47</v>
      </c>
      <c r="S140" s="87">
        <v>438.06</v>
      </c>
      <c r="T140" s="90">
        <v>405.3</v>
      </c>
      <c r="U140" s="63">
        <f t="shared" si="83"/>
        <v>427.27666666666664</v>
      </c>
      <c r="V140" s="111">
        <f t="shared" si="84"/>
        <v>38882.176666666666</v>
      </c>
      <c r="W140" s="64">
        <f t="shared" si="85"/>
        <v>441.94500000000011</v>
      </c>
      <c r="X140" s="65">
        <f t="shared" ref="X140:X150" si="88">W140*366</f>
        <v>161751.87000000005</v>
      </c>
    </row>
    <row r="141" spans="1:24" ht="15" customHeight="1" thickBot="1" x14ac:dyDescent="0.3">
      <c r="A141" s="50" t="s">
        <v>349</v>
      </c>
      <c r="B141" s="44" t="s">
        <v>348</v>
      </c>
      <c r="C141" s="4">
        <v>277.61</v>
      </c>
      <c r="D141" s="4">
        <v>282.48</v>
      </c>
      <c r="E141" s="3">
        <v>285.60000000000002</v>
      </c>
      <c r="F141" s="63">
        <f t="shared" si="86"/>
        <v>281.8966666666667</v>
      </c>
      <c r="G141" s="108">
        <f t="shared" si="79"/>
        <v>25934.493333333336</v>
      </c>
      <c r="H141" s="3">
        <v>285.13</v>
      </c>
      <c r="I141" s="3">
        <v>276.07</v>
      </c>
      <c r="J141" s="3">
        <v>248</v>
      </c>
      <c r="K141" s="63">
        <f t="shared" si="80"/>
        <v>269.73333333333335</v>
      </c>
      <c r="L141" s="108">
        <f t="shared" si="81"/>
        <v>24815.466666666667</v>
      </c>
      <c r="M141" s="3">
        <v>261.45</v>
      </c>
      <c r="N141" s="87">
        <v>272.14</v>
      </c>
      <c r="O141" s="87">
        <v>273.39</v>
      </c>
      <c r="P141" s="63">
        <f t="shared" si="82"/>
        <v>268.99333333333328</v>
      </c>
      <c r="Q141" s="108">
        <f t="shared" si="87"/>
        <v>24478.39333333333</v>
      </c>
      <c r="R141" s="3">
        <v>285.77</v>
      </c>
      <c r="S141" s="87">
        <v>299.42</v>
      </c>
      <c r="T141" s="90">
        <v>296.60000000000002</v>
      </c>
      <c r="U141" s="63">
        <f t="shared" si="83"/>
        <v>293.93</v>
      </c>
      <c r="V141" s="111">
        <f t="shared" si="84"/>
        <v>26747.63</v>
      </c>
      <c r="W141" s="64">
        <f t="shared" si="85"/>
        <v>278.63833333333332</v>
      </c>
      <c r="X141" s="65">
        <f t="shared" si="88"/>
        <v>101981.62999999999</v>
      </c>
    </row>
    <row r="142" spans="1:24" ht="15" customHeight="1" thickBot="1" x14ac:dyDescent="0.3">
      <c r="A142" s="51" t="s">
        <v>282</v>
      </c>
      <c r="B142" s="44" t="s">
        <v>306</v>
      </c>
      <c r="C142" s="4">
        <v>421.06</v>
      </c>
      <c r="D142" s="4">
        <v>416.61</v>
      </c>
      <c r="E142" s="3">
        <v>420.83</v>
      </c>
      <c r="F142" s="63">
        <f t="shared" si="86"/>
        <v>419.5</v>
      </c>
      <c r="G142" s="108">
        <f t="shared" si="79"/>
        <v>38594</v>
      </c>
      <c r="H142" s="3">
        <v>407.13</v>
      </c>
      <c r="I142" s="3">
        <v>421.03</v>
      </c>
      <c r="J142" s="3">
        <v>403.87</v>
      </c>
      <c r="K142" s="63">
        <f t="shared" si="80"/>
        <v>410.67666666666668</v>
      </c>
      <c r="L142" s="108">
        <f t="shared" si="81"/>
        <v>37782.253333333334</v>
      </c>
      <c r="M142" s="3">
        <v>413.9</v>
      </c>
      <c r="N142" s="87">
        <v>425.45</v>
      </c>
      <c r="O142" s="87">
        <v>420.97</v>
      </c>
      <c r="P142" s="63">
        <f t="shared" si="82"/>
        <v>420.10666666666663</v>
      </c>
      <c r="Q142" s="108">
        <f t="shared" si="87"/>
        <v>38229.706666666665</v>
      </c>
      <c r="R142" s="3">
        <v>412.9</v>
      </c>
      <c r="S142" s="87">
        <v>405.26</v>
      </c>
      <c r="T142" s="90">
        <v>410.9</v>
      </c>
      <c r="U142" s="63">
        <f t="shared" si="83"/>
        <v>409.68666666666667</v>
      </c>
      <c r="V142" s="111">
        <f t="shared" si="84"/>
        <v>37281.486666666664</v>
      </c>
      <c r="W142" s="64">
        <f t="shared" si="85"/>
        <v>414.99249999999989</v>
      </c>
      <c r="X142" s="65">
        <f t="shared" si="88"/>
        <v>151887.25499999995</v>
      </c>
    </row>
    <row r="143" spans="1:24" ht="15" customHeight="1" thickBot="1" x14ac:dyDescent="0.3">
      <c r="A143" s="50" t="s">
        <v>16</v>
      </c>
      <c r="B143" s="44" t="s">
        <v>275</v>
      </c>
      <c r="C143" s="4">
        <v>57.94</v>
      </c>
      <c r="D143" s="4">
        <v>55.26</v>
      </c>
      <c r="E143" s="3">
        <v>61.7</v>
      </c>
      <c r="F143" s="63">
        <f t="shared" si="86"/>
        <v>58.29999999999999</v>
      </c>
      <c r="G143" s="108">
        <f t="shared" si="79"/>
        <v>5363.5999999999995</v>
      </c>
      <c r="H143" s="3">
        <v>67.39</v>
      </c>
      <c r="I143" s="3">
        <v>64.3</v>
      </c>
      <c r="J143" s="3">
        <v>66.45</v>
      </c>
      <c r="K143" s="63">
        <f t="shared" si="80"/>
        <v>66.046666666666667</v>
      </c>
      <c r="L143" s="108">
        <f t="shared" si="81"/>
        <v>6076.2933333333331</v>
      </c>
      <c r="M143" s="3">
        <v>64.099999999999994</v>
      </c>
      <c r="N143" s="87">
        <v>65.31</v>
      </c>
      <c r="O143" s="87">
        <v>58.26</v>
      </c>
      <c r="P143" s="63">
        <f t="shared" si="82"/>
        <v>62.556666666666665</v>
      </c>
      <c r="Q143" s="108">
        <f t="shared" si="87"/>
        <v>5692.6566666666668</v>
      </c>
      <c r="R143" s="3">
        <v>69.430000000000007</v>
      </c>
      <c r="S143" s="87">
        <v>68</v>
      </c>
      <c r="T143" s="90">
        <v>62.37</v>
      </c>
      <c r="U143" s="63">
        <f t="shared" si="83"/>
        <v>66.600000000000009</v>
      </c>
      <c r="V143" s="111">
        <f t="shared" si="84"/>
        <v>6060.6</v>
      </c>
      <c r="W143" s="64">
        <f t="shared" si="85"/>
        <v>63.37583333333334</v>
      </c>
      <c r="X143" s="65">
        <f t="shared" si="88"/>
        <v>23195.555000000004</v>
      </c>
    </row>
    <row r="144" spans="1:24" ht="15" customHeight="1" thickBot="1" x14ac:dyDescent="0.3">
      <c r="A144" s="50" t="s">
        <v>17</v>
      </c>
      <c r="B144" s="44" t="s">
        <v>307</v>
      </c>
      <c r="C144" s="4">
        <v>236.84</v>
      </c>
      <c r="D144" s="4">
        <v>229.32</v>
      </c>
      <c r="E144" s="3">
        <v>237.73</v>
      </c>
      <c r="F144" s="63">
        <f t="shared" si="86"/>
        <v>234.63</v>
      </c>
      <c r="G144" s="108">
        <f t="shared" si="79"/>
        <v>21585.96</v>
      </c>
      <c r="H144" s="3">
        <v>237.16</v>
      </c>
      <c r="I144" s="3">
        <v>225.33</v>
      </c>
      <c r="J144" s="3">
        <v>237.9</v>
      </c>
      <c r="K144" s="63">
        <f t="shared" si="80"/>
        <v>233.46333333333334</v>
      </c>
      <c r="L144" s="108">
        <f t="shared" si="81"/>
        <v>21478.626666666667</v>
      </c>
      <c r="M144" s="3">
        <v>231.94</v>
      </c>
      <c r="N144" s="87">
        <v>233.62</v>
      </c>
      <c r="O144" s="87">
        <v>245.9</v>
      </c>
      <c r="P144" s="63">
        <f t="shared" si="82"/>
        <v>237.15333333333334</v>
      </c>
      <c r="Q144" s="108">
        <f t="shared" si="87"/>
        <v>21580.953333333335</v>
      </c>
      <c r="R144" s="3">
        <v>239.9</v>
      </c>
      <c r="S144" s="87">
        <v>229.84</v>
      </c>
      <c r="T144" s="90">
        <v>223.77</v>
      </c>
      <c r="U144" s="63">
        <f t="shared" si="83"/>
        <v>231.17</v>
      </c>
      <c r="V144" s="111">
        <f t="shared" si="84"/>
        <v>21036.469999999998</v>
      </c>
      <c r="W144" s="64">
        <f t="shared" si="85"/>
        <v>234.10416666666671</v>
      </c>
      <c r="X144" s="65">
        <f t="shared" si="88"/>
        <v>85682.125000000015</v>
      </c>
    </row>
    <row r="145" spans="1:24" ht="15" customHeight="1" thickBot="1" x14ac:dyDescent="0.3">
      <c r="A145" s="50" t="s">
        <v>142</v>
      </c>
      <c r="B145" s="44" t="s">
        <v>308</v>
      </c>
      <c r="C145" s="4">
        <v>100.77</v>
      </c>
      <c r="D145" s="4">
        <v>91.77</v>
      </c>
      <c r="E145" s="3">
        <v>96.83</v>
      </c>
      <c r="F145" s="63">
        <f t="shared" si="86"/>
        <v>96.456666666666663</v>
      </c>
      <c r="G145" s="108">
        <f t="shared" si="79"/>
        <v>8874.0133333333324</v>
      </c>
      <c r="H145" s="3">
        <v>106.32</v>
      </c>
      <c r="I145" s="3">
        <v>98.63</v>
      </c>
      <c r="J145" s="3">
        <v>92.68</v>
      </c>
      <c r="K145" s="63">
        <f t="shared" si="80"/>
        <v>99.21</v>
      </c>
      <c r="L145" s="108">
        <f t="shared" si="81"/>
        <v>9127.32</v>
      </c>
      <c r="M145" s="3">
        <v>85.45</v>
      </c>
      <c r="N145" s="87">
        <v>94.45</v>
      </c>
      <c r="O145" s="87">
        <v>97.06</v>
      </c>
      <c r="P145" s="63">
        <f t="shared" si="82"/>
        <v>92.320000000000007</v>
      </c>
      <c r="Q145" s="108">
        <f t="shared" si="87"/>
        <v>8401.1200000000008</v>
      </c>
      <c r="R145" s="3">
        <v>97.23</v>
      </c>
      <c r="S145" s="87">
        <v>93.55</v>
      </c>
      <c r="T145" s="90">
        <v>98.23</v>
      </c>
      <c r="U145" s="63">
        <f t="shared" si="83"/>
        <v>96.336666666666659</v>
      </c>
      <c r="V145" s="111">
        <f t="shared" si="84"/>
        <v>8766.6366666666654</v>
      </c>
      <c r="W145" s="64">
        <f t="shared" si="85"/>
        <v>96.080833333333331</v>
      </c>
      <c r="X145" s="65">
        <f t="shared" si="88"/>
        <v>35165.584999999999</v>
      </c>
    </row>
    <row r="146" spans="1:24" ht="15" customHeight="1" thickBot="1" x14ac:dyDescent="0.3">
      <c r="A146" s="51" t="s">
        <v>283</v>
      </c>
      <c r="B146" s="44" t="s">
        <v>315</v>
      </c>
      <c r="C146" s="4">
        <f>331.19+175.9</f>
        <v>507.09000000000003</v>
      </c>
      <c r="D146" s="4">
        <f>322.58+175.48</f>
        <v>498.05999999999995</v>
      </c>
      <c r="E146" s="3">
        <f>318.9+175.37</f>
        <v>494.27</v>
      </c>
      <c r="F146" s="63">
        <f t="shared" si="86"/>
        <v>499.80666666666667</v>
      </c>
      <c r="G146" s="108">
        <f t="shared" si="79"/>
        <v>45982.213333333333</v>
      </c>
      <c r="H146" s="3">
        <f>327.61+172</f>
        <v>499.61</v>
      </c>
      <c r="I146" s="3">
        <f>323+172.13</f>
        <v>495.13</v>
      </c>
      <c r="J146" s="3">
        <f>318.48+175.61</f>
        <v>494.09000000000003</v>
      </c>
      <c r="K146" s="63">
        <f t="shared" si="80"/>
        <v>496.27666666666664</v>
      </c>
      <c r="L146" s="108">
        <f t="shared" si="81"/>
        <v>45657.453333333331</v>
      </c>
      <c r="M146" s="3">
        <f>319.84+175.55</f>
        <v>495.39</v>
      </c>
      <c r="N146" s="87">
        <f>330.24+175.86</f>
        <v>506.1</v>
      </c>
      <c r="O146" s="87">
        <f>331.23+174.42</f>
        <v>505.65</v>
      </c>
      <c r="P146" s="63">
        <f t="shared" si="82"/>
        <v>502.37999999999994</v>
      </c>
      <c r="Q146" s="108">
        <f t="shared" si="87"/>
        <v>45716.579999999994</v>
      </c>
      <c r="R146" s="3">
        <f>329.7+170.57</f>
        <v>500.27</v>
      </c>
      <c r="S146" s="87">
        <f>327.94+175.52</f>
        <v>503.46000000000004</v>
      </c>
      <c r="T146" s="90">
        <f>332.73+174.2</f>
        <v>506.93</v>
      </c>
      <c r="U146" s="63">
        <f t="shared" si="83"/>
        <v>503.55333333333334</v>
      </c>
      <c r="V146" s="111">
        <f t="shared" si="84"/>
        <v>45823.353333333333</v>
      </c>
      <c r="W146" s="64">
        <f t="shared" si="85"/>
        <v>500.50416666666666</v>
      </c>
      <c r="X146" s="65">
        <f t="shared" si="88"/>
        <v>183184.52499999999</v>
      </c>
    </row>
    <row r="147" spans="1:24" ht="15" customHeight="1" thickBot="1" x14ac:dyDescent="0.3">
      <c r="A147" s="50" t="s">
        <v>151</v>
      </c>
      <c r="B147" s="121" t="s">
        <v>309</v>
      </c>
      <c r="C147" s="4">
        <v>120.68</v>
      </c>
      <c r="D147" s="4">
        <v>121.23</v>
      </c>
      <c r="E147" s="3">
        <v>113.67</v>
      </c>
      <c r="F147" s="63">
        <f t="shared" si="86"/>
        <v>118.52666666666669</v>
      </c>
      <c r="G147" s="108">
        <f t="shared" si="79"/>
        <v>10904.453333333335</v>
      </c>
      <c r="H147" s="3">
        <v>105.06</v>
      </c>
      <c r="I147" s="3">
        <v>105.57</v>
      </c>
      <c r="J147" s="3">
        <v>109</v>
      </c>
      <c r="K147" s="63">
        <f t="shared" si="80"/>
        <v>106.54333333333334</v>
      </c>
      <c r="L147" s="108">
        <f t="shared" si="81"/>
        <v>9801.9866666666676</v>
      </c>
      <c r="M147" s="3">
        <v>112.45</v>
      </c>
      <c r="N147" s="87">
        <v>106.83</v>
      </c>
      <c r="O147" s="87">
        <v>106</v>
      </c>
      <c r="P147" s="63">
        <f t="shared" si="82"/>
        <v>108.42666666666666</v>
      </c>
      <c r="Q147" s="108">
        <f t="shared" si="87"/>
        <v>9866.8266666666659</v>
      </c>
      <c r="R147" s="3">
        <v>107.67</v>
      </c>
      <c r="S147" s="87">
        <v>120.03</v>
      </c>
      <c r="T147" s="90">
        <v>99.17</v>
      </c>
      <c r="U147" s="63">
        <f t="shared" si="83"/>
        <v>108.95666666666666</v>
      </c>
      <c r="V147" s="111">
        <f t="shared" si="84"/>
        <v>9915.0566666666655</v>
      </c>
      <c r="W147" s="64">
        <f t="shared" si="85"/>
        <v>110.61333333333334</v>
      </c>
      <c r="X147" s="65">
        <f t="shared" si="88"/>
        <v>40484.480000000003</v>
      </c>
    </row>
    <row r="148" spans="1:24" ht="15" customHeight="1" thickBot="1" x14ac:dyDescent="0.3">
      <c r="A148" s="49" t="s">
        <v>20</v>
      </c>
      <c r="B148" s="43" t="s">
        <v>310</v>
      </c>
      <c r="C148" s="126">
        <v>551.65</v>
      </c>
      <c r="D148" s="126">
        <v>551.80999999999995</v>
      </c>
      <c r="E148" s="118">
        <v>550.92999999999995</v>
      </c>
      <c r="F148" s="63">
        <f t="shared" si="86"/>
        <v>551.46333333333325</v>
      </c>
      <c r="G148" s="108">
        <f t="shared" si="79"/>
        <v>50734.626666666656</v>
      </c>
      <c r="H148" s="118">
        <v>549.35</v>
      </c>
      <c r="I148" s="3">
        <v>529.70000000000005</v>
      </c>
      <c r="J148" s="118">
        <v>529.61</v>
      </c>
      <c r="K148" s="63">
        <f t="shared" si="80"/>
        <v>536.22000000000014</v>
      </c>
      <c r="L148" s="111">
        <f t="shared" si="81"/>
        <v>49332.240000000013</v>
      </c>
      <c r="M148" s="3">
        <v>538.05999999999995</v>
      </c>
      <c r="N148" s="86">
        <v>543.48</v>
      </c>
      <c r="O148" s="86">
        <v>551.74</v>
      </c>
      <c r="P148" s="63">
        <f t="shared" si="82"/>
        <v>544.42666666666662</v>
      </c>
      <c r="Q148" s="108">
        <f t="shared" si="87"/>
        <v>49542.82666666666</v>
      </c>
      <c r="R148" s="3">
        <v>543.47</v>
      </c>
      <c r="S148" s="86">
        <v>529.97</v>
      </c>
      <c r="T148" s="89">
        <v>523</v>
      </c>
      <c r="U148" s="63">
        <f t="shared" si="83"/>
        <v>532.14666666666665</v>
      </c>
      <c r="V148" s="111">
        <f t="shared" si="84"/>
        <v>48425.346666666665</v>
      </c>
      <c r="W148" s="64">
        <f t="shared" si="85"/>
        <v>541.06416666666667</v>
      </c>
      <c r="X148" s="65">
        <f t="shared" si="88"/>
        <v>198029.48499999999</v>
      </c>
    </row>
    <row r="149" spans="1:24" ht="15" customHeight="1" thickBot="1" x14ac:dyDescent="0.3">
      <c r="A149" s="51" t="s">
        <v>473</v>
      </c>
      <c r="B149" s="44" t="s">
        <v>474</v>
      </c>
      <c r="C149" s="4">
        <f>285.81+107.84</f>
        <v>393.65</v>
      </c>
      <c r="D149" s="4">
        <f>287.16+113.58</f>
        <v>400.74</v>
      </c>
      <c r="E149" s="3">
        <f>284.47+111.63</f>
        <v>396.1</v>
      </c>
      <c r="F149" s="63">
        <f t="shared" si="86"/>
        <v>396.83</v>
      </c>
      <c r="G149" s="108">
        <f t="shared" si="79"/>
        <v>36508.36</v>
      </c>
      <c r="H149" s="3">
        <f>299.16+112.35</f>
        <v>411.51</v>
      </c>
      <c r="I149" s="3">
        <f>341.37+105.6</f>
        <v>446.97</v>
      </c>
      <c r="J149" s="3">
        <f>344.65+95.77</f>
        <v>440.41999999999996</v>
      </c>
      <c r="K149" s="63">
        <f t="shared" si="80"/>
        <v>432.9666666666667</v>
      </c>
      <c r="L149" s="108">
        <f t="shared" si="81"/>
        <v>39832.933333333334</v>
      </c>
      <c r="M149" s="3">
        <f>328.74+99.97</f>
        <v>428.71000000000004</v>
      </c>
      <c r="N149" s="87">
        <f>333.17+106.07</f>
        <v>439.24</v>
      </c>
      <c r="O149" s="87">
        <f>345.52+106.03</f>
        <v>451.54999999999995</v>
      </c>
      <c r="P149" s="63">
        <f t="shared" si="82"/>
        <v>439.83333333333331</v>
      </c>
      <c r="Q149" s="108">
        <f t="shared" si="87"/>
        <v>40024.833333333328</v>
      </c>
      <c r="R149" s="3">
        <f>347.6+105</f>
        <v>452.6</v>
      </c>
      <c r="S149" s="87">
        <f>347.58+104.77</f>
        <v>452.34999999999997</v>
      </c>
      <c r="T149" s="90">
        <f>351.17+100.23</f>
        <v>451.40000000000003</v>
      </c>
      <c r="U149" s="63">
        <f t="shared" si="83"/>
        <v>452.11666666666673</v>
      </c>
      <c r="V149" s="111">
        <f t="shared" si="84"/>
        <v>41142.616666666676</v>
      </c>
      <c r="W149" s="64">
        <f t="shared" si="85"/>
        <v>430.43666666666672</v>
      </c>
      <c r="X149" s="65">
        <f t="shared" si="88"/>
        <v>157539.82</v>
      </c>
    </row>
    <row r="150" spans="1:24" ht="15" customHeight="1" thickBot="1" x14ac:dyDescent="0.3">
      <c r="A150" s="50" t="s">
        <v>143</v>
      </c>
      <c r="B150" s="44" t="s">
        <v>475</v>
      </c>
      <c r="C150" s="4">
        <v>162.61000000000001</v>
      </c>
      <c r="D150" s="4">
        <v>166.97</v>
      </c>
      <c r="E150" s="3">
        <v>165.5</v>
      </c>
      <c r="F150" s="63">
        <f t="shared" si="86"/>
        <v>165.02666666666667</v>
      </c>
      <c r="G150" s="108">
        <f t="shared" si="79"/>
        <v>15182.453333333333</v>
      </c>
      <c r="H150" s="3">
        <v>168.68</v>
      </c>
      <c r="I150" s="3">
        <v>154.5</v>
      </c>
      <c r="J150" s="3">
        <v>144.74</v>
      </c>
      <c r="K150" s="63">
        <f t="shared" si="80"/>
        <v>155.97333333333333</v>
      </c>
      <c r="L150" s="108">
        <f t="shared" si="81"/>
        <v>14349.546666666667</v>
      </c>
      <c r="M150" s="3">
        <v>137.16</v>
      </c>
      <c r="N150" s="87">
        <v>150.28</v>
      </c>
      <c r="O150" s="87">
        <v>156.71</v>
      </c>
      <c r="P150" s="63">
        <f t="shared" si="82"/>
        <v>148.04999999999998</v>
      </c>
      <c r="Q150" s="108">
        <f t="shared" si="87"/>
        <v>13472.55</v>
      </c>
      <c r="R150" s="3">
        <v>153.63</v>
      </c>
      <c r="S150" s="87">
        <v>147.06</v>
      </c>
      <c r="T150" s="90">
        <v>151.37</v>
      </c>
      <c r="U150" s="63">
        <f t="shared" si="83"/>
        <v>150.68666666666667</v>
      </c>
      <c r="V150" s="111">
        <f t="shared" si="84"/>
        <v>13712.486666666668</v>
      </c>
      <c r="W150" s="64">
        <f t="shared" si="85"/>
        <v>154.93416666666667</v>
      </c>
      <c r="X150" s="65">
        <f t="shared" si="88"/>
        <v>56705.904999999999</v>
      </c>
    </row>
    <row r="151" spans="1:24" ht="15" customHeight="1" thickBot="1" x14ac:dyDescent="0.3">
      <c r="A151" s="50" t="s">
        <v>144</v>
      </c>
      <c r="B151" s="34"/>
      <c r="C151" s="4">
        <v>0</v>
      </c>
      <c r="D151" s="4">
        <v>0</v>
      </c>
      <c r="E151" s="18"/>
      <c r="F151" s="67">
        <f t="shared" si="86"/>
        <v>0</v>
      </c>
      <c r="G151" s="108">
        <f t="shared" si="79"/>
        <v>0</v>
      </c>
      <c r="H151" s="18"/>
      <c r="I151" s="18"/>
      <c r="J151" s="18"/>
      <c r="K151" s="67">
        <f t="shared" si="80"/>
        <v>0</v>
      </c>
      <c r="L151" s="108">
        <f t="shared" si="81"/>
        <v>0</v>
      </c>
      <c r="M151" s="18"/>
      <c r="N151" s="4"/>
      <c r="O151" s="87"/>
      <c r="P151" s="67">
        <f t="shared" si="82"/>
        <v>0</v>
      </c>
      <c r="Q151" s="108">
        <f>P151*90</f>
        <v>0</v>
      </c>
      <c r="R151" s="3"/>
      <c r="S151" s="3"/>
      <c r="T151" s="4"/>
      <c r="U151" s="67">
        <f t="shared" si="83"/>
        <v>0</v>
      </c>
      <c r="V151" s="112">
        <f t="shared" si="84"/>
        <v>0</v>
      </c>
      <c r="W151" s="137">
        <f t="shared" si="85"/>
        <v>0</v>
      </c>
      <c r="X151" s="65">
        <f>W151*365</f>
        <v>0</v>
      </c>
    </row>
    <row r="152" spans="1:24" ht="15" customHeight="1" thickBot="1" x14ac:dyDescent="0.3">
      <c r="A152" s="46" t="s">
        <v>152</v>
      </c>
      <c r="B152" s="35"/>
      <c r="C152" s="80">
        <f>SUM(C138:C151)</f>
        <v>3869.1900000000005</v>
      </c>
      <c r="D152" s="80">
        <f>SUM(D138:D151)</f>
        <v>3855.89</v>
      </c>
      <c r="E152" s="80">
        <f>SUM(E138:E151)</f>
        <v>3885.8699999999994</v>
      </c>
      <c r="F152" s="68">
        <f>SUM(C152:E152)/3</f>
        <v>3870.3166666666662</v>
      </c>
      <c r="G152" s="108">
        <f>F152*92</f>
        <v>356069.1333333333</v>
      </c>
      <c r="H152" s="94">
        <f>SUM(H138:H151)</f>
        <v>3931.4600000000005</v>
      </c>
      <c r="I152" s="80">
        <f>SUM(I138:I151)</f>
        <v>3837.5700000000006</v>
      </c>
      <c r="J152" s="80">
        <f>SUM(J138:J151)</f>
        <v>3724.4400000000005</v>
      </c>
      <c r="K152" s="68">
        <f t="shared" si="80"/>
        <v>3831.1566666666672</v>
      </c>
      <c r="L152" s="119">
        <f t="shared" si="81"/>
        <v>352466.41333333339</v>
      </c>
      <c r="M152" s="9">
        <f>SUM(M138:M151)</f>
        <v>3772.2599999999993</v>
      </c>
      <c r="N152" s="80">
        <f>SUM(N138:N151)</f>
        <v>3860.28</v>
      </c>
      <c r="O152" s="80">
        <f>SUM(O138:O151)</f>
        <v>3890.1000000000004</v>
      </c>
      <c r="P152" s="68">
        <f t="shared" si="82"/>
        <v>3840.8799999999997</v>
      </c>
      <c r="Q152" s="119">
        <f>P152*91</f>
        <v>349520.07999999996</v>
      </c>
      <c r="R152" s="94">
        <f>SUM(R138:R151)</f>
        <v>3886.3399999999997</v>
      </c>
      <c r="S152" s="80">
        <f>SUM(S138:S151)</f>
        <v>3875.71</v>
      </c>
      <c r="T152" s="81">
        <f>SUM(T138:T151)</f>
        <v>3844.6</v>
      </c>
      <c r="U152" s="68">
        <f t="shared" si="83"/>
        <v>3868.8833333333332</v>
      </c>
      <c r="V152" s="120">
        <f t="shared" si="84"/>
        <v>352068.3833333333</v>
      </c>
      <c r="W152" s="138">
        <f t="shared" si="85"/>
        <v>3852.809166666666</v>
      </c>
      <c r="X152" s="69">
        <f>SUM(X138:X151)</f>
        <v>1410128.1550000003</v>
      </c>
    </row>
    <row r="153" spans="1:24" ht="27.75" customHeight="1" thickBot="1" x14ac:dyDescent="0.3">
      <c r="A153" s="46" t="s">
        <v>153</v>
      </c>
      <c r="B153" s="35"/>
      <c r="C153" s="70"/>
      <c r="D153" s="70"/>
      <c r="E153" s="71"/>
      <c r="F153" s="98"/>
      <c r="G153" s="98"/>
      <c r="H153" s="72"/>
      <c r="I153" s="70" t="s">
        <v>258</v>
      </c>
      <c r="J153" s="71"/>
      <c r="K153" s="97"/>
      <c r="L153" s="97"/>
      <c r="M153" s="72"/>
      <c r="N153" s="70"/>
      <c r="O153" s="71"/>
      <c r="P153" s="97"/>
      <c r="Q153" s="97"/>
      <c r="R153" s="72"/>
      <c r="S153" s="70"/>
      <c r="T153" s="71"/>
      <c r="U153" s="71"/>
      <c r="V153" s="70"/>
      <c r="W153" s="594"/>
      <c r="X153" s="69" t="s">
        <v>0</v>
      </c>
    </row>
    <row r="154" spans="1:24" ht="15" customHeight="1" thickBot="1" x14ac:dyDescent="0.3">
      <c r="A154" s="511" t="s">
        <v>145</v>
      </c>
      <c r="B154" s="512">
        <v>779</v>
      </c>
      <c r="C154" s="513">
        <v>740</v>
      </c>
      <c r="D154" s="513">
        <v>749.84</v>
      </c>
      <c r="E154" s="513">
        <v>737.57</v>
      </c>
      <c r="F154" s="514">
        <f t="shared" ref="F154:F160" si="89">SUM(C154:E154)/3</f>
        <v>742.47000000000014</v>
      </c>
      <c r="G154" s="515">
        <f t="shared" ref="G154:G160" si="90">F154*92</f>
        <v>68307.24000000002</v>
      </c>
      <c r="H154" s="513">
        <v>743</v>
      </c>
      <c r="I154" s="513">
        <v>733.03</v>
      </c>
      <c r="J154" s="513">
        <v>738</v>
      </c>
      <c r="K154" s="514">
        <f t="shared" ref="K154:K161" si="91">SUM(H154:J154)/3</f>
        <v>738.00999999999988</v>
      </c>
      <c r="L154" s="515">
        <f t="shared" ref="L154:L160" si="92">K154*92</f>
        <v>67896.919999999984</v>
      </c>
      <c r="M154" s="513">
        <v>727.32</v>
      </c>
      <c r="N154" s="516">
        <v>744.34</v>
      </c>
      <c r="O154" s="516">
        <v>748.45</v>
      </c>
      <c r="P154" s="514">
        <f t="shared" ref="P154:P161" si="93">SUM(M154:O154)/3</f>
        <v>740.03666666666675</v>
      </c>
      <c r="Q154" s="515">
        <f t="shared" ref="Q154:Q160" si="94">P154*91</f>
        <v>67343.33666666667</v>
      </c>
      <c r="R154" s="513">
        <v>744.97</v>
      </c>
      <c r="S154" s="516">
        <v>744.97</v>
      </c>
      <c r="T154" s="517">
        <v>740.87</v>
      </c>
      <c r="U154" s="514">
        <f t="shared" ref="U154:U161" si="95">SUM(R154:T154)/3</f>
        <v>743.60333333333335</v>
      </c>
      <c r="V154" s="518">
        <f t="shared" ref="V154:V160" si="96">U154*91</f>
        <v>67667.903333333335</v>
      </c>
      <c r="W154" s="519">
        <f t="shared" ref="W154:W159" si="97">SUM(C154+D154+E154+H154+I154+J154+M154+N154+O154+R154+S154+T154)/12</f>
        <v>741.03000000000009</v>
      </c>
      <c r="X154" s="520">
        <f t="shared" ref="X154:X159" si="98">W154*366</f>
        <v>271216.98000000004</v>
      </c>
    </row>
    <row r="155" spans="1:24" ht="15" customHeight="1" thickBot="1" x14ac:dyDescent="0.3">
      <c r="A155" s="50" t="s">
        <v>146</v>
      </c>
      <c r="B155" s="507">
        <v>35</v>
      </c>
      <c r="C155" s="5">
        <f>12.39+5.77</f>
        <v>18.16</v>
      </c>
      <c r="D155" s="5">
        <f>10.52+5</f>
        <v>15.52</v>
      </c>
      <c r="E155" s="5">
        <f>10+4.53</f>
        <v>14.530000000000001</v>
      </c>
      <c r="F155" s="63">
        <f t="shared" si="89"/>
        <v>16.07</v>
      </c>
      <c r="G155" s="108">
        <f t="shared" si="90"/>
        <v>1478.44</v>
      </c>
      <c r="H155" s="5">
        <f>9.55+4.23</f>
        <v>13.780000000000001</v>
      </c>
      <c r="I155" s="5">
        <f>9+5</f>
        <v>14</v>
      </c>
      <c r="J155" s="5">
        <f>9+4.16</f>
        <v>13.16</v>
      </c>
      <c r="K155" s="63">
        <f t="shared" si="91"/>
        <v>13.646666666666667</v>
      </c>
      <c r="L155" s="108">
        <f t="shared" si="92"/>
        <v>1255.4933333333333</v>
      </c>
      <c r="M155" s="5">
        <f>11.71+3</f>
        <v>14.71</v>
      </c>
      <c r="N155" s="75">
        <f>10.86+2.97</f>
        <v>13.83</v>
      </c>
      <c r="O155" s="75">
        <f>2+8.74</f>
        <v>10.74</v>
      </c>
      <c r="P155" s="63">
        <f t="shared" si="93"/>
        <v>13.093333333333334</v>
      </c>
      <c r="Q155" s="108">
        <f t="shared" si="94"/>
        <v>1191.4933333333333</v>
      </c>
      <c r="R155" s="5">
        <f>2.7+8.23</f>
        <v>10.93</v>
      </c>
      <c r="S155" s="75">
        <f>2.7+8.23</f>
        <v>10.93</v>
      </c>
      <c r="T155" s="76">
        <f>4+5.8</f>
        <v>9.8000000000000007</v>
      </c>
      <c r="U155" s="63">
        <f t="shared" si="95"/>
        <v>10.553333333333333</v>
      </c>
      <c r="V155" s="111">
        <f t="shared" si="96"/>
        <v>960.35333333333324</v>
      </c>
      <c r="W155" s="64">
        <f t="shared" si="97"/>
        <v>13.340833333333336</v>
      </c>
      <c r="X155" s="66">
        <f t="shared" si="98"/>
        <v>4882.7450000000008</v>
      </c>
    </row>
    <row r="156" spans="1:24" ht="15" customHeight="1" thickBot="1" x14ac:dyDescent="0.3">
      <c r="A156" s="50" t="s">
        <v>148</v>
      </c>
      <c r="B156" s="507">
        <v>26</v>
      </c>
      <c r="C156" s="5">
        <v>19</v>
      </c>
      <c r="D156" s="5">
        <v>17</v>
      </c>
      <c r="E156" s="5">
        <v>17</v>
      </c>
      <c r="F156" s="63">
        <f t="shared" si="89"/>
        <v>17.666666666666668</v>
      </c>
      <c r="G156" s="108">
        <f t="shared" si="90"/>
        <v>1625.3333333333335</v>
      </c>
      <c r="H156" s="5">
        <v>14</v>
      </c>
      <c r="I156" s="5">
        <v>13</v>
      </c>
      <c r="J156" s="5">
        <v>12</v>
      </c>
      <c r="K156" s="63">
        <f t="shared" si="91"/>
        <v>13</v>
      </c>
      <c r="L156" s="108">
        <f t="shared" si="92"/>
        <v>1196</v>
      </c>
      <c r="M156" s="5">
        <v>12</v>
      </c>
      <c r="N156" s="75">
        <v>13</v>
      </c>
      <c r="O156" s="75">
        <v>14</v>
      </c>
      <c r="P156" s="63">
        <f t="shared" si="93"/>
        <v>13</v>
      </c>
      <c r="Q156" s="108">
        <f t="shared" si="94"/>
        <v>1183</v>
      </c>
      <c r="R156" s="5">
        <v>15</v>
      </c>
      <c r="S156" s="75">
        <v>15</v>
      </c>
      <c r="T156" s="76">
        <v>17</v>
      </c>
      <c r="U156" s="63">
        <f t="shared" si="95"/>
        <v>15.666666666666666</v>
      </c>
      <c r="V156" s="111">
        <f t="shared" si="96"/>
        <v>1425.6666666666665</v>
      </c>
      <c r="W156" s="64">
        <f t="shared" si="97"/>
        <v>14.833333333333334</v>
      </c>
      <c r="X156" s="65">
        <f t="shared" si="98"/>
        <v>5429</v>
      </c>
    </row>
    <row r="157" spans="1:24" ht="15" customHeight="1" thickBot="1" x14ac:dyDescent="0.3">
      <c r="A157" s="50" t="s">
        <v>147</v>
      </c>
      <c r="B157" s="507" t="s">
        <v>476</v>
      </c>
      <c r="C157" s="5">
        <v>320</v>
      </c>
      <c r="D157" s="5">
        <v>347</v>
      </c>
      <c r="E157" s="5">
        <v>374</v>
      </c>
      <c r="F157" s="63">
        <f t="shared" si="89"/>
        <v>347</v>
      </c>
      <c r="G157" s="108">
        <f t="shared" si="90"/>
        <v>31924</v>
      </c>
      <c r="H157" s="5">
        <v>348</v>
      </c>
      <c r="I157" s="5">
        <v>349</v>
      </c>
      <c r="J157" s="5">
        <v>354</v>
      </c>
      <c r="K157" s="63">
        <f t="shared" si="91"/>
        <v>350.33333333333331</v>
      </c>
      <c r="L157" s="108">
        <f t="shared" si="92"/>
        <v>32230.666666666664</v>
      </c>
      <c r="M157" s="5">
        <v>370</v>
      </c>
      <c r="N157" s="75">
        <v>358</v>
      </c>
      <c r="O157" s="75">
        <v>352</v>
      </c>
      <c r="P157" s="63">
        <f t="shared" si="93"/>
        <v>360</v>
      </c>
      <c r="Q157" s="108">
        <f t="shared" si="94"/>
        <v>32760</v>
      </c>
      <c r="R157" s="5">
        <v>351</v>
      </c>
      <c r="S157" s="75">
        <v>351</v>
      </c>
      <c r="T157" s="76">
        <v>322</v>
      </c>
      <c r="U157" s="63">
        <f t="shared" si="95"/>
        <v>341.33333333333331</v>
      </c>
      <c r="V157" s="111">
        <f t="shared" si="96"/>
        <v>31061.333333333332</v>
      </c>
      <c r="W157" s="64">
        <f t="shared" si="97"/>
        <v>349.66666666666669</v>
      </c>
      <c r="X157" s="66">
        <f t="shared" si="98"/>
        <v>127978</v>
      </c>
    </row>
    <row r="158" spans="1:24" ht="15" customHeight="1" thickBot="1" x14ac:dyDescent="0.3">
      <c r="A158" s="50" t="s">
        <v>371</v>
      </c>
      <c r="B158" s="507">
        <v>1050</v>
      </c>
      <c r="C158" s="5">
        <v>1006</v>
      </c>
      <c r="D158" s="5">
        <v>1018</v>
      </c>
      <c r="E158" s="5">
        <v>1021</v>
      </c>
      <c r="F158" s="63">
        <f t="shared" si="89"/>
        <v>1015</v>
      </c>
      <c r="G158" s="108">
        <f t="shared" si="90"/>
        <v>93380</v>
      </c>
      <c r="H158" s="5">
        <v>1020</v>
      </c>
      <c r="I158" s="5">
        <v>1048</v>
      </c>
      <c r="J158" s="5">
        <v>1047</v>
      </c>
      <c r="K158" s="63">
        <f t="shared" si="91"/>
        <v>1038.3333333333333</v>
      </c>
      <c r="L158" s="108">
        <f t="shared" si="92"/>
        <v>95526.666666666657</v>
      </c>
      <c r="M158" s="5">
        <v>1047</v>
      </c>
      <c r="N158" s="75">
        <v>1048</v>
      </c>
      <c r="O158" s="75">
        <v>1047</v>
      </c>
      <c r="P158" s="63">
        <f t="shared" si="93"/>
        <v>1047.3333333333333</v>
      </c>
      <c r="Q158" s="108">
        <f t="shared" si="94"/>
        <v>95307.333333333328</v>
      </c>
      <c r="R158" s="5">
        <v>1044</v>
      </c>
      <c r="S158" s="75">
        <v>1044</v>
      </c>
      <c r="T158" s="76">
        <v>1028</v>
      </c>
      <c r="U158" s="63">
        <f t="shared" si="95"/>
        <v>1038.6666666666667</v>
      </c>
      <c r="V158" s="111">
        <f t="shared" si="96"/>
        <v>94518.666666666672</v>
      </c>
      <c r="W158" s="64">
        <f t="shared" si="97"/>
        <v>1034.8333333333333</v>
      </c>
      <c r="X158" s="65">
        <f t="shared" si="98"/>
        <v>378749</v>
      </c>
    </row>
    <row r="159" spans="1:24" ht="15" customHeight="1" thickBot="1" x14ac:dyDescent="0.3">
      <c r="A159" s="50" t="s">
        <v>150</v>
      </c>
      <c r="B159" s="507" t="s">
        <v>476</v>
      </c>
      <c r="C159" s="5">
        <v>16</v>
      </c>
      <c r="D159" s="5">
        <v>17</v>
      </c>
      <c r="E159" s="5">
        <v>17</v>
      </c>
      <c r="F159" s="63">
        <f t="shared" si="89"/>
        <v>16.666666666666668</v>
      </c>
      <c r="G159" s="108">
        <f t="shared" si="90"/>
        <v>1533.3333333333335</v>
      </c>
      <c r="H159" s="5">
        <v>17</v>
      </c>
      <c r="I159" s="5">
        <v>17</v>
      </c>
      <c r="J159" s="5">
        <v>17</v>
      </c>
      <c r="K159" s="63">
        <f t="shared" si="91"/>
        <v>17</v>
      </c>
      <c r="L159" s="108">
        <f t="shared" si="92"/>
        <v>1564</v>
      </c>
      <c r="M159" s="5">
        <v>17</v>
      </c>
      <c r="N159" s="75">
        <v>17</v>
      </c>
      <c r="O159" s="75">
        <v>17</v>
      </c>
      <c r="P159" s="63">
        <f t="shared" si="93"/>
        <v>17</v>
      </c>
      <c r="Q159" s="108">
        <f t="shared" si="94"/>
        <v>1547</v>
      </c>
      <c r="R159" s="5">
        <v>17</v>
      </c>
      <c r="S159" s="75">
        <v>17</v>
      </c>
      <c r="T159" s="76">
        <v>17</v>
      </c>
      <c r="U159" s="63">
        <f t="shared" si="95"/>
        <v>17</v>
      </c>
      <c r="V159" s="112">
        <f t="shared" si="96"/>
        <v>1547</v>
      </c>
      <c r="W159" s="64">
        <f t="shared" si="97"/>
        <v>16.916666666666668</v>
      </c>
      <c r="X159" s="66">
        <f t="shared" si="98"/>
        <v>6191.5</v>
      </c>
    </row>
    <row r="160" spans="1:24" ht="15" customHeight="1" thickBot="1" x14ac:dyDescent="0.3">
      <c r="A160" s="53" t="s">
        <v>154</v>
      </c>
      <c r="B160" s="37"/>
      <c r="C160" s="80">
        <f>SUM(C154:C159)</f>
        <v>2119.16</v>
      </c>
      <c r="D160" s="80">
        <f>SUM(D154:D159)</f>
        <v>2164.36</v>
      </c>
      <c r="E160" s="80">
        <f>SUM(E154:E159)</f>
        <v>2181.1</v>
      </c>
      <c r="F160" s="68">
        <f t="shared" si="89"/>
        <v>2154.8733333333334</v>
      </c>
      <c r="G160" s="108">
        <f t="shared" si="90"/>
        <v>198248.34666666668</v>
      </c>
      <c r="H160" s="94">
        <f>SUM(H154:H159)</f>
        <v>2155.7799999999997</v>
      </c>
      <c r="I160" s="80">
        <f>SUM(I154:I159)</f>
        <v>2174.0299999999997</v>
      </c>
      <c r="J160" s="80">
        <f>SUM(J154:J159)</f>
        <v>2181.16</v>
      </c>
      <c r="K160" s="68">
        <f t="shared" si="91"/>
        <v>2170.3233333333333</v>
      </c>
      <c r="L160" s="119">
        <f t="shared" si="92"/>
        <v>199669.74666666667</v>
      </c>
      <c r="M160" s="94">
        <f>SUM(M154:M159)</f>
        <v>2188.0300000000002</v>
      </c>
      <c r="N160" s="80">
        <f>SUM(N154:N159)</f>
        <v>2194.17</v>
      </c>
      <c r="O160" s="80">
        <f>SUM(O154:O159)</f>
        <v>2189.19</v>
      </c>
      <c r="P160" s="68">
        <f t="shared" si="93"/>
        <v>2190.4633333333336</v>
      </c>
      <c r="Q160" s="108">
        <f t="shared" si="94"/>
        <v>199332.16333333336</v>
      </c>
      <c r="R160" s="94">
        <f>SUM(R154:R159)</f>
        <v>2182.9</v>
      </c>
      <c r="S160" s="80">
        <f>SUM(S154:S159)</f>
        <v>2182.9</v>
      </c>
      <c r="T160" s="81">
        <f>SUM(T154:T159)</f>
        <v>2134.67</v>
      </c>
      <c r="U160" s="68">
        <f t="shared" si="95"/>
        <v>2166.8233333333333</v>
      </c>
      <c r="V160" s="120">
        <f t="shared" si="96"/>
        <v>197180.92333333334</v>
      </c>
      <c r="W160" s="69">
        <f>SUM(W154:W159)</f>
        <v>2170.6208333333329</v>
      </c>
      <c r="X160" s="69">
        <f>SUM(X154:X159)</f>
        <v>794447.22500000009</v>
      </c>
    </row>
    <row r="161" spans="1:24" ht="15" customHeight="1" thickBot="1" x14ac:dyDescent="0.3">
      <c r="A161" s="54" t="s">
        <v>158</v>
      </c>
      <c r="B161" s="38"/>
      <c r="C161" s="80">
        <f>C152+C160</f>
        <v>5988.35</v>
      </c>
      <c r="D161" s="80">
        <f>D152+D160</f>
        <v>6020.25</v>
      </c>
      <c r="E161" s="80">
        <f>E152+E160</f>
        <v>6066.9699999999993</v>
      </c>
      <c r="F161" s="80">
        <f>F152+F160</f>
        <v>6025.19</v>
      </c>
      <c r="G161" s="68">
        <f>SUM(G152+G160)</f>
        <v>554317.48</v>
      </c>
      <c r="H161" s="80">
        <f>H152+H160</f>
        <v>6087.24</v>
      </c>
      <c r="I161" s="80">
        <f>I152+I160</f>
        <v>6011.6</v>
      </c>
      <c r="J161" s="80">
        <f>J152+J160</f>
        <v>5905.6</v>
      </c>
      <c r="K161" s="120">
        <f t="shared" si="91"/>
        <v>6001.4800000000005</v>
      </c>
      <c r="L161" s="68">
        <f>SUM(L152+L160)</f>
        <v>552136.16</v>
      </c>
      <c r="M161" s="94">
        <f>M152+M160</f>
        <v>5960.2899999999991</v>
      </c>
      <c r="N161" s="80">
        <f>N152+N160</f>
        <v>6054.4500000000007</v>
      </c>
      <c r="O161" s="80">
        <f>O152+O160</f>
        <v>6079.2900000000009</v>
      </c>
      <c r="P161" s="99">
        <f t="shared" si="93"/>
        <v>6031.3433333333332</v>
      </c>
      <c r="Q161" s="68">
        <f>SUM(Q152+Q160)</f>
        <v>548852.24333333329</v>
      </c>
      <c r="R161" s="94">
        <f>R152+R160</f>
        <v>6069.24</v>
      </c>
      <c r="S161" s="80">
        <f>S152+S160</f>
        <v>6058.6100000000006</v>
      </c>
      <c r="T161" s="81">
        <f>T152+T160</f>
        <v>5979.27</v>
      </c>
      <c r="U161" s="99">
        <f t="shared" si="95"/>
        <v>6035.7066666666678</v>
      </c>
      <c r="V161" s="68">
        <f>SUM(V152+V160)</f>
        <v>549249.30666666664</v>
      </c>
      <c r="W161" s="80">
        <f>W152+W160</f>
        <v>6023.4299999999985</v>
      </c>
      <c r="X161" s="82">
        <f>X152+X160</f>
        <v>2204575.3800000004</v>
      </c>
    </row>
    <row r="163" spans="1:24" ht="16.5" thickBot="1" x14ac:dyDescent="0.25">
      <c r="A163" s="45" t="s">
        <v>157</v>
      </c>
      <c r="B163" s="10"/>
      <c r="C163" s="13"/>
      <c r="D163" s="13"/>
      <c r="E163" s="13"/>
      <c r="F163" s="13"/>
      <c r="G163" s="13"/>
      <c r="H163" s="13"/>
      <c r="I163" s="13"/>
      <c r="J163" s="13"/>
      <c r="K163" s="13"/>
      <c r="L163" s="13"/>
      <c r="M163" s="13"/>
      <c r="N163" s="13"/>
      <c r="O163" s="13"/>
      <c r="P163" s="13"/>
      <c r="Q163" s="13"/>
      <c r="R163" s="13"/>
      <c r="S163" s="13"/>
      <c r="T163" s="13"/>
      <c r="U163" s="13"/>
      <c r="V163" s="13"/>
      <c r="W163" s="13"/>
      <c r="X163" s="13"/>
    </row>
    <row r="164" spans="1:24" ht="16.5" thickBot="1" x14ac:dyDescent="0.3">
      <c r="A164" s="154" t="s">
        <v>370</v>
      </c>
      <c r="B164" s="1156" t="s">
        <v>155</v>
      </c>
      <c r="C164" s="1157"/>
      <c r="D164" s="1157"/>
      <c r="E164" s="1157"/>
      <c r="F164" s="1157"/>
      <c r="G164" s="1157"/>
      <c r="H164" s="1157"/>
      <c r="I164" s="1157"/>
      <c r="J164" s="1157"/>
      <c r="K164" s="1157"/>
      <c r="L164" s="1157"/>
      <c r="M164" s="1157"/>
      <c r="N164" s="1157"/>
      <c r="O164" s="1157"/>
      <c r="P164" s="1157"/>
      <c r="Q164" s="1157"/>
      <c r="R164" s="1157"/>
      <c r="S164" s="1157"/>
      <c r="T164" s="1157"/>
      <c r="U164" s="39"/>
      <c r="V164" s="39"/>
      <c r="W164" s="92"/>
      <c r="X164" s="13"/>
    </row>
    <row r="165" spans="1:24" ht="24" customHeight="1" x14ac:dyDescent="0.25">
      <c r="A165" s="56"/>
      <c r="B165" s="155" t="s">
        <v>268</v>
      </c>
      <c r="C165" s="57"/>
      <c r="D165" s="58"/>
      <c r="E165" s="58"/>
      <c r="F165" s="1158" t="s">
        <v>265</v>
      </c>
      <c r="G165" s="1160" t="s">
        <v>285</v>
      </c>
      <c r="H165" s="58"/>
      <c r="I165" s="58"/>
      <c r="J165" s="58"/>
      <c r="K165" s="1158" t="s">
        <v>265</v>
      </c>
      <c r="L165" s="1160" t="s">
        <v>285</v>
      </c>
      <c r="M165" s="58"/>
      <c r="N165" s="58"/>
      <c r="O165" s="58"/>
      <c r="P165" s="1158" t="s">
        <v>265</v>
      </c>
      <c r="Q165" s="1160" t="s">
        <v>285</v>
      </c>
      <c r="R165" s="58"/>
      <c r="S165" s="58"/>
      <c r="T165" s="59"/>
      <c r="U165" s="1158" t="s">
        <v>265</v>
      </c>
      <c r="V165" s="1160" t="s">
        <v>285</v>
      </c>
      <c r="W165" s="1162" t="s">
        <v>156</v>
      </c>
      <c r="X165" s="1170" t="s">
        <v>157</v>
      </c>
    </row>
    <row r="166" spans="1:24" ht="24" customHeight="1" thickBot="1" x14ac:dyDescent="0.3">
      <c r="A166" s="47" t="s">
        <v>56</v>
      </c>
      <c r="B166" s="156" t="s">
        <v>269</v>
      </c>
      <c r="C166" s="60">
        <v>40368</v>
      </c>
      <c r="D166" s="61">
        <v>40399</v>
      </c>
      <c r="E166" s="61">
        <v>40430</v>
      </c>
      <c r="F166" s="1159"/>
      <c r="G166" s="1161"/>
      <c r="H166" s="61">
        <v>40460</v>
      </c>
      <c r="I166" s="61">
        <v>40491</v>
      </c>
      <c r="J166" s="61">
        <v>40521</v>
      </c>
      <c r="K166" s="1159"/>
      <c r="L166" s="1161"/>
      <c r="M166" s="61">
        <v>40544</v>
      </c>
      <c r="N166" s="61">
        <v>40575</v>
      </c>
      <c r="O166" s="61">
        <v>40603</v>
      </c>
      <c r="P166" s="1159"/>
      <c r="Q166" s="1161"/>
      <c r="R166" s="61">
        <v>40634</v>
      </c>
      <c r="S166" s="61">
        <v>40664</v>
      </c>
      <c r="T166" s="62">
        <v>40695</v>
      </c>
      <c r="U166" s="1159"/>
      <c r="V166" s="1161"/>
      <c r="W166" s="1163"/>
      <c r="X166" s="1171"/>
    </row>
    <row r="167" spans="1:24" ht="20.25" customHeight="1" thickBot="1" x14ac:dyDescent="0.3">
      <c r="A167" s="48" t="s">
        <v>298</v>
      </c>
      <c r="B167" s="42" t="s">
        <v>303</v>
      </c>
      <c r="C167" s="125">
        <v>456.81</v>
      </c>
      <c r="D167" s="125">
        <v>460.71</v>
      </c>
      <c r="E167" s="117">
        <v>472.13</v>
      </c>
      <c r="F167" s="63">
        <f>SUM(C167:E167)/3</f>
        <v>463.2166666666667</v>
      </c>
      <c r="G167" s="108">
        <f t="shared" ref="G167:G180" si="99">F167*92</f>
        <v>42615.933333333334</v>
      </c>
      <c r="H167" s="117">
        <v>472.52</v>
      </c>
      <c r="I167" s="117">
        <v>457.53</v>
      </c>
      <c r="J167" s="117">
        <v>430.94</v>
      </c>
      <c r="K167" s="63">
        <f t="shared" ref="K167:K181" si="100">SUM(H167:J167)/3</f>
        <v>453.66333333333336</v>
      </c>
      <c r="L167" s="108">
        <f t="shared" ref="L167:L181" si="101">K167*92</f>
        <v>41737.026666666672</v>
      </c>
      <c r="M167" s="117">
        <v>474.13</v>
      </c>
      <c r="N167" s="85">
        <v>469.61</v>
      </c>
      <c r="O167" s="85">
        <v>461.19</v>
      </c>
      <c r="P167" s="63">
        <f t="shared" ref="P167:P181" si="102">SUM(M167:O167)/3</f>
        <v>468.31</v>
      </c>
      <c r="Q167" s="108">
        <f t="shared" ref="Q167:Q181" si="103">P167*90</f>
        <v>42147.9</v>
      </c>
      <c r="R167" s="117">
        <v>481.77</v>
      </c>
      <c r="S167" s="85">
        <v>475.9</v>
      </c>
      <c r="T167" s="135">
        <v>471.03</v>
      </c>
      <c r="U167" s="63">
        <f t="shared" ref="U167:U181" si="104">SUM(R167:T167)/3</f>
        <v>476.23333333333329</v>
      </c>
      <c r="V167" s="111">
        <f t="shared" ref="V167:V181" si="105">U167*91</f>
        <v>43337.23333333333</v>
      </c>
      <c r="W167" s="64">
        <f t="shared" ref="W167:W181" si="106">SUM(C167+D167+E167+H167+I167+J167+M167+N167+O167+R167+S167+T167)/12</f>
        <v>465.35583333333329</v>
      </c>
      <c r="X167" s="65">
        <f t="shared" ref="X167:X180" si="107">W167*365</f>
        <v>169854.87916666665</v>
      </c>
    </row>
    <row r="168" spans="1:24" ht="16.5" thickBot="1" x14ac:dyDescent="0.3">
      <c r="A168" s="49" t="s">
        <v>140</v>
      </c>
      <c r="B168" s="43" t="s">
        <v>271</v>
      </c>
      <c r="C168" s="126">
        <v>121.26</v>
      </c>
      <c r="D168" s="126">
        <v>123.06</v>
      </c>
      <c r="E168" s="118">
        <v>111.3</v>
      </c>
      <c r="F168" s="63">
        <f t="shared" ref="F168:F180" si="108">SUM(C168:E168)/3</f>
        <v>118.54</v>
      </c>
      <c r="G168" s="108">
        <f t="shared" si="99"/>
        <v>10905.68</v>
      </c>
      <c r="H168" s="118">
        <v>108.71</v>
      </c>
      <c r="I168" s="118">
        <v>98.8</v>
      </c>
      <c r="J168" s="118">
        <v>104.77</v>
      </c>
      <c r="K168" s="63">
        <f t="shared" si="100"/>
        <v>104.09333333333332</v>
      </c>
      <c r="L168" s="108">
        <f t="shared" si="101"/>
        <v>9576.5866666666661</v>
      </c>
      <c r="M168" s="118">
        <v>95.32</v>
      </c>
      <c r="N168" s="86">
        <v>95.96</v>
      </c>
      <c r="O168" s="86">
        <v>110.61</v>
      </c>
      <c r="P168" s="63">
        <f t="shared" si="102"/>
        <v>100.63</v>
      </c>
      <c r="Q168" s="108">
        <f t="shared" si="103"/>
        <v>9056.6999999999989</v>
      </c>
      <c r="R168" s="118">
        <v>117.17</v>
      </c>
      <c r="S168" s="86">
        <v>134.52000000000001</v>
      </c>
      <c r="T168" s="89">
        <v>139.1</v>
      </c>
      <c r="U168" s="63">
        <f t="shared" si="104"/>
        <v>130.26333333333332</v>
      </c>
      <c r="V168" s="111">
        <f t="shared" si="105"/>
        <v>11853.963333333333</v>
      </c>
      <c r="W168" s="64">
        <f t="shared" si="106"/>
        <v>113.38166666666666</v>
      </c>
      <c r="X168" s="65">
        <f t="shared" si="107"/>
        <v>41384.308333333334</v>
      </c>
    </row>
    <row r="169" spans="1:24" ht="16.5" thickBot="1" x14ac:dyDescent="0.3">
      <c r="A169" s="50" t="s">
        <v>299</v>
      </c>
      <c r="B169" s="44" t="s">
        <v>304</v>
      </c>
      <c r="C169" s="4">
        <v>430.81</v>
      </c>
      <c r="D169" s="4">
        <v>445.16</v>
      </c>
      <c r="E169" s="3">
        <v>460.7</v>
      </c>
      <c r="F169" s="63">
        <f t="shared" si="108"/>
        <v>445.55666666666667</v>
      </c>
      <c r="G169" s="108">
        <f t="shared" si="99"/>
        <v>40991.213333333333</v>
      </c>
      <c r="H169" s="3">
        <v>463.13</v>
      </c>
      <c r="I169" s="3">
        <v>449.93</v>
      </c>
      <c r="J169" s="3">
        <v>435.58</v>
      </c>
      <c r="K169" s="63">
        <f t="shared" si="100"/>
        <v>449.54666666666662</v>
      </c>
      <c r="L169" s="108">
        <f t="shared" si="101"/>
        <v>41358.293333333328</v>
      </c>
      <c r="M169" s="3">
        <v>444.48</v>
      </c>
      <c r="N169" s="87">
        <v>449.46</v>
      </c>
      <c r="O169" s="87">
        <v>443.68</v>
      </c>
      <c r="P169" s="63">
        <f t="shared" si="102"/>
        <v>445.87333333333339</v>
      </c>
      <c r="Q169" s="108">
        <f t="shared" si="103"/>
        <v>40128.600000000006</v>
      </c>
      <c r="R169" s="3">
        <v>453.8</v>
      </c>
      <c r="S169" s="87">
        <v>463.55</v>
      </c>
      <c r="T169" s="90">
        <v>455.1</v>
      </c>
      <c r="U169" s="63">
        <f t="shared" si="104"/>
        <v>457.48333333333335</v>
      </c>
      <c r="V169" s="111">
        <f t="shared" si="105"/>
        <v>41630.983333333337</v>
      </c>
      <c r="W169" s="64">
        <f t="shared" si="106"/>
        <v>449.61500000000001</v>
      </c>
      <c r="X169" s="65">
        <f t="shared" si="107"/>
        <v>164109.47500000001</v>
      </c>
    </row>
    <row r="170" spans="1:24" ht="16.5" thickBot="1" x14ac:dyDescent="0.3">
      <c r="A170" s="50" t="s">
        <v>349</v>
      </c>
      <c r="B170" s="44" t="s">
        <v>348</v>
      </c>
      <c r="C170" s="4">
        <v>298.39999999999998</v>
      </c>
      <c r="D170" s="4">
        <v>296.68</v>
      </c>
      <c r="E170" s="3">
        <v>299.67</v>
      </c>
      <c r="F170" s="63">
        <f t="shared" si="108"/>
        <v>298.25</v>
      </c>
      <c r="G170" s="108">
        <f t="shared" si="99"/>
        <v>27439</v>
      </c>
      <c r="H170" s="3">
        <v>300.42</v>
      </c>
      <c r="I170" s="3">
        <v>271.87</v>
      </c>
      <c r="J170" s="3">
        <v>253.19</v>
      </c>
      <c r="K170" s="63">
        <f t="shared" si="100"/>
        <v>275.16000000000003</v>
      </c>
      <c r="L170" s="108">
        <f t="shared" si="101"/>
        <v>25314.720000000001</v>
      </c>
      <c r="M170" s="3">
        <v>254.74</v>
      </c>
      <c r="N170" s="87">
        <v>262.54000000000002</v>
      </c>
      <c r="O170" s="87">
        <v>264.77</v>
      </c>
      <c r="P170" s="63">
        <f t="shared" si="102"/>
        <v>260.68333333333334</v>
      </c>
      <c r="Q170" s="108">
        <f t="shared" si="103"/>
        <v>23461.5</v>
      </c>
      <c r="R170" s="3">
        <v>263.37</v>
      </c>
      <c r="S170" s="87">
        <v>277.02999999999997</v>
      </c>
      <c r="T170" s="90">
        <v>282</v>
      </c>
      <c r="U170" s="63">
        <f t="shared" si="104"/>
        <v>274.13333333333333</v>
      </c>
      <c r="V170" s="111">
        <f t="shared" si="105"/>
        <v>24946.133333333331</v>
      </c>
      <c r="W170" s="64">
        <f t="shared" si="106"/>
        <v>277.05666666666667</v>
      </c>
      <c r="X170" s="65">
        <f t="shared" si="107"/>
        <v>101125.68333333333</v>
      </c>
    </row>
    <row r="171" spans="1:24" ht="16.5" thickBot="1" x14ac:dyDescent="0.3">
      <c r="A171" s="51" t="s">
        <v>282</v>
      </c>
      <c r="B171" s="44" t="s">
        <v>306</v>
      </c>
      <c r="C171" s="4">
        <v>370.19</v>
      </c>
      <c r="D171" s="4">
        <v>397.23</v>
      </c>
      <c r="E171" s="3">
        <v>411.8</v>
      </c>
      <c r="F171" s="63">
        <f t="shared" si="108"/>
        <v>393.07333333333332</v>
      </c>
      <c r="G171" s="108">
        <f t="shared" si="99"/>
        <v>36162.746666666666</v>
      </c>
      <c r="H171" s="3">
        <v>407.19</v>
      </c>
      <c r="I171" s="3">
        <v>404.07</v>
      </c>
      <c r="J171" s="3">
        <v>389.03</v>
      </c>
      <c r="K171" s="63">
        <f t="shared" si="100"/>
        <v>400.09666666666664</v>
      </c>
      <c r="L171" s="108">
        <f t="shared" si="101"/>
        <v>36808.893333333333</v>
      </c>
      <c r="M171" s="3">
        <v>406.52</v>
      </c>
      <c r="N171" s="87">
        <v>407.54</v>
      </c>
      <c r="O171" s="87">
        <v>404.39</v>
      </c>
      <c r="P171" s="63">
        <f t="shared" si="102"/>
        <v>406.14999999999992</v>
      </c>
      <c r="Q171" s="108">
        <f t="shared" si="103"/>
        <v>36553.499999999993</v>
      </c>
      <c r="R171" s="3">
        <v>397.57</v>
      </c>
      <c r="S171" s="87">
        <v>418.29</v>
      </c>
      <c r="T171" s="90">
        <v>417.03</v>
      </c>
      <c r="U171" s="63">
        <f t="shared" si="104"/>
        <v>410.96333333333331</v>
      </c>
      <c r="V171" s="111">
        <f t="shared" si="105"/>
        <v>37397.66333333333</v>
      </c>
      <c r="W171" s="64">
        <f t="shared" si="106"/>
        <v>402.57083333333338</v>
      </c>
      <c r="X171" s="65">
        <f t="shared" si="107"/>
        <v>146938.35416666669</v>
      </c>
    </row>
    <row r="172" spans="1:24" ht="16.5" thickBot="1" x14ac:dyDescent="0.3">
      <c r="A172" s="50" t="s">
        <v>16</v>
      </c>
      <c r="B172" s="44" t="s">
        <v>275</v>
      </c>
      <c r="C172" s="4">
        <v>45.39</v>
      </c>
      <c r="D172" s="4">
        <v>51.39</v>
      </c>
      <c r="E172" s="3">
        <v>60.27</v>
      </c>
      <c r="F172" s="63">
        <f t="shared" si="108"/>
        <v>52.35</v>
      </c>
      <c r="G172" s="108">
        <f t="shared" si="99"/>
        <v>4816.2</v>
      </c>
      <c r="H172" s="3">
        <v>65.349999999999994</v>
      </c>
      <c r="I172" s="3">
        <v>66.73</v>
      </c>
      <c r="J172" s="3">
        <v>67.680000000000007</v>
      </c>
      <c r="K172" s="63">
        <f t="shared" si="100"/>
        <v>66.586666666666659</v>
      </c>
      <c r="L172" s="108">
        <f t="shared" si="101"/>
        <v>6125.9733333333324</v>
      </c>
      <c r="M172" s="3">
        <v>66.900000000000006</v>
      </c>
      <c r="N172" s="87">
        <v>71.64</v>
      </c>
      <c r="O172" s="87">
        <v>65.680000000000007</v>
      </c>
      <c r="P172" s="63">
        <f t="shared" si="102"/>
        <v>68.073333333333338</v>
      </c>
      <c r="Q172" s="108">
        <f t="shared" si="103"/>
        <v>6126.6</v>
      </c>
      <c r="R172" s="3">
        <v>61.07</v>
      </c>
      <c r="S172" s="87">
        <v>64.23</v>
      </c>
      <c r="T172" s="90">
        <v>70.83</v>
      </c>
      <c r="U172" s="63">
        <f t="shared" si="104"/>
        <v>65.376666666666665</v>
      </c>
      <c r="V172" s="111">
        <f t="shared" si="105"/>
        <v>5949.2766666666666</v>
      </c>
      <c r="W172" s="64">
        <f t="shared" si="106"/>
        <v>63.096666666666671</v>
      </c>
      <c r="X172" s="65">
        <f t="shared" si="107"/>
        <v>23030.283333333336</v>
      </c>
    </row>
    <row r="173" spans="1:24" ht="16.5" thickBot="1" x14ac:dyDescent="0.3">
      <c r="A173" s="50" t="s">
        <v>17</v>
      </c>
      <c r="B173" s="44" t="s">
        <v>307</v>
      </c>
      <c r="C173" s="4">
        <v>214.06</v>
      </c>
      <c r="D173" s="4">
        <v>227.16</v>
      </c>
      <c r="E173" s="3">
        <v>227.57</v>
      </c>
      <c r="F173" s="63">
        <f t="shared" si="108"/>
        <v>222.92999999999998</v>
      </c>
      <c r="G173" s="108">
        <f t="shared" si="99"/>
        <v>20509.559999999998</v>
      </c>
      <c r="H173" s="3">
        <v>228.48</v>
      </c>
      <c r="I173" s="3">
        <v>234.2</v>
      </c>
      <c r="J173" s="3">
        <v>219.03</v>
      </c>
      <c r="K173" s="63">
        <f t="shared" si="100"/>
        <v>227.23666666666665</v>
      </c>
      <c r="L173" s="108">
        <f t="shared" si="101"/>
        <v>20905.773333333331</v>
      </c>
      <c r="M173" s="3">
        <v>224.97</v>
      </c>
      <c r="N173" s="87">
        <v>225.39</v>
      </c>
      <c r="O173" s="87">
        <v>231.81</v>
      </c>
      <c r="P173" s="63">
        <f t="shared" si="102"/>
        <v>227.39000000000001</v>
      </c>
      <c r="Q173" s="108">
        <f t="shared" si="103"/>
        <v>20465.100000000002</v>
      </c>
      <c r="R173" s="3">
        <v>241.9</v>
      </c>
      <c r="S173" s="87">
        <v>244.45</v>
      </c>
      <c r="T173" s="90">
        <v>238.73</v>
      </c>
      <c r="U173" s="63">
        <f t="shared" si="104"/>
        <v>241.69333333333336</v>
      </c>
      <c r="V173" s="111">
        <f t="shared" si="105"/>
        <v>21994.093333333334</v>
      </c>
      <c r="W173" s="64">
        <f t="shared" si="106"/>
        <v>229.8125</v>
      </c>
      <c r="X173" s="65">
        <f t="shared" si="107"/>
        <v>83881.5625</v>
      </c>
    </row>
    <row r="174" spans="1:24" ht="16.5" thickBot="1" x14ac:dyDescent="0.3">
      <c r="A174" s="50" t="s">
        <v>142</v>
      </c>
      <c r="B174" s="44" t="s">
        <v>308</v>
      </c>
      <c r="C174" s="4">
        <v>103.13</v>
      </c>
      <c r="D174" s="4">
        <v>103.29</v>
      </c>
      <c r="E174" s="3">
        <v>102.7</v>
      </c>
      <c r="F174" s="63">
        <f t="shared" si="108"/>
        <v>103.04</v>
      </c>
      <c r="G174" s="108">
        <f t="shared" si="99"/>
        <v>9479.68</v>
      </c>
      <c r="H174" s="3">
        <v>111</v>
      </c>
      <c r="I174" s="3">
        <v>110.5</v>
      </c>
      <c r="J174" s="3">
        <v>104.87</v>
      </c>
      <c r="K174" s="63">
        <f t="shared" si="100"/>
        <v>108.79</v>
      </c>
      <c r="L174" s="108">
        <f t="shared" si="101"/>
        <v>10008.68</v>
      </c>
      <c r="M174" s="3">
        <v>100.39</v>
      </c>
      <c r="N174" s="87">
        <v>102.61</v>
      </c>
      <c r="O174" s="87">
        <v>103.94</v>
      </c>
      <c r="P174" s="63">
        <f t="shared" si="102"/>
        <v>102.31333333333333</v>
      </c>
      <c r="Q174" s="108">
        <f t="shared" si="103"/>
        <v>9208.2000000000007</v>
      </c>
      <c r="R174" s="3">
        <v>92.83</v>
      </c>
      <c r="S174" s="87">
        <v>99.65</v>
      </c>
      <c r="T174" s="90">
        <v>97</v>
      </c>
      <c r="U174" s="63">
        <f t="shared" si="104"/>
        <v>96.493333333333339</v>
      </c>
      <c r="V174" s="111">
        <f t="shared" si="105"/>
        <v>8780.8933333333334</v>
      </c>
      <c r="W174" s="64">
        <f t="shared" si="106"/>
        <v>102.65916666666668</v>
      </c>
      <c r="X174" s="65">
        <f t="shared" si="107"/>
        <v>37470.59583333334</v>
      </c>
    </row>
    <row r="175" spans="1:24" ht="16.5" thickBot="1" x14ac:dyDescent="0.3">
      <c r="A175" s="51" t="s">
        <v>283</v>
      </c>
      <c r="B175" s="44" t="s">
        <v>315</v>
      </c>
      <c r="C175" s="4">
        <f>321.48+175.26</f>
        <v>496.74</v>
      </c>
      <c r="D175" s="4">
        <f>330.52+175.65</f>
        <v>506.16999999999996</v>
      </c>
      <c r="E175" s="3">
        <f>329.63+175.83</f>
        <v>505.46000000000004</v>
      </c>
      <c r="F175" s="63">
        <f t="shared" si="108"/>
        <v>502.78999999999996</v>
      </c>
      <c r="G175" s="108">
        <f t="shared" si="99"/>
        <v>46256.679999999993</v>
      </c>
      <c r="H175" s="3">
        <f>333.71+175.65</f>
        <v>509.36</v>
      </c>
      <c r="I175" s="3">
        <f>175.67+330.63</f>
        <v>506.29999999999995</v>
      </c>
      <c r="J175" s="3">
        <f>324.52+172.35</f>
        <v>496.87</v>
      </c>
      <c r="K175" s="63">
        <f t="shared" si="100"/>
        <v>504.17666666666668</v>
      </c>
      <c r="L175" s="108">
        <f t="shared" si="101"/>
        <v>46384.253333333334</v>
      </c>
      <c r="M175" s="3">
        <f>323.65+165</f>
        <v>488.65</v>
      </c>
      <c r="N175" s="87">
        <f>331.36+175.89</f>
        <v>507.25</v>
      </c>
      <c r="O175" s="87">
        <f>333.29+176</f>
        <v>509.29</v>
      </c>
      <c r="P175" s="63">
        <f t="shared" si="102"/>
        <v>501.73</v>
      </c>
      <c r="Q175" s="108">
        <f t="shared" si="103"/>
        <v>45155.700000000004</v>
      </c>
      <c r="R175" s="3">
        <f>326.73+175.73</f>
        <v>502.46000000000004</v>
      </c>
      <c r="S175" s="87">
        <f>327.39+175.81</f>
        <v>503.2</v>
      </c>
      <c r="T175" s="90">
        <f>326.5+175.5</f>
        <v>502</v>
      </c>
      <c r="U175" s="63">
        <f t="shared" si="104"/>
        <v>502.55333333333334</v>
      </c>
      <c r="V175" s="111">
        <f t="shared" si="105"/>
        <v>45732.353333333333</v>
      </c>
      <c r="W175" s="64">
        <f t="shared" si="106"/>
        <v>502.8125</v>
      </c>
      <c r="X175" s="65">
        <f t="shared" si="107"/>
        <v>183526.5625</v>
      </c>
    </row>
    <row r="176" spans="1:24" ht="16.5" thickBot="1" x14ac:dyDescent="0.3">
      <c r="A176" s="50" t="s">
        <v>151</v>
      </c>
      <c r="B176" s="121" t="s">
        <v>309</v>
      </c>
      <c r="C176" s="4">
        <v>120.23</v>
      </c>
      <c r="D176" s="4">
        <v>121.1</v>
      </c>
      <c r="E176" s="3">
        <v>120.8</v>
      </c>
      <c r="F176" s="63">
        <f t="shared" si="108"/>
        <v>120.71</v>
      </c>
      <c r="G176" s="108">
        <f t="shared" si="99"/>
        <v>11105.32</v>
      </c>
      <c r="H176" s="3">
        <v>120</v>
      </c>
      <c r="I176" s="3">
        <v>121.8</v>
      </c>
      <c r="J176" s="3">
        <v>118.19</v>
      </c>
      <c r="K176" s="63">
        <f t="shared" si="100"/>
        <v>119.99666666666667</v>
      </c>
      <c r="L176" s="108">
        <f t="shared" si="101"/>
        <v>11039.693333333333</v>
      </c>
      <c r="M176" s="3">
        <v>117.35</v>
      </c>
      <c r="N176" s="87">
        <v>123.29</v>
      </c>
      <c r="O176" s="87">
        <v>121.55</v>
      </c>
      <c r="P176" s="63">
        <f t="shared" si="102"/>
        <v>120.73</v>
      </c>
      <c r="Q176" s="108">
        <f t="shared" si="103"/>
        <v>10865.7</v>
      </c>
      <c r="R176" s="3">
        <v>112.27</v>
      </c>
      <c r="S176" s="87">
        <v>123.39</v>
      </c>
      <c r="T176" s="90">
        <v>118.8</v>
      </c>
      <c r="U176" s="63">
        <f t="shared" si="104"/>
        <v>118.15333333333332</v>
      </c>
      <c r="V176" s="111">
        <f t="shared" si="105"/>
        <v>10751.953333333333</v>
      </c>
      <c r="W176" s="64">
        <f t="shared" si="106"/>
        <v>119.89749999999999</v>
      </c>
      <c r="X176" s="65">
        <f t="shared" si="107"/>
        <v>43762.587499999994</v>
      </c>
    </row>
    <row r="177" spans="1:24" ht="16.5" thickBot="1" x14ac:dyDescent="0.3">
      <c r="A177" s="49" t="s">
        <v>20</v>
      </c>
      <c r="B177" s="43" t="s">
        <v>310</v>
      </c>
      <c r="C177" s="126">
        <v>545.94000000000005</v>
      </c>
      <c r="D177" s="126">
        <v>550.97</v>
      </c>
      <c r="E177" s="118">
        <v>552.73</v>
      </c>
      <c r="F177" s="63">
        <f t="shared" si="108"/>
        <v>549.88</v>
      </c>
      <c r="G177" s="108">
        <f t="shared" si="99"/>
        <v>50588.959999999999</v>
      </c>
      <c r="H177" s="118">
        <v>550.97</v>
      </c>
      <c r="I177" s="3">
        <v>535.87</v>
      </c>
      <c r="J177" s="118">
        <v>553.71</v>
      </c>
      <c r="K177" s="63">
        <f t="shared" si="100"/>
        <v>546.85</v>
      </c>
      <c r="L177" s="111">
        <f t="shared" si="101"/>
        <v>50310.200000000004</v>
      </c>
      <c r="M177" s="3">
        <v>548.1</v>
      </c>
      <c r="N177" s="86">
        <v>552.16999999999996</v>
      </c>
      <c r="O177" s="86">
        <v>549.74</v>
      </c>
      <c r="P177" s="63">
        <f t="shared" si="102"/>
        <v>550.00333333333333</v>
      </c>
      <c r="Q177" s="108">
        <f t="shared" si="103"/>
        <v>49500.3</v>
      </c>
      <c r="R177" s="3">
        <v>545.47</v>
      </c>
      <c r="S177" s="86">
        <v>554</v>
      </c>
      <c r="T177" s="89">
        <v>552.77</v>
      </c>
      <c r="U177" s="63">
        <f t="shared" si="104"/>
        <v>550.74666666666667</v>
      </c>
      <c r="V177" s="111">
        <f t="shared" si="105"/>
        <v>50117.94666666667</v>
      </c>
      <c r="W177" s="64">
        <f t="shared" si="106"/>
        <v>549.37</v>
      </c>
      <c r="X177" s="65">
        <f t="shared" si="107"/>
        <v>200520.05</v>
      </c>
    </row>
    <row r="178" spans="1:24" ht="16.5" thickBot="1" x14ac:dyDescent="0.3">
      <c r="A178" s="51" t="s">
        <v>284</v>
      </c>
      <c r="B178" s="44" t="s">
        <v>311</v>
      </c>
      <c r="C178" s="4">
        <f>273.23+118.23</f>
        <v>391.46000000000004</v>
      </c>
      <c r="D178" s="4">
        <f>294.13+120.81</f>
        <v>414.94</v>
      </c>
      <c r="E178" s="3">
        <f>294.83+109.6</f>
        <v>404.42999999999995</v>
      </c>
      <c r="F178" s="63">
        <f t="shared" si="108"/>
        <v>403.60999999999996</v>
      </c>
      <c r="G178" s="108">
        <f t="shared" si="99"/>
        <v>37132.119999999995</v>
      </c>
      <c r="H178" s="3">
        <f>298.94+133.06</f>
        <v>432</v>
      </c>
      <c r="I178" s="3">
        <f>274.87+126.83</f>
        <v>401.7</v>
      </c>
      <c r="J178" s="3">
        <f>289.19+110.58</f>
        <v>399.77</v>
      </c>
      <c r="K178" s="63">
        <f t="shared" si="100"/>
        <v>411.15666666666669</v>
      </c>
      <c r="L178" s="108">
        <f t="shared" si="101"/>
        <v>37826.413333333338</v>
      </c>
      <c r="M178" s="3">
        <f>301.97+98.97</f>
        <v>400.94000000000005</v>
      </c>
      <c r="N178" s="87">
        <f>293.43+102.14</f>
        <v>395.57</v>
      </c>
      <c r="O178" s="87">
        <f>283.45+99.61</f>
        <v>383.06</v>
      </c>
      <c r="P178" s="63">
        <f t="shared" si="102"/>
        <v>393.19</v>
      </c>
      <c r="Q178" s="108">
        <f t="shared" si="103"/>
        <v>35387.1</v>
      </c>
      <c r="R178" s="3">
        <f>295.33+104.7</f>
        <v>400.03</v>
      </c>
      <c r="S178" s="87">
        <f>300.23+102.35</f>
        <v>402.58000000000004</v>
      </c>
      <c r="T178" s="90">
        <f>285.8+107.77</f>
        <v>393.57</v>
      </c>
      <c r="U178" s="63">
        <f t="shared" si="104"/>
        <v>398.72666666666669</v>
      </c>
      <c r="V178" s="111">
        <f t="shared" si="105"/>
        <v>36284.126666666671</v>
      </c>
      <c r="W178" s="64">
        <f t="shared" si="106"/>
        <v>401.67083333333335</v>
      </c>
      <c r="X178" s="65">
        <f t="shared" si="107"/>
        <v>146609.85416666669</v>
      </c>
    </row>
    <row r="179" spans="1:24" ht="16.5" thickBot="1" x14ac:dyDescent="0.3">
      <c r="A179" s="50" t="s">
        <v>143</v>
      </c>
      <c r="B179" s="44" t="s">
        <v>312</v>
      </c>
      <c r="C179" s="4">
        <v>145.32</v>
      </c>
      <c r="D179" s="4">
        <v>146.32</v>
      </c>
      <c r="E179" s="3">
        <v>160.47</v>
      </c>
      <c r="F179" s="63">
        <f t="shared" si="108"/>
        <v>150.70333333333335</v>
      </c>
      <c r="G179" s="108">
        <f t="shared" si="99"/>
        <v>13864.706666666669</v>
      </c>
      <c r="H179" s="3">
        <v>166.55</v>
      </c>
      <c r="I179" s="3">
        <v>162.93</v>
      </c>
      <c r="J179" s="3">
        <v>151.03</v>
      </c>
      <c r="K179" s="63">
        <f t="shared" si="100"/>
        <v>160.16999999999999</v>
      </c>
      <c r="L179" s="108">
        <f t="shared" si="101"/>
        <v>14735.64</v>
      </c>
      <c r="M179" s="3">
        <v>153.13</v>
      </c>
      <c r="N179" s="87">
        <v>150.71</v>
      </c>
      <c r="O179" s="87">
        <v>160</v>
      </c>
      <c r="P179" s="63">
        <f t="shared" si="102"/>
        <v>154.61333333333334</v>
      </c>
      <c r="Q179" s="108">
        <f t="shared" si="103"/>
        <v>13915.2</v>
      </c>
      <c r="R179" s="3">
        <v>164.5</v>
      </c>
      <c r="S179" s="87">
        <v>160.94</v>
      </c>
      <c r="T179" s="90">
        <v>165.27</v>
      </c>
      <c r="U179" s="63">
        <f t="shared" si="104"/>
        <v>163.57000000000002</v>
      </c>
      <c r="V179" s="111">
        <f t="shared" si="105"/>
        <v>14884.870000000003</v>
      </c>
      <c r="W179" s="64">
        <f t="shared" si="106"/>
        <v>157.26416666666668</v>
      </c>
      <c r="X179" s="65">
        <f t="shared" si="107"/>
        <v>57401.420833333337</v>
      </c>
    </row>
    <row r="180" spans="1:24" ht="16.5" thickBot="1" x14ac:dyDescent="0.3">
      <c r="A180" s="50" t="s">
        <v>144</v>
      </c>
      <c r="B180" s="34"/>
      <c r="C180" s="4">
        <v>0</v>
      </c>
      <c r="D180" s="4">
        <v>0</v>
      </c>
      <c r="E180" s="18"/>
      <c r="F180" s="67">
        <f t="shared" si="108"/>
        <v>0</v>
      </c>
      <c r="G180" s="108">
        <f t="shared" si="99"/>
        <v>0</v>
      </c>
      <c r="H180" s="18"/>
      <c r="I180" s="18"/>
      <c r="J180" s="18"/>
      <c r="K180" s="67">
        <f t="shared" si="100"/>
        <v>0</v>
      </c>
      <c r="L180" s="108">
        <f t="shared" si="101"/>
        <v>0</v>
      </c>
      <c r="M180" s="18"/>
      <c r="N180" s="4"/>
      <c r="O180" s="87"/>
      <c r="P180" s="67">
        <f t="shared" si="102"/>
        <v>0</v>
      </c>
      <c r="Q180" s="108">
        <f t="shared" si="103"/>
        <v>0</v>
      </c>
      <c r="R180" s="3"/>
      <c r="S180" s="3"/>
      <c r="T180" s="4"/>
      <c r="U180" s="67">
        <f t="shared" si="104"/>
        <v>0</v>
      </c>
      <c r="V180" s="112">
        <f t="shared" si="105"/>
        <v>0</v>
      </c>
      <c r="W180" s="137">
        <f t="shared" si="106"/>
        <v>0</v>
      </c>
      <c r="X180" s="65">
        <f t="shared" si="107"/>
        <v>0</v>
      </c>
    </row>
    <row r="181" spans="1:24" ht="16.5" thickBot="1" x14ac:dyDescent="0.3">
      <c r="A181" s="46" t="s">
        <v>152</v>
      </c>
      <c r="B181" s="35"/>
      <c r="C181" s="80">
        <f>SUM(C167:C180)</f>
        <v>3739.7400000000002</v>
      </c>
      <c r="D181" s="80">
        <f>SUM(D167:D180)</f>
        <v>3844.1800000000003</v>
      </c>
      <c r="E181" s="80">
        <f>SUM(E167:E180)</f>
        <v>3890.0299999999997</v>
      </c>
      <c r="F181" s="68">
        <f>SUM(C181:E181)/3</f>
        <v>3824.65</v>
      </c>
      <c r="G181" s="108">
        <f>F181*92</f>
        <v>351867.8</v>
      </c>
      <c r="H181" s="94">
        <f>SUM(H167:H180)</f>
        <v>3935.6800000000003</v>
      </c>
      <c r="I181" s="80">
        <f>SUM(I167:I180)</f>
        <v>3822.23</v>
      </c>
      <c r="J181" s="80">
        <f>SUM(J167:J180)</f>
        <v>3724.6600000000003</v>
      </c>
      <c r="K181" s="68">
        <f t="shared" si="100"/>
        <v>3827.5233333333331</v>
      </c>
      <c r="L181" s="119">
        <f t="shared" si="101"/>
        <v>352132.14666666667</v>
      </c>
      <c r="M181" s="9">
        <f>SUM(M167:M180)</f>
        <v>3775.6200000000003</v>
      </c>
      <c r="N181" s="80">
        <f>SUM(N167:N180)</f>
        <v>3813.7400000000002</v>
      </c>
      <c r="O181" s="80">
        <f>SUM(O167:O180)</f>
        <v>3809.7099999999996</v>
      </c>
      <c r="P181" s="68">
        <f t="shared" si="102"/>
        <v>3799.69</v>
      </c>
      <c r="Q181" s="119">
        <f t="shared" si="103"/>
        <v>341972.1</v>
      </c>
      <c r="R181" s="94">
        <f>SUM(R167:R180)</f>
        <v>3834.21</v>
      </c>
      <c r="S181" s="80">
        <f>SUM(S167:S180)</f>
        <v>3921.7299999999996</v>
      </c>
      <c r="T181" s="81">
        <f>SUM(T167:T180)</f>
        <v>3903.23</v>
      </c>
      <c r="U181" s="68">
        <f t="shared" si="104"/>
        <v>3886.39</v>
      </c>
      <c r="V181" s="120">
        <f t="shared" si="105"/>
        <v>353661.49</v>
      </c>
      <c r="W181" s="138">
        <f t="shared" si="106"/>
        <v>3834.5633333333335</v>
      </c>
      <c r="X181" s="69">
        <f>SUM(X167:X180)</f>
        <v>1399615.6166666667</v>
      </c>
    </row>
    <row r="182" spans="1:24" ht="16.5" thickBot="1" x14ac:dyDescent="0.3">
      <c r="A182" s="46" t="s">
        <v>153</v>
      </c>
      <c r="B182" s="35"/>
      <c r="C182" s="70"/>
      <c r="D182" s="70"/>
      <c r="E182" s="71"/>
      <c r="F182" s="98"/>
      <c r="G182" s="98"/>
      <c r="H182" s="72"/>
      <c r="I182" s="70" t="s">
        <v>258</v>
      </c>
      <c r="J182" s="71"/>
      <c r="K182" s="97"/>
      <c r="L182" s="97"/>
      <c r="M182" s="72"/>
      <c r="N182" s="70"/>
      <c r="O182" s="71"/>
      <c r="P182" s="97"/>
      <c r="Q182" s="97"/>
      <c r="R182" s="72"/>
      <c r="S182" s="70"/>
      <c r="T182" s="71"/>
      <c r="U182" s="71"/>
      <c r="V182" s="70"/>
      <c r="W182" s="96"/>
      <c r="X182" s="69" t="s">
        <v>0</v>
      </c>
    </row>
    <row r="183" spans="1:24" ht="16.5" customHeight="1" thickBot="1" x14ac:dyDescent="0.3">
      <c r="A183" s="163" t="s">
        <v>145</v>
      </c>
      <c r="B183" s="164"/>
      <c r="C183" s="165">
        <v>734.97</v>
      </c>
      <c r="D183" s="165">
        <v>733.74</v>
      </c>
      <c r="E183" s="165">
        <v>732.27</v>
      </c>
      <c r="F183" s="166">
        <f t="shared" ref="F183:F189" si="109">SUM(C183:E183)/3</f>
        <v>733.66</v>
      </c>
      <c r="G183" s="167">
        <f t="shared" ref="G183:G189" si="110">F183*92</f>
        <v>67496.72</v>
      </c>
      <c r="H183" s="165">
        <v>737.87</v>
      </c>
      <c r="I183" s="165">
        <v>714</v>
      </c>
      <c r="J183" s="165">
        <v>713.77</v>
      </c>
      <c r="K183" s="166">
        <f t="shared" ref="K183:K190" si="111">SUM(H183:J183)/3</f>
        <v>721.88</v>
      </c>
      <c r="L183" s="167">
        <f t="shared" ref="L183:L189" si="112">K183*92</f>
        <v>66412.960000000006</v>
      </c>
      <c r="M183" s="165">
        <v>723.81</v>
      </c>
      <c r="N183" s="168">
        <v>730.89</v>
      </c>
      <c r="O183" s="168">
        <v>737.55</v>
      </c>
      <c r="P183" s="166">
        <f t="shared" ref="P183:P190" si="113">SUM(M183:O183)/3</f>
        <v>730.75</v>
      </c>
      <c r="Q183" s="167">
        <f t="shared" ref="Q183:Q189" si="114">P183*90</f>
        <v>65767.5</v>
      </c>
      <c r="R183" s="165">
        <v>751</v>
      </c>
      <c r="S183" s="168">
        <v>719.4</v>
      </c>
      <c r="T183" s="169">
        <v>754</v>
      </c>
      <c r="U183" s="166">
        <f t="shared" ref="U183:U190" si="115">SUM(R183:T183)/3</f>
        <v>741.4666666666667</v>
      </c>
      <c r="V183" s="170">
        <f t="shared" ref="V183:V189" si="116">U183*91</f>
        <v>67473.466666666674</v>
      </c>
      <c r="W183" s="171">
        <f t="shared" ref="W183:W188" si="117">SUM(C183+D183+E183+H183+I183+J183+M183+N183+O183+R183+S183+T183)/12</f>
        <v>731.93916666666667</v>
      </c>
      <c r="X183" s="172">
        <f t="shared" ref="X183:X188" si="118">W183*365</f>
        <v>267157.79583333334</v>
      </c>
    </row>
    <row r="184" spans="1:24" ht="16.5" thickBot="1" x14ac:dyDescent="0.3">
      <c r="A184" s="50" t="s">
        <v>146</v>
      </c>
      <c r="B184" s="34"/>
      <c r="C184" s="5">
        <v>10.71</v>
      </c>
      <c r="D184" s="5">
        <v>9.8699999999999992</v>
      </c>
      <c r="E184" s="5">
        <v>9.1</v>
      </c>
      <c r="F184" s="63">
        <f t="shared" si="109"/>
        <v>9.8933333333333326</v>
      </c>
      <c r="G184" s="108">
        <f t="shared" si="110"/>
        <v>910.18666666666661</v>
      </c>
      <c r="H184" s="5">
        <v>13.35</v>
      </c>
      <c r="I184" s="5">
        <v>11.73</v>
      </c>
      <c r="J184" s="5">
        <v>10.94</v>
      </c>
      <c r="K184" s="63">
        <f t="shared" si="111"/>
        <v>12.006666666666666</v>
      </c>
      <c r="L184" s="108">
        <f t="shared" si="112"/>
        <v>1104.6133333333332</v>
      </c>
      <c r="M184" s="5">
        <v>10.52</v>
      </c>
      <c r="N184" s="75">
        <v>9.18</v>
      </c>
      <c r="O184" s="75">
        <v>11.23</v>
      </c>
      <c r="P184" s="63">
        <f t="shared" si="113"/>
        <v>10.31</v>
      </c>
      <c r="Q184" s="108">
        <f t="shared" si="114"/>
        <v>927.90000000000009</v>
      </c>
      <c r="R184" s="5">
        <v>12</v>
      </c>
      <c r="S184" s="75">
        <v>12</v>
      </c>
      <c r="T184" s="76">
        <v>5</v>
      </c>
      <c r="U184" s="63">
        <f t="shared" si="115"/>
        <v>9.6666666666666661</v>
      </c>
      <c r="V184" s="111">
        <f t="shared" si="116"/>
        <v>879.66666666666663</v>
      </c>
      <c r="W184" s="64">
        <f t="shared" si="117"/>
        <v>10.469166666666668</v>
      </c>
      <c r="X184" s="66">
        <f t="shared" si="118"/>
        <v>3821.2458333333338</v>
      </c>
    </row>
    <row r="185" spans="1:24" ht="16.5" thickBot="1" x14ac:dyDescent="0.3">
      <c r="A185" s="50" t="s">
        <v>148</v>
      </c>
      <c r="B185" s="34"/>
      <c r="C185" s="5">
        <v>30</v>
      </c>
      <c r="D185" s="5">
        <v>29</v>
      </c>
      <c r="E185" s="5">
        <v>30</v>
      </c>
      <c r="F185" s="63">
        <f t="shared" si="109"/>
        <v>29.666666666666668</v>
      </c>
      <c r="G185" s="108">
        <f t="shared" si="110"/>
        <v>2729.3333333333335</v>
      </c>
      <c r="H185" s="5">
        <v>33</v>
      </c>
      <c r="I185" s="5">
        <v>35</v>
      </c>
      <c r="J185" s="5">
        <v>34</v>
      </c>
      <c r="K185" s="63">
        <f t="shared" si="111"/>
        <v>34</v>
      </c>
      <c r="L185" s="108">
        <f t="shared" si="112"/>
        <v>3128</v>
      </c>
      <c r="M185" s="5">
        <v>29</v>
      </c>
      <c r="N185" s="75">
        <v>26</v>
      </c>
      <c r="O185" s="75">
        <v>22</v>
      </c>
      <c r="P185" s="63">
        <f t="shared" si="113"/>
        <v>25.666666666666668</v>
      </c>
      <c r="Q185" s="108">
        <f t="shared" si="114"/>
        <v>2310</v>
      </c>
      <c r="R185" s="5">
        <v>20</v>
      </c>
      <c r="S185" s="75">
        <v>21</v>
      </c>
      <c r="T185" s="76">
        <v>20</v>
      </c>
      <c r="U185" s="63">
        <f t="shared" si="115"/>
        <v>20.333333333333332</v>
      </c>
      <c r="V185" s="111">
        <f t="shared" si="116"/>
        <v>1850.3333333333333</v>
      </c>
      <c r="W185" s="64">
        <f t="shared" si="117"/>
        <v>27.416666666666668</v>
      </c>
      <c r="X185" s="65">
        <f t="shared" si="118"/>
        <v>10007.083333333334</v>
      </c>
    </row>
    <row r="186" spans="1:24" ht="16.5" thickBot="1" x14ac:dyDescent="0.3">
      <c r="A186" s="50" t="s">
        <v>147</v>
      </c>
      <c r="B186" s="34"/>
      <c r="C186" s="5">
        <v>266</v>
      </c>
      <c r="D186" s="5">
        <v>271</v>
      </c>
      <c r="E186" s="5">
        <v>270</v>
      </c>
      <c r="F186" s="63">
        <f t="shared" si="109"/>
        <v>269</v>
      </c>
      <c r="G186" s="108">
        <f t="shared" si="110"/>
        <v>24748</v>
      </c>
      <c r="H186" s="5">
        <v>282</v>
      </c>
      <c r="I186" s="5">
        <v>295</v>
      </c>
      <c r="J186" s="5">
        <v>282</v>
      </c>
      <c r="K186" s="63">
        <f t="shared" si="111"/>
        <v>286.33333333333331</v>
      </c>
      <c r="L186" s="108">
        <f t="shared" si="112"/>
        <v>26342.666666666664</v>
      </c>
      <c r="M186" s="5">
        <v>287</v>
      </c>
      <c r="N186" s="75">
        <v>298</v>
      </c>
      <c r="O186" s="75">
        <v>293</v>
      </c>
      <c r="P186" s="63">
        <f t="shared" si="113"/>
        <v>292.66666666666669</v>
      </c>
      <c r="Q186" s="108">
        <f t="shared" si="114"/>
        <v>26340</v>
      </c>
      <c r="R186" s="5">
        <v>297</v>
      </c>
      <c r="S186" s="75">
        <v>301</v>
      </c>
      <c r="T186" s="76">
        <v>297</v>
      </c>
      <c r="U186" s="63">
        <f t="shared" si="115"/>
        <v>298.33333333333331</v>
      </c>
      <c r="V186" s="111">
        <f t="shared" si="116"/>
        <v>27148.333333333332</v>
      </c>
      <c r="W186" s="64">
        <f t="shared" si="117"/>
        <v>286.58333333333331</v>
      </c>
      <c r="X186" s="66">
        <f t="shared" si="118"/>
        <v>104602.91666666666</v>
      </c>
    </row>
    <row r="187" spans="1:24" ht="16.5" thickBot="1" x14ac:dyDescent="0.3">
      <c r="A187" s="50" t="s">
        <v>371</v>
      </c>
      <c r="B187" s="34"/>
      <c r="C187" s="5">
        <v>899</v>
      </c>
      <c r="D187" s="5">
        <v>897</v>
      </c>
      <c r="E187" s="5">
        <v>896</v>
      </c>
      <c r="F187" s="63">
        <f t="shared" si="109"/>
        <v>897.33333333333337</v>
      </c>
      <c r="G187" s="108">
        <f t="shared" si="110"/>
        <v>82554.666666666672</v>
      </c>
      <c r="H187" s="5">
        <v>892</v>
      </c>
      <c r="I187" s="5">
        <v>967</v>
      </c>
      <c r="J187" s="5">
        <v>977</v>
      </c>
      <c r="K187" s="63">
        <f t="shared" si="111"/>
        <v>945.33333333333337</v>
      </c>
      <c r="L187" s="108">
        <f t="shared" si="112"/>
        <v>86970.666666666672</v>
      </c>
      <c r="M187" s="5">
        <v>976</v>
      </c>
      <c r="N187" s="75">
        <v>993</v>
      </c>
      <c r="O187" s="75">
        <v>990</v>
      </c>
      <c r="P187" s="63">
        <f t="shared" si="113"/>
        <v>986.33333333333337</v>
      </c>
      <c r="Q187" s="108">
        <f t="shared" si="114"/>
        <v>88770</v>
      </c>
      <c r="R187" s="5">
        <v>993</v>
      </c>
      <c r="S187" s="75">
        <v>998</v>
      </c>
      <c r="T187" s="76">
        <v>994</v>
      </c>
      <c r="U187" s="63">
        <f t="shared" si="115"/>
        <v>995</v>
      </c>
      <c r="V187" s="111">
        <f t="shared" si="116"/>
        <v>90545</v>
      </c>
      <c r="W187" s="64">
        <f t="shared" si="117"/>
        <v>956</v>
      </c>
      <c r="X187" s="65">
        <f t="shared" si="118"/>
        <v>348940</v>
      </c>
    </row>
    <row r="188" spans="1:24" ht="16.5" thickBot="1" x14ac:dyDescent="0.3">
      <c r="A188" s="50" t="s">
        <v>150</v>
      </c>
      <c r="B188" s="34"/>
      <c r="C188" s="5">
        <v>19</v>
      </c>
      <c r="D188" s="5">
        <v>19</v>
      </c>
      <c r="E188" s="5">
        <v>19</v>
      </c>
      <c r="F188" s="63">
        <f t="shared" si="109"/>
        <v>19</v>
      </c>
      <c r="G188" s="108">
        <f t="shared" si="110"/>
        <v>1748</v>
      </c>
      <c r="H188" s="5">
        <v>18</v>
      </c>
      <c r="I188" s="5">
        <v>18</v>
      </c>
      <c r="J188" s="5">
        <v>18</v>
      </c>
      <c r="K188" s="63">
        <f t="shared" si="111"/>
        <v>18</v>
      </c>
      <c r="L188" s="108">
        <f t="shared" si="112"/>
        <v>1656</v>
      </c>
      <c r="M188" s="5">
        <v>18</v>
      </c>
      <c r="N188" s="75">
        <v>17</v>
      </c>
      <c r="O188" s="75">
        <v>16</v>
      </c>
      <c r="P188" s="63">
        <f t="shared" si="113"/>
        <v>17</v>
      </c>
      <c r="Q188" s="108">
        <f t="shared" si="114"/>
        <v>1530</v>
      </c>
      <c r="R188" s="5">
        <v>16</v>
      </c>
      <c r="S188" s="75">
        <v>16</v>
      </c>
      <c r="T188" s="76">
        <v>16</v>
      </c>
      <c r="U188" s="63">
        <f t="shared" si="115"/>
        <v>16</v>
      </c>
      <c r="V188" s="112">
        <f t="shared" si="116"/>
        <v>1456</v>
      </c>
      <c r="W188" s="64">
        <f t="shared" si="117"/>
        <v>17.5</v>
      </c>
      <c r="X188" s="66">
        <f t="shared" si="118"/>
        <v>6387.5</v>
      </c>
    </row>
    <row r="189" spans="1:24" ht="16.5" thickBot="1" x14ac:dyDescent="0.3">
      <c r="A189" s="53" t="s">
        <v>154</v>
      </c>
      <c r="B189" s="37"/>
      <c r="C189" s="80">
        <f>SUM(C183:C188)</f>
        <v>1959.68</v>
      </c>
      <c r="D189" s="80">
        <f>SUM(D183:D188)</f>
        <v>1959.6100000000001</v>
      </c>
      <c r="E189" s="80">
        <f>SUM(E183:E188)</f>
        <v>1956.37</v>
      </c>
      <c r="F189" s="68">
        <f t="shared" si="109"/>
        <v>1958.5533333333333</v>
      </c>
      <c r="G189" s="108">
        <f t="shared" si="110"/>
        <v>180186.90666666668</v>
      </c>
      <c r="H189" s="94">
        <f>SUM(H183:H188)</f>
        <v>1976.22</v>
      </c>
      <c r="I189" s="80">
        <f>SUM(I183:I188)</f>
        <v>2040.73</v>
      </c>
      <c r="J189" s="80">
        <f>SUM(J183:J188)</f>
        <v>2035.71</v>
      </c>
      <c r="K189" s="68">
        <f t="shared" si="111"/>
        <v>2017.5533333333333</v>
      </c>
      <c r="L189" s="119">
        <f t="shared" si="112"/>
        <v>185614.90666666668</v>
      </c>
      <c r="M189" s="94">
        <f>SUM(M183:M188)</f>
        <v>2044.33</v>
      </c>
      <c r="N189" s="80">
        <f>SUM(N183:N188)</f>
        <v>2074.0699999999997</v>
      </c>
      <c r="O189" s="80">
        <f>SUM(O183:O188)</f>
        <v>2069.7799999999997</v>
      </c>
      <c r="P189" s="68">
        <f t="shared" si="113"/>
        <v>2062.7266666666665</v>
      </c>
      <c r="Q189" s="108">
        <f t="shared" si="114"/>
        <v>185645.4</v>
      </c>
      <c r="R189" s="94">
        <f>SUM(R183:R188)</f>
        <v>2089</v>
      </c>
      <c r="S189" s="80">
        <f>SUM(S183:S188)</f>
        <v>2067.4</v>
      </c>
      <c r="T189" s="81">
        <f>SUM(T183:T188)</f>
        <v>2086</v>
      </c>
      <c r="U189" s="68">
        <f t="shared" si="115"/>
        <v>2080.7999999999997</v>
      </c>
      <c r="V189" s="120">
        <f t="shared" si="116"/>
        <v>189352.8</v>
      </c>
      <c r="W189" s="69">
        <f>SUM(W183:W188)</f>
        <v>2029.9083333333333</v>
      </c>
      <c r="X189" s="69">
        <f>SUM(X183:X188)</f>
        <v>740916.54166666663</v>
      </c>
    </row>
    <row r="190" spans="1:24" ht="16.5" thickBot="1" x14ac:dyDescent="0.3">
      <c r="A190" s="54" t="s">
        <v>158</v>
      </c>
      <c r="B190" s="38"/>
      <c r="C190" s="80">
        <f>C181+C189</f>
        <v>5699.42</v>
      </c>
      <c r="D190" s="80">
        <f>D181+D189</f>
        <v>5803.7900000000009</v>
      </c>
      <c r="E190" s="80">
        <f>E181+E189</f>
        <v>5846.4</v>
      </c>
      <c r="F190" s="80">
        <f>F181+F189</f>
        <v>5783.2033333333329</v>
      </c>
      <c r="G190" s="68">
        <f>SUM(G181+G189)</f>
        <v>532054.70666666667</v>
      </c>
      <c r="H190" s="80">
        <f>H181+H189</f>
        <v>5911.9000000000005</v>
      </c>
      <c r="I190" s="80">
        <f>I181+I189</f>
        <v>5862.96</v>
      </c>
      <c r="J190" s="80">
        <f>J181+J189</f>
        <v>5760.3700000000008</v>
      </c>
      <c r="K190" s="120">
        <f t="shared" si="111"/>
        <v>5845.0766666666677</v>
      </c>
      <c r="L190" s="68">
        <f>SUM(L181+L189)</f>
        <v>537747.05333333334</v>
      </c>
      <c r="M190" s="94">
        <f>M181+M189</f>
        <v>5819.9500000000007</v>
      </c>
      <c r="N190" s="80">
        <f>N181+N189</f>
        <v>5887.8099999999995</v>
      </c>
      <c r="O190" s="80">
        <f>O181+O189</f>
        <v>5879.49</v>
      </c>
      <c r="P190" s="99">
        <f t="shared" si="113"/>
        <v>5862.416666666667</v>
      </c>
      <c r="Q190" s="68">
        <f>SUM(Q181+Q189)</f>
        <v>527617.5</v>
      </c>
      <c r="R190" s="94">
        <f>R181+R189</f>
        <v>5923.21</v>
      </c>
      <c r="S190" s="80">
        <f>S181+S189</f>
        <v>5989.1299999999992</v>
      </c>
      <c r="T190" s="81">
        <f>T181+T189</f>
        <v>5989.23</v>
      </c>
      <c r="U190" s="99">
        <f t="shared" si="115"/>
        <v>5967.19</v>
      </c>
      <c r="V190" s="68">
        <f>SUM(V181+V189)</f>
        <v>543014.29</v>
      </c>
      <c r="W190" s="80">
        <f>W181+W189</f>
        <v>5864.4716666666664</v>
      </c>
      <c r="X190" s="82">
        <f>X181+X189</f>
        <v>2140532.1583333332</v>
      </c>
    </row>
    <row r="191" spans="1:24" ht="15.75" x14ac:dyDescent="0.25">
      <c r="A191" s="114"/>
      <c r="B191" s="19"/>
      <c r="C191" s="115"/>
      <c r="D191" s="115"/>
      <c r="E191" s="115"/>
      <c r="F191" s="115"/>
      <c r="G191" s="113"/>
      <c r="H191" s="115"/>
      <c r="I191" s="115"/>
      <c r="J191" s="115"/>
      <c r="K191" s="139"/>
      <c r="L191" s="113"/>
      <c r="M191" s="115"/>
      <c r="N191" s="115"/>
      <c r="O191" s="115"/>
      <c r="P191" s="93"/>
      <c r="Q191" s="113"/>
      <c r="R191" s="115"/>
      <c r="S191" s="115"/>
      <c r="T191" s="115"/>
      <c r="U191" s="93"/>
      <c r="V191" s="113"/>
      <c r="W191" s="115"/>
      <c r="X191" s="115"/>
    </row>
    <row r="193" spans="1:24" ht="16.5" thickBot="1" x14ac:dyDescent="0.25">
      <c r="A193" s="45" t="s">
        <v>157</v>
      </c>
      <c r="B193" s="10"/>
      <c r="C193" s="13"/>
      <c r="D193" s="13"/>
      <c r="E193" s="13"/>
      <c r="F193" s="13"/>
      <c r="G193" s="13"/>
      <c r="H193" s="13"/>
      <c r="I193" s="13"/>
      <c r="J193" s="13"/>
      <c r="K193" s="13"/>
      <c r="L193" s="13"/>
      <c r="M193" s="13"/>
      <c r="N193" s="13"/>
      <c r="O193" s="13"/>
      <c r="P193" s="13"/>
      <c r="Q193" s="13"/>
      <c r="R193" s="13"/>
      <c r="S193" s="13"/>
      <c r="T193" s="13"/>
      <c r="U193" s="13"/>
      <c r="V193" s="13"/>
      <c r="W193" s="13"/>
      <c r="X193" s="13"/>
    </row>
    <row r="194" spans="1:24" ht="16.5" thickBot="1" x14ac:dyDescent="0.3">
      <c r="A194" s="154" t="s">
        <v>347</v>
      </c>
      <c r="B194" s="1156" t="s">
        <v>155</v>
      </c>
      <c r="C194" s="1157"/>
      <c r="D194" s="1157"/>
      <c r="E194" s="1157"/>
      <c r="F194" s="1157"/>
      <c r="G194" s="1157"/>
      <c r="H194" s="1157"/>
      <c r="I194" s="1157"/>
      <c r="J194" s="1157"/>
      <c r="K194" s="1157"/>
      <c r="L194" s="1157"/>
      <c r="M194" s="1157"/>
      <c r="N194" s="1157"/>
      <c r="O194" s="1157"/>
      <c r="P194" s="1157"/>
      <c r="Q194" s="1157"/>
      <c r="R194" s="1157"/>
      <c r="S194" s="1157"/>
      <c r="T194" s="1157"/>
      <c r="U194" s="39"/>
      <c r="V194" s="39"/>
      <c r="W194" s="92"/>
      <c r="X194" s="13"/>
    </row>
    <row r="195" spans="1:24" ht="15.75" x14ac:dyDescent="0.25">
      <c r="A195" s="11"/>
      <c r="B195" s="40" t="s">
        <v>268</v>
      </c>
      <c r="C195" s="57"/>
      <c r="D195" s="58"/>
      <c r="E195" s="58"/>
      <c r="F195" s="1158" t="s">
        <v>265</v>
      </c>
      <c r="G195" s="1160" t="s">
        <v>285</v>
      </c>
      <c r="H195" s="58"/>
      <c r="I195" s="58"/>
      <c r="J195" s="58"/>
      <c r="K195" s="1158" t="s">
        <v>265</v>
      </c>
      <c r="L195" s="1160" t="s">
        <v>285</v>
      </c>
      <c r="M195" s="58"/>
      <c r="N195" s="58"/>
      <c r="O195" s="58"/>
      <c r="P195" s="1158" t="s">
        <v>265</v>
      </c>
      <c r="Q195" s="1160" t="s">
        <v>285</v>
      </c>
      <c r="R195" s="58"/>
      <c r="S195" s="58"/>
      <c r="T195" s="59"/>
      <c r="U195" s="1158" t="s">
        <v>265</v>
      </c>
      <c r="V195" s="1160" t="s">
        <v>285</v>
      </c>
      <c r="W195" s="1167" t="s">
        <v>156</v>
      </c>
      <c r="X195" s="1165" t="s">
        <v>157</v>
      </c>
    </row>
    <row r="196" spans="1:24" ht="24" customHeight="1" thickBot="1" x14ac:dyDescent="0.3">
      <c r="A196" s="47" t="s">
        <v>56</v>
      </c>
      <c r="B196" s="41" t="s">
        <v>269</v>
      </c>
      <c r="C196" s="60">
        <v>40003</v>
      </c>
      <c r="D196" s="61">
        <v>40034</v>
      </c>
      <c r="E196" s="61">
        <v>40065</v>
      </c>
      <c r="F196" s="1159"/>
      <c r="G196" s="1161"/>
      <c r="H196" s="61">
        <v>40460</v>
      </c>
      <c r="I196" s="61">
        <v>40126</v>
      </c>
      <c r="J196" s="61">
        <v>40156</v>
      </c>
      <c r="K196" s="1159"/>
      <c r="L196" s="1161"/>
      <c r="M196" s="61">
        <v>40179</v>
      </c>
      <c r="N196" s="61">
        <v>40210</v>
      </c>
      <c r="O196" s="61">
        <v>40238</v>
      </c>
      <c r="P196" s="1159"/>
      <c r="Q196" s="1161"/>
      <c r="R196" s="61">
        <v>40269</v>
      </c>
      <c r="S196" s="61">
        <v>40299</v>
      </c>
      <c r="T196" s="62">
        <v>40330</v>
      </c>
      <c r="U196" s="1159"/>
      <c r="V196" s="1161"/>
      <c r="W196" s="1168"/>
      <c r="X196" s="1166"/>
    </row>
    <row r="197" spans="1:24" ht="20.25" customHeight="1" thickBot="1" x14ac:dyDescent="0.3">
      <c r="A197" s="48" t="s">
        <v>298</v>
      </c>
      <c r="B197" s="42" t="s">
        <v>303</v>
      </c>
      <c r="C197" s="125">
        <v>458.48</v>
      </c>
      <c r="D197" s="125">
        <v>447</v>
      </c>
      <c r="E197" s="117">
        <v>468</v>
      </c>
      <c r="F197" s="63">
        <f t="shared" ref="F197:F211" si="119">SUM(C197:E197)/3</f>
        <v>457.82666666666665</v>
      </c>
      <c r="G197" s="108">
        <f t="shared" ref="G197:G211" si="120">F197*92</f>
        <v>42120.05333333333</v>
      </c>
      <c r="H197" s="117">
        <v>486.45</v>
      </c>
      <c r="I197" s="117">
        <v>485.67</v>
      </c>
      <c r="J197" s="117">
        <v>465.39</v>
      </c>
      <c r="K197" s="63">
        <f t="shared" ref="K197:K211" si="121">SUM(H197:J197)/3</f>
        <v>479.17</v>
      </c>
      <c r="L197" s="108">
        <f t="shared" ref="L197:L211" si="122">K197*92</f>
        <v>44083.64</v>
      </c>
      <c r="M197" s="117">
        <v>450.42</v>
      </c>
      <c r="N197" s="85">
        <v>463.89</v>
      </c>
      <c r="O197" s="85">
        <v>460.45</v>
      </c>
      <c r="P197" s="63">
        <f t="shared" ref="P197:P211" si="123">SUM(M197:O197)/3</f>
        <v>458.25333333333333</v>
      </c>
      <c r="Q197" s="108">
        <f t="shared" ref="Q197:Q211" si="124">P197*90</f>
        <v>41242.800000000003</v>
      </c>
      <c r="R197" s="117">
        <v>432.03</v>
      </c>
      <c r="S197" s="85">
        <v>429.83</v>
      </c>
      <c r="T197" s="135">
        <v>422.4</v>
      </c>
      <c r="U197" s="63">
        <f t="shared" ref="U197:U211" si="125">SUM(R197:T197)/3</f>
        <v>428.08666666666659</v>
      </c>
      <c r="V197" s="111">
        <f t="shared" ref="V197:V211" si="126">U197*91</f>
        <v>38955.886666666658</v>
      </c>
      <c r="W197" s="64">
        <f t="shared" ref="W197:W211" si="127">SUM(C197+D197+E197+H197+I197+J197+M197+N197+O197+R197+S197+T197)/12</f>
        <v>455.83416666666659</v>
      </c>
      <c r="X197" s="65">
        <f t="shared" ref="X197:X210" si="128">W197*365</f>
        <v>166379.4708333333</v>
      </c>
    </row>
    <row r="198" spans="1:24" ht="16.5" thickBot="1" x14ac:dyDescent="0.3">
      <c r="A198" s="49" t="s">
        <v>140</v>
      </c>
      <c r="B198" s="43" t="s">
        <v>271</v>
      </c>
      <c r="C198" s="126">
        <v>107</v>
      </c>
      <c r="D198" s="126">
        <v>110</v>
      </c>
      <c r="E198" s="118">
        <v>112</v>
      </c>
      <c r="F198" s="63">
        <f t="shared" si="119"/>
        <v>109.66666666666667</v>
      </c>
      <c r="G198" s="108">
        <f t="shared" si="120"/>
        <v>10089.333333333334</v>
      </c>
      <c r="H198" s="118">
        <v>115.26</v>
      </c>
      <c r="I198" s="118">
        <v>124.97</v>
      </c>
      <c r="J198" s="118">
        <v>117.65</v>
      </c>
      <c r="K198" s="63">
        <f t="shared" si="121"/>
        <v>119.29333333333334</v>
      </c>
      <c r="L198" s="108">
        <f t="shared" si="122"/>
        <v>10974.986666666668</v>
      </c>
      <c r="M198" s="118">
        <v>124.52</v>
      </c>
      <c r="N198" s="86">
        <v>128.5</v>
      </c>
      <c r="O198" s="86">
        <v>113.94</v>
      </c>
      <c r="P198" s="63">
        <f t="shared" si="123"/>
        <v>122.32</v>
      </c>
      <c r="Q198" s="108">
        <f t="shared" si="124"/>
        <v>11008.8</v>
      </c>
      <c r="R198" s="118">
        <v>112.1</v>
      </c>
      <c r="S198" s="86">
        <v>117.43</v>
      </c>
      <c r="T198" s="89">
        <v>115.97</v>
      </c>
      <c r="U198" s="63">
        <f t="shared" si="125"/>
        <v>115.16666666666667</v>
      </c>
      <c r="V198" s="111">
        <f t="shared" si="126"/>
        <v>10480.166666666668</v>
      </c>
      <c r="W198" s="64">
        <f t="shared" si="127"/>
        <v>116.61166666666666</v>
      </c>
      <c r="X198" s="65">
        <f t="shared" si="128"/>
        <v>42563.258333333331</v>
      </c>
    </row>
    <row r="199" spans="1:24" ht="16.5" thickBot="1" x14ac:dyDescent="0.3">
      <c r="A199" s="50" t="s">
        <v>299</v>
      </c>
      <c r="B199" s="44" t="s">
        <v>304</v>
      </c>
      <c r="C199" s="4">
        <v>425</v>
      </c>
      <c r="D199" s="4">
        <v>441</v>
      </c>
      <c r="E199" s="3">
        <v>444</v>
      </c>
      <c r="F199" s="63">
        <f t="shared" si="119"/>
        <v>436.66666666666669</v>
      </c>
      <c r="G199" s="108">
        <f t="shared" si="120"/>
        <v>40173.333333333336</v>
      </c>
      <c r="H199" s="3">
        <v>458.13</v>
      </c>
      <c r="I199" s="3">
        <v>468.57</v>
      </c>
      <c r="J199" s="3">
        <v>465.19</v>
      </c>
      <c r="K199" s="63">
        <f t="shared" si="121"/>
        <v>463.96333333333337</v>
      </c>
      <c r="L199" s="108">
        <f t="shared" si="122"/>
        <v>42684.626666666671</v>
      </c>
      <c r="M199" s="3">
        <v>454.74</v>
      </c>
      <c r="N199" s="87">
        <v>468.82</v>
      </c>
      <c r="O199" s="87">
        <v>461.19</v>
      </c>
      <c r="P199" s="63">
        <f t="shared" si="123"/>
        <v>461.58333333333331</v>
      </c>
      <c r="Q199" s="108">
        <f t="shared" si="124"/>
        <v>41542.5</v>
      </c>
      <c r="R199" s="3">
        <v>450.83</v>
      </c>
      <c r="S199" s="87">
        <v>442</v>
      </c>
      <c r="T199" s="90">
        <v>422.6</v>
      </c>
      <c r="U199" s="63">
        <f t="shared" si="125"/>
        <v>438.47666666666663</v>
      </c>
      <c r="V199" s="111">
        <f t="shared" si="126"/>
        <v>39901.376666666663</v>
      </c>
      <c r="W199" s="64">
        <f t="shared" si="127"/>
        <v>450.17250000000007</v>
      </c>
      <c r="X199" s="65">
        <f t="shared" si="128"/>
        <v>164312.96250000002</v>
      </c>
    </row>
    <row r="200" spans="1:24" ht="16.5" thickBot="1" x14ac:dyDescent="0.3">
      <c r="A200" s="50" t="s">
        <v>349</v>
      </c>
      <c r="B200" s="44" t="s">
        <v>348</v>
      </c>
      <c r="C200" s="4">
        <v>268.06</v>
      </c>
      <c r="D200" s="4">
        <v>290</v>
      </c>
      <c r="E200" s="3">
        <v>306</v>
      </c>
      <c r="F200" s="63">
        <f t="shared" si="119"/>
        <v>288.02</v>
      </c>
      <c r="G200" s="108">
        <f t="shared" si="120"/>
        <v>26497.839999999997</v>
      </c>
      <c r="H200" s="3">
        <v>320.81</v>
      </c>
      <c r="I200" s="3">
        <v>308.02999999999997</v>
      </c>
      <c r="J200" s="3">
        <v>297.81</v>
      </c>
      <c r="K200" s="63">
        <f t="shared" si="121"/>
        <v>308.88333333333327</v>
      </c>
      <c r="L200" s="108">
        <f t="shared" si="122"/>
        <v>28417.266666666659</v>
      </c>
      <c r="M200" s="3">
        <v>283.74</v>
      </c>
      <c r="N200" s="87">
        <v>274.61</v>
      </c>
      <c r="O200" s="87">
        <v>279.26</v>
      </c>
      <c r="P200" s="63">
        <f t="shared" si="123"/>
        <v>279.20333333333332</v>
      </c>
      <c r="Q200" s="108">
        <f t="shared" si="124"/>
        <v>25128.3</v>
      </c>
      <c r="R200" s="3">
        <v>289.5</v>
      </c>
      <c r="S200" s="87">
        <v>300.13</v>
      </c>
      <c r="T200" s="90">
        <v>306.52999999999997</v>
      </c>
      <c r="U200" s="63">
        <f t="shared" si="125"/>
        <v>298.71999999999997</v>
      </c>
      <c r="V200" s="111">
        <f t="shared" si="126"/>
        <v>27183.519999999997</v>
      </c>
      <c r="W200" s="64">
        <f t="shared" si="127"/>
        <v>293.70666666666665</v>
      </c>
      <c r="X200" s="65">
        <f t="shared" si="128"/>
        <v>107202.93333333332</v>
      </c>
    </row>
    <row r="201" spans="1:24" ht="16.5" thickBot="1" x14ac:dyDescent="0.3">
      <c r="A201" s="51" t="s">
        <v>282</v>
      </c>
      <c r="B201" s="44" t="s">
        <v>306</v>
      </c>
      <c r="C201" s="4">
        <v>370.13</v>
      </c>
      <c r="D201" s="4">
        <v>366</v>
      </c>
      <c r="E201" s="3">
        <v>366</v>
      </c>
      <c r="F201" s="63">
        <f t="shared" si="119"/>
        <v>367.37666666666672</v>
      </c>
      <c r="G201" s="108">
        <f t="shared" si="120"/>
        <v>33798.653333333335</v>
      </c>
      <c r="H201" s="3">
        <v>375.87</v>
      </c>
      <c r="I201" s="3">
        <v>377.57</v>
      </c>
      <c r="J201" s="3">
        <v>389.61</v>
      </c>
      <c r="K201" s="63">
        <f t="shared" si="121"/>
        <v>381.01666666666671</v>
      </c>
      <c r="L201" s="108">
        <f t="shared" si="122"/>
        <v>35053.53333333334</v>
      </c>
      <c r="M201" s="3">
        <v>390.74</v>
      </c>
      <c r="N201" s="87">
        <v>394.11</v>
      </c>
      <c r="O201" s="87">
        <v>400.77</v>
      </c>
      <c r="P201" s="63">
        <f t="shared" si="123"/>
        <v>395.20666666666665</v>
      </c>
      <c r="Q201" s="108">
        <f t="shared" si="124"/>
        <v>35568.6</v>
      </c>
      <c r="R201" s="3">
        <v>396.73</v>
      </c>
      <c r="S201" s="87">
        <v>378.57</v>
      </c>
      <c r="T201" s="90">
        <v>367.73</v>
      </c>
      <c r="U201" s="63">
        <f t="shared" si="125"/>
        <v>381.01</v>
      </c>
      <c r="V201" s="111">
        <f t="shared" si="126"/>
        <v>34671.909999999996</v>
      </c>
      <c r="W201" s="64">
        <f t="shared" si="127"/>
        <v>381.15249999999997</v>
      </c>
      <c r="X201" s="65">
        <f t="shared" si="128"/>
        <v>139120.66249999998</v>
      </c>
    </row>
    <row r="202" spans="1:24" ht="16.5" thickBot="1" x14ac:dyDescent="0.3">
      <c r="A202" s="50" t="s">
        <v>16</v>
      </c>
      <c r="B202" s="44" t="s">
        <v>275</v>
      </c>
      <c r="C202" s="4">
        <v>54.194000000000003</v>
      </c>
      <c r="D202" s="4">
        <v>55</v>
      </c>
      <c r="E202" s="3">
        <v>61</v>
      </c>
      <c r="F202" s="63">
        <f t="shared" si="119"/>
        <v>56.731333333333339</v>
      </c>
      <c r="G202" s="108">
        <f t="shared" si="120"/>
        <v>5219.282666666667</v>
      </c>
      <c r="H202" s="3">
        <v>66.096999999999994</v>
      </c>
      <c r="I202" s="3">
        <v>61.832999999999998</v>
      </c>
      <c r="J202" s="3">
        <v>59.805999999999997</v>
      </c>
      <c r="K202" s="63">
        <f t="shared" si="121"/>
        <v>62.578666666666663</v>
      </c>
      <c r="L202" s="108">
        <f t="shared" si="122"/>
        <v>5757.2373333333326</v>
      </c>
      <c r="M202" s="3">
        <v>68.129000000000005</v>
      </c>
      <c r="N202" s="87">
        <v>68.412999999999997</v>
      </c>
      <c r="O202" s="87">
        <v>67.677000000000007</v>
      </c>
      <c r="P202" s="63">
        <f t="shared" si="123"/>
        <v>68.072999999999993</v>
      </c>
      <c r="Q202" s="108">
        <f t="shared" si="124"/>
        <v>6126.57</v>
      </c>
      <c r="R202" s="3">
        <v>61.633000000000003</v>
      </c>
      <c r="S202" s="87">
        <v>51.5</v>
      </c>
      <c r="T202" s="90">
        <v>48.27</v>
      </c>
      <c r="U202" s="63">
        <f t="shared" si="125"/>
        <v>53.801000000000009</v>
      </c>
      <c r="V202" s="111">
        <f t="shared" si="126"/>
        <v>4895.8910000000005</v>
      </c>
      <c r="W202" s="64">
        <f t="shared" si="127"/>
        <v>60.295999999999999</v>
      </c>
      <c r="X202" s="65">
        <f t="shared" si="128"/>
        <v>22008.04</v>
      </c>
    </row>
    <row r="203" spans="1:24" ht="16.5" thickBot="1" x14ac:dyDescent="0.3">
      <c r="A203" s="50" t="s">
        <v>17</v>
      </c>
      <c r="B203" s="44" t="s">
        <v>307</v>
      </c>
      <c r="C203" s="4">
        <v>188.19</v>
      </c>
      <c r="D203" s="4">
        <v>215</v>
      </c>
      <c r="E203" s="3">
        <v>228</v>
      </c>
      <c r="F203" s="63">
        <f t="shared" si="119"/>
        <v>210.39666666666668</v>
      </c>
      <c r="G203" s="108">
        <f t="shared" si="120"/>
        <v>19356.493333333336</v>
      </c>
      <c r="H203" s="3">
        <v>220.16</v>
      </c>
      <c r="I203" s="3">
        <v>218.23</v>
      </c>
      <c r="J203" s="3">
        <v>211.42</v>
      </c>
      <c r="K203" s="63">
        <f t="shared" si="121"/>
        <v>216.60333333333332</v>
      </c>
      <c r="L203" s="108">
        <f t="shared" si="122"/>
        <v>19927.506666666664</v>
      </c>
      <c r="M203" s="3">
        <v>211.23</v>
      </c>
      <c r="N203" s="87">
        <v>233.18</v>
      </c>
      <c r="O203" s="87">
        <v>224.84</v>
      </c>
      <c r="P203" s="63">
        <f t="shared" si="123"/>
        <v>223.08333333333334</v>
      </c>
      <c r="Q203" s="108">
        <f t="shared" si="124"/>
        <v>20077.5</v>
      </c>
      <c r="R203" s="3">
        <v>204.8</v>
      </c>
      <c r="S203" s="87">
        <v>206.77</v>
      </c>
      <c r="T203" s="90">
        <v>196.67</v>
      </c>
      <c r="U203" s="63">
        <f t="shared" si="125"/>
        <v>202.74666666666667</v>
      </c>
      <c r="V203" s="111">
        <f t="shared" si="126"/>
        <v>18449.946666666667</v>
      </c>
      <c r="W203" s="64">
        <f t="shared" si="127"/>
        <v>213.20750000000001</v>
      </c>
      <c r="X203" s="65">
        <f t="shared" si="128"/>
        <v>77820.737500000003</v>
      </c>
    </row>
    <row r="204" spans="1:24" ht="16.5" thickBot="1" x14ac:dyDescent="0.3">
      <c r="A204" s="50" t="s">
        <v>142</v>
      </c>
      <c r="B204" s="44" t="s">
        <v>308</v>
      </c>
      <c r="C204" s="4">
        <v>93.257999999999996</v>
      </c>
      <c r="D204" s="4">
        <v>102</v>
      </c>
      <c r="E204" s="3">
        <v>113</v>
      </c>
      <c r="F204" s="63">
        <f t="shared" si="119"/>
        <v>102.75266666666666</v>
      </c>
      <c r="G204" s="108">
        <f t="shared" si="120"/>
        <v>9453.2453333333324</v>
      </c>
      <c r="H204" s="3">
        <v>111.74</v>
      </c>
      <c r="I204" s="3">
        <v>109.97</v>
      </c>
      <c r="J204" s="3">
        <v>108.94</v>
      </c>
      <c r="K204" s="63">
        <f t="shared" si="121"/>
        <v>110.21666666666665</v>
      </c>
      <c r="L204" s="108">
        <f t="shared" si="122"/>
        <v>10139.933333333332</v>
      </c>
      <c r="M204" s="3">
        <v>112.16</v>
      </c>
      <c r="N204" s="87">
        <v>106.54</v>
      </c>
      <c r="O204" s="87">
        <v>105.13</v>
      </c>
      <c r="P204" s="63">
        <f t="shared" si="123"/>
        <v>107.94333333333333</v>
      </c>
      <c r="Q204" s="108">
        <f t="shared" si="124"/>
        <v>9714.9</v>
      </c>
      <c r="R204" s="3">
        <v>106.23</v>
      </c>
      <c r="S204" s="87">
        <v>102.87</v>
      </c>
      <c r="T204" s="90">
        <v>107.07</v>
      </c>
      <c r="U204" s="63">
        <f t="shared" si="125"/>
        <v>105.39</v>
      </c>
      <c r="V204" s="111">
        <f t="shared" si="126"/>
        <v>9590.49</v>
      </c>
      <c r="W204" s="64">
        <f t="shared" si="127"/>
        <v>106.57566666666663</v>
      </c>
      <c r="X204" s="65">
        <f t="shared" si="128"/>
        <v>38900.118333333325</v>
      </c>
    </row>
    <row r="205" spans="1:24" ht="16.5" thickBot="1" x14ac:dyDescent="0.3">
      <c r="A205" s="51" t="s">
        <v>283</v>
      </c>
      <c r="B205" s="44" t="s">
        <v>315</v>
      </c>
      <c r="C205" s="4">
        <v>494.49</v>
      </c>
      <c r="D205" s="4">
        <v>502</v>
      </c>
      <c r="E205" s="3">
        <v>502</v>
      </c>
      <c r="F205" s="63">
        <f t="shared" si="119"/>
        <v>499.49666666666667</v>
      </c>
      <c r="G205" s="108">
        <f t="shared" si="120"/>
        <v>45953.693333333336</v>
      </c>
      <c r="H205" s="3">
        <f>331.61+175.77</f>
        <v>507.38</v>
      </c>
      <c r="I205" s="3">
        <f>332.7+175.63</f>
        <v>508.33</v>
      </c>
      <c r="J205" s="3">
        <f>318.94+175.81</f>
        <v>494.75</v>
      </c>
      <c r="K205" s="63">
        <f t="shared" si="121"/>
        <v>503.48666666666668</v>
      </c>
      <c r="L205" s="108">
        <f t="shared" si="122"/>
        <v>46320.773333333331</v>
      </c>
      <c r="M205" s="3">
        <f>327.19+175.65</f>
        <v>502.84000000000003</v>
      </c>
      <c r="N205" s="87">
        <f>321.29+175.71</f>
        <v>497</v>
      </c>
      <c r="O205" s="87">
        <f>314.71+174.97</f>
        <v>489.67999999999995</v>
      </c>
      <c r="P205" s="63">
        <f t="shared" si="123"/>
        <v>496.50666666666666</v>
      </c>
      <c r="Q205" s="108">
        <f t="shared" si="124"/>
        <v>44685.599999999999</v>
      </c>
      <c r="R205" s="3">
        <f>327.13+175.83</f>
        <v>502.96000000000004</v>
      </c>
      <c r="S205" s="87">
        <f>325.87+175.63</f>
        <v>501.5</v>
      </c>
      <c r="T205" s="90">
        <f>323.3+175.53</f>
        <v>498.83000000000004</v>
      </c>
      <c r="U205" s="63">
        <f t="shared" si="125"/>
        <v>501.09666666666664</v>
      </c>
      <c r="V205" s="111">
        <f t="shared" si="126"/>
        <v>45599.796666666662</v>
      </c>
      <c r="W205" s="64">
        <f t="shared" si="127"/>
        <v>500.1466666666667</v>
      </c>
      <c r="X205" s="65">
        <f t="shared" si="128"/>
        <v>182553.53333333335</v>
      </c>
    </row>
    <row r="206" spans="1:24" ht="16.5" thickBot="1" x14ac:dyDescent="0.3">
      <c r="A206" s="50" t="s">
        <v>151</v>
      </c>
      <c r="B206" s="121" t="s">
        <v>309</v>
      </c>
      <c r="C206" s="4">
        <v>119.29</v>
      </c>
      <c r="D206" s="4">
        <v>119</v>
      </c>
      <c r="E206" s="3">
        <v>117</v>
      </c>
      <c r="F206" s="63">
        <f t="shared" si="119"/>
        <v>118.43</v>
      </c>
      <c r="G206" s="108">
        <f t="shared" si="120"/>
        <v>10895.560000000001</v>
      </c>
      <c r="H206" s="3">
        <v>109.48</v>
      </c>
      <c r="I206" s="3">
        <v>115.37</v>
      </c>
      <c r="J206" s="3">
        <v>107.9</v>
      </c>
      <c r="K206" s="63">
        <f t="shared" si="121"/>
        <v>110.91666666666667</v>
      </c>
      <c r="L206" s="108">
        <f t="shared" si="122"/>
        <v>10204.333333333334</v>
      </c>
      <c r="M206" s="3">
        <v>105.03</v>
      </c>
      <c r="N206" s="87">
        <v>110.5</v>
      </c>
      <c r="O206" s="87">
        <v>115.77</v>
      </c>
      <c r="P206" s="63">
        <f t="shared" si="123"/>
        <v>110.43333333333334</v>
      </c>
      <c r="Q206" s="108">
        <f t="shared" si="124"/>
        <v>9939</v>
      </c>
      <c r="R206" s="3">
        <v>124.97</v>
      </c>
      <c r="S206" s="87">
        <v>123.23</v>
      </c>
      <c r="T206" s="90">
        <v>125.17</v>
      </c>
      <c r="U206" s="63">
        <f t="shared" si="125"/>
        <v>124.45666666666666</v>
      </c>
      <c r="V206" s="111">
        <f t="shared" si="126"/>
        <v>11325.556666666665</v>
      </c>
      <c r="W206" s="64">
        <f t="shared" si="127"/>
        <v>116.05916666666667</v>
      </c>
      <c r="X206" s="65">
        <f t="shared" si="128"/>
        <v>42361.595833333333</v>
      </c>
    </row>
    <row r="207" spans="1:24" ht="16.5" thickBot="1" x14ac:dyDescent="0.3">
      <c r="A207" s="49" t="s">
        <v>20</v>
      </c>
      <c r="B207" s="43" t="s">
        <v>310</v>
      </c>
      <c r="C207" s="126">
        <v>558.1</v>
      </c>
      <c r="D207" s="126">
        <v>557</v>
      </c>
      <c r="E207" s="118">
        <v>556</v>
      </c>
      <c r="F207" s="63">
        <f t="shared" si="119"/>
        <v>557.0333333333333</v>
      </c>
      <c r="G207" s="108">
        <f t="shared" si="120"/>
        <v>51247.066666666666</v>
      </c>
      <c r="H207" s="118">
        <v>557.32000000000005</v>
      </c>
      <c r="I207" s="3">
        <v>554.23</v>
      </c>
      <c r="J207" s="118">
        <v>523.16</v>
      </c>
      <c r="K207" s="63">
        <f t="shared" si="121"/>
        <v>544.90333333333331</v>
      </c>
      <c r="L207" s="111">
        <f t="shared" si="122"/>
        <v>50131.106666666667</v>
      </c>
      <c r="M207" s="3">
        <v>551.94000000000005</v>
      </c>
      <c r="N207" s="86">
        <v>544.54</v>
      </c>
      <c r="O207" s="86">
        <v>544.94000000000005</v>
      </c>
      <c r="P207" s="63">
        <f t="shared" si="123"/>
        <v>547.14</v>
      </c>
      <c r="Q207" s="108">
        <f t="shared" si="124"/>
        <v>49242.6</v>
      </c>
      <c r="R207" s="3">
        <v>548.92999999999995</v>
      </c>
      <c r="S207" s="86">
        <v>543.92999999999995</v>
      </c>
      <c r="T207" s="89">
        <v>549</v>
      </c>
      <c r="U207" s="63">
        <f t="shared" si="125"/>
        <v>547.28666666666663</v>
      </c>
      <c r="V207" s="111">
        <f t="shared" si="126"/>
        <v>49803.086666666662</v>
      </c>
      <c r="W207" s="64">
        <f t="shared" si="127"/>
        <v>549.09083333333331</v>
      </c>
      <c r="X207" s="65">
        <f t="shared" si="128"/>
        <v>200418.15416666665</v>
      </c>
    </row>
    <row r="208" spans="1:24" ht="16.5" thickBot="1" x14ac:dyDescent="0.3">
      <c r="A208" s="51" t="s">
        <v>284</v>
      </c>
      <c r="B208" s="44" t="s">
        <v>311</v>
      </c>
      <c r="C208" s="4">
        <v>375.78</v>
      </c>
      <c r="D208" s="4">
        <v>379</v>
      </c>
      <c r="E208" s="3">
        <v>366</v>
      </c>
      <c r="F208" s="63">
        <f t="shared" si="119"/>
        <v>373.59333333333331</v>
      </c>
      <c r="G208" s="108">
        <f t="shared" si="120"/>
        <v>34370.586666666662</v>
      </c>
      <c r="H208" s="3">
        <f>259.71+116.16</f>
        <v>375.87</v>
      </c>
      <c r="I208" s="3">
        <f>262.17+112.1</f>
        <v>374.27</v>
      </c>
      <c r="J208" s="3">
        <f>253.42+110.48</f>
        <v>363.9</v>
      </c>
      <c r="K208" s="63">
        <f t="shared" si="121"/>
        <v>371.34666666666664</v>
      </c>
      <c r="L208" s="108">
        <f t="shared" si="122"/>
        <v>34163.893333333333</v>
      </c>
      <c r="M208" s="3">
        <f>258.71+118.81</f>
        <v>377.52</v>
      </c>
      <c r="N208" s="87">
        <f>253.21+120.21</f>
        <v>373.42</v>
      </c>
      <c r="O208" s="87">
        <f>258.97+124.06</f>
        <v>383.03000000000003</v>
      </c>
      <c r="P208" s="63">
        <f t="shared" si="123"/>
        <v>377.99</v>
      </c>
      <c r="Q208" s="108">
        <f t="shared" si="124"/>
        <v>34019.1</v>
      </c>
      <c r="R208" s="3">
        <f>281.43+127.87</f>
        <v>409.3</v>
      </c>
      <c r="S208" s="87">
        <f>285.5+122.7</f>
        <v>408.2</v>
      </c>
      <c r="T208" s="90">
        <f>275.53+120.6</f>
        <v>396.13</v>
      </c>
      <c r="U208" s="63">
        <f t="shared" si="125"/>
        <v>404.54333333333335</v>
      </c>
      <c r="V208" s="111">
        <f t="shared" si="126"/>
        <v>36813.443333333336</v>
      </c>
      <c r="W208" s="64">
        <f t="shared" si="127"/>
        <v>381.8683333333334</v>
      </c>
      <c r="X208" s="65">
        <f t="shared" si="128"/>
        <v>139381.94166666668</v>
      </c>
    </row>
    <row r="209" spans="1:24" ht="16.5" thickBot="1" x14ac:dyDescent="0.3">
      <c r="A209" s="50" t="s">
        <v>143</v>
      </c>
      <c r="B209" s="44" t="s">
        <v>312</v>
      </c>
      <c r="C209" s="4">
        <v>125.77</v>
      </c>
      <c r="D209" s="4">
        <v>126</v>
      </c>
      <c r="E209" s="3">
        <v>124</v>
      </c>
      <c r="F209" s="63">
        <f t="shared" si="119"/>
        <v>125.25666666666666</v>
      </c>
      <c r="G209" s="108">
        <f t="shared" si="120"/>
        <v>11523.613333333333</v>
      </c>
      <c r="H209" s="3">
        <v>124.84</v>
      </c>
      <c r="I209" s="3">
        <v>127.93</v>
      </c>
      <c r="J209" s="3">
        <v>115.35</v>
      </c>
      <c r="K209" s="63">
        <f t="shared" si="121"/>
        <v>122.70666666666666</v>
      </c>
      <c r="L209" s="108">
        <f t="shared" si="122"/>
        <v>11289.013333333332</v>
      </c>
      <c r="M209" s="3">
        <v>125.16</v>
      </c>
      <c r="N209" s="87">
        <v>135.43</v>
      </c>
      <c r="O209" s="87">
        <v>140.29</v>
      </c>
      <c r="P209" s="63">
        <f t="shared" si="123"/>
        <v>133.62666666666667</v>
      </c>
      <c r="Q209" s="108">
        <f t="shared" si="124"/>
        <v>12026.4</v>
      </c>
      <c r="R209" s="3">
        <v>131.63</v>
      </c>
      <c r="S209" s="87">
        <v>132.87</v>
      </c>
      <c r="T209" s="90">
        <v>133.30000000000001</v>
      </c>
      <c r="U209" s="63">
        <f t="shared" si="125"/>
        <v>132.6</v>
      </c>
      <c r="V209" s="111">
        <f t="shared" si="126"/>
        <v>12066.6</v>
      </c>
      <c r="W209" s="64">
        <f t="shared" si="127"/>
        <v>128.54749999999999</v>
      </c>
      <c r="X209" s="65">
        <f t="shared" si="128"/>
        <v>46919.837499999994</v>
      </c>
    </row>
    <row r="210" spans="1:24" ht="16.5" thickBot="1" x14ac:dyDescent="0.3">
      <c r="A210" s="50" t="s">
        <v>144</v>
      </c>
      <c r="B210" s="34"/>
      <c r="C210" s="4">
        <v>0</v>
      </c>
      <c r="D210" s="4">
        <v>0</v>
      </c>
      <c r="E210" s="18"/>
      <c r="F210" s="67">
        <f t="shared" si="119"/>
        <v>0</v>
      </c>
      <c r="G210" s="108">
        <f t="shared" si="120"/>
        <v>0</v>
      </c>
      <c r="H210" s="18"/>
      <c r="I210" s="18"/>
      <c r="J210" s="18"/>
      <c r="K210" s="67">
        <f t="shared" si="121"/>
        <v>0</v>
      </c>
      <c r="L210" s="108">
        <f t="shared" si="122"/>
        <v>0</v>
      </c>
      <c r="M210" s="18"/>
      <c r="N210" s="4"/>
      <c r="O210" s="87"/>
      <c r="P210" s="67">
        <f t="shared" si="123"/>
        <v>0</v>
      </c>
      <c r="Q210" s="108">
        <f t="shared" si="124"/>
        <v>0</v>
      </c>
      <c r="R210" s="3"/>
      <c r="S210" s="3"/>
      <c r="T210" s="4"/>
      <c r="U210" s="67">
        <f t="shared" si="125"/>
        <v>0</v>
      </c>
      <c r="V210" s="112">
        <f t="shared" si="126"/>
        <v>0</v>
      </c>
      <c r="W210" s="137">
        <f t="shared" si="127"/>
        <v>0</v>
      </c>
      <c r="X210" s="65">
        <f t="shared" si="128"/>
        <v>0</v>
      </c>
    </row>
    <row r="211" spans="1:24" ht="16.5" thickBot="1" x14ac:dyDescent="0.3">
      <c r="A211" s="46" t="s">
        <v>152</v>
      </c>
      <c r="B211" s="35"/>
      <c r="C211" s="80">
        <f>SUM(C197:C210)</f>
        <v>3637.7419999999997</v>
      </c>
      <c r="D211" s="80">
        <f>SUM(D197:D210)</f>
        <v>3709</v>
      </c>
      <c r="E211" s="80">
        <f>SUM(E197:E210)</f>
        <v>3763</v>
      </c>
      <c r="F211" s="68">
        <f t="shared" si="119"/>
        <v>3703.2473333333332</v>
      </c>
      <c r="G211" s="108">
        <f t="shared" si="120"/>
        <v>340698.75466666667</v>
      </c>
      <c r="H211" s="94">
        <f>SUM(H197:H210)</f>
        <v>3829.4070000000002</v>
      </c>
      <c r="I211" s="80">
        <f>SUM(I197:I210)</f>
        <v>3834.9729999999995</v>
      </c>
      <c r="J211" s="80">
        <f>SUM(J197:J210)</f>
        <v>3720.8760000000002</v>
      </c>
      <c r="K211" s="68">
        <f t="shared" si="121"/>
        <v>3795.085333333333</v>
      </c>
      <c r="L211" s="119">
        <f t="shared" si="122"/>
        <v>349147.85066666664</v>
      </c>
      <c r="M211" s="9">
        <f>SUM(M197:M210)</f>
        <v>3758.1690000000003</v>
      </c>
      <c r="N211" s="80">
        <f>SUM(N197:N210)</f>
        <v>3798.9530000000004</v>
      </c>
      <c r="O211" s="80">
        <f>SUM(O197:O210)</f>
        <v>3786.9669999999996</v>
      </c>
      <c r="P211" s="68">
        <f t="shared" si="123"/>
        <v>3781.3629999999998</v>
      </c>
      <c r="Q211" s="119">
        <f t="shared" si="124"/>
        <v>340322.67</v>
      </c>
      <c r="R211" s="94">
        <f>SUM(R197:R210)</f>
        <v>3771.643</v>
      </c>
      <c r="S211" s="80">
        <f>SUM(S197:S210)</f>
        <v>3738.8299999999995</v>
      </c>
      <c r="T211" s="81">
        <f>SUM(T197:T210)</f>
        <v>3689.6700000000005</v>
      </c>
      <c r="U211" s="68">
        <f t="shared" si="125"/>
        <v>3733.3809999999999</v>
      </c>
      <c r="V211" s="120">
        <f t="shared" si="126"/>
        <v>339737.67099999997</v>
      </c>
      <c r="W211" s="138">
        <f t="shared" si="127"/>
        <v>3753.2691666666665</v>
      </c>
      <c r="X211" s="69">
        <f>SUM(X197:X210)</f>
        <v>1369943.2458333331</v>
      </c>
    </row>
    <row r="212" spans="1:24" ht="16.5" thickBot="1" x14ac:dyDescent="0.3">
      <c r="A212" s="46" t="s">
        <v>153</v>
      </c>
      <c r="B212" s="35"/>
      <c r="C212" s="70"/>
      <c r="D212" s="70"/>
      <c r="E212" s="71"/>
      <c r="F212" s="98"/>
      <c r="G212" s="98"/>
      <c r="H212" s="72"/>
      <c r="I212" s="70" t="s">
        <v>258</v>
      </c>
      <c r="J212" s="71"/>
      <c r="K212" s="97"/>
      <c r="L212" s="97"/>
      <c r="M212" s="72"/>
      <c r="N212" s="70"/>
      <c r="O212" s="71"/>
      <c r="P212" s="97"/>
      <c r="Q212" s="97"/>
      <c r="R212" s="72"/>
      <c r="S212" s="70"/>
      <c r="T212" s="71"/>
      <c r="U212" s="71"/>
      <c r="V212" s="70"/>
      <c r="W212" s="96"/>
      <c r="X212" s="69" t="s">
        <v>0</v>
      </c>
    </row>
    <row r="213" spans="1:24" ht="16.5" customHeight="1" thickBot="1" x14ac:dyDescent="0.3">
      <c r="A213" s="49" t="s">
        <v>145</v>
      </c>
      <c r="B213" s="33"/>
      <c r="C213" s="6">
        <v>688</v>
      </c>
      <c r="D213" s="6">
        <v>706</v>
      </c>
      <c r="E213" s="6">
        <v>719</v>
      </c>
      <c r="F213" s="63">
        <f t="shared" ref="F213:F219" si="129">SUM(C213:E213)/3</f>
        <v>704.33333333333337</v>
      </c>
      <c r="G213" s="108">
        <f t="shared" ref="G213:G219" si="130">F213*92</f>
        <v>64798.666666666672</v>
      </c>
      <c r="H213" s="6">
        <v>718.35</v>
      </c>
      <c r="I213" s="6">
        <v>722</v>
      </c>
      <c r="J213" s="6">
        <v>698.06</v>
      </c>
      <c r="K213" s="63">
        <f t="shared" ref="K213:K220" si="131">SUM(H213:J213)/3</f>
        <v>712.80333333333328</v>
      </c>
      <c r="L213" s="108">
        <f t="shared" ref="L213:L219" si="132">K213*92</f>
        <v>65577.906666666662</v>
      </c>
      <c r="M213" s="6">
        <v>708.45</v>
      </c>
      <c r="N213" s="73">
        <v>729.86</v>
      </c>
      <c r="O213" s="73">
        <v>725.58</v>
      </c>
      <c r="P213" s="63">
        <f t="shared" ref="P213:P220" si="133">SUM(M213:O213)/3</f>
        <v>721.29666666666662</v>
      </c>
      <c r="Q213" s="108">
        <f t="shared" ref="Q213:Q219" si="134">P213*90</f>
        <v>64916.7</v>
      </c>
      <c r="R213" s="6">
        <v>736.43</v>
      </c>
      <c r="S213" s="73">
        <v>737.19</v>
      </c>
      <c r="T213" s="74">
        <v>743.2</v>
      </c>
      <c r="U213" s="63">
        <f t="shared" ref="U213:U220" si="135">SUM(R213:T213)/3</f>
        <v>738.93999999999994</v>
      </c>
      <c r="V213" s="111">
        <f t="shared" ref="V213:V219" si="136">U213*91</f>
        <v>67243.539999999994</v>
      </c>
      <c r="W213" s="64">
        <f t="shared" ref="W213:W218" si="137">SUM(C213+D213+E213+H213+I213+J213+M213+N213+O213+R213+S213+T213)/12</f>
        <v>719.34333333333336</v>
      </c>
      <c r="X213" s="65">
        <f t="shared" ref="X213:X218" si="138">W213*365</f>
        <v>262560.31666666665</v>
      </c>
    </row>
    <row r="214" spans="1:24" ht="16.5" thickBot="1" x14ac:dyDescent="0.3">
      <c r="A214" s="50" t="s">
        <v>146</v>
      </c>
      <c r="B214" s="34"/>
      <c r="C214" s="5">
        <v>11</v>
      </c>
      <c r="D214" s="5">
        <v>10</v>
      </c>
      <c r="E214" s="5">
        <v>10</v>
      </c>
      <c r="F214" s="63">
        <f t="shared" si="129"/>
        <v>10.333333333333334</v>
      </c>
      <c r="G214" s="108">
        <f t="shared" si="130"/>
        <v>950.66666666666674</v>
      </c>
      <c r="H214" s="5">
        <v>9.58</v>
      </c>
      <c r="I214" s="5">
        <v>11</v>
      </c>
      <c r="J214" s="5">
        <v>8.9700000000000006</v>
      </c>
      <c r="K214" s="63">
        <f t="shared" si="131"/>
        <v>9.85</v>
      </c>
      <c r="L214" s="108">
        <f t="shared" si="132"/>
        <v>906.19999999999993</v>
      </c>
      <c r="M214" s="5">
        <v>11.03</v>
      </c>
      <c r="N214" s="75">
        <v>11</v>
      </c>
      <c r="O214" s="75">
        <v>10.29</v>
      </c>
      <c r="P214" s="63">
        <f t="shared" si="133"/>
        <v>10.773333333333333</v>
      </c>
      <c r="Q214" s="108">
        <f t="shared" si="134"/>
        <v>969.6</v>
      </c>
      <c r="R214" s="5">
        <v>9.43</v>
      </c>
      <c r="S214" s="75">
        <v>10.35</v>
      </c>
      <c r="T214" s="76">
        <v>11</v>
      </c>
      <c r="U214" s="63">
        <f t="shared" si="135"/>
        <v>10.26</v>
      </c>
      <c r="V214" s="111">
        <f t="shared" si="136"/>
        <v>933.66</v>
      </c>
      <c r="W214" s="64">
        <f t="shared" si="137"/>
        <v>10.304166666666667</v>
      </c>
      <c r="X214" s="66">
        <f t="shared" si="138"/>
        <v>3761.0208333333335</v>
      </c>
    </row>
    <row r="215" spans="1:24" ht="16.5" thickBot="1" x14ac:dyDescent="0.3">
      <c r="A215" s="50" t="s">
        <v>148</v>
      </c>
      <c r="B215" s="34"/>
      <c r="C215" s="5">
        <v>28</v>
      </c>
      <c r="D215" s="5">
        <v>35</v>
      </c>
      <c r="E215" s="5">
        <v>35</v>
      </c>
      <c r="F215" s="63">
        <f t="shared" si="129"/>
        <v>32.666666666666664</v>
      </c>
      <c r="G215" s="108">
        <f t="shared" si="130"/>
        <v>3005.333333333333</v>
      </c>
      <c r="H215" s="5">
        <v>36</v>
      </c>
      <c r="I215" s="5">
        <v>36</v>
      </c>
      <c r="J215" s="5">
        <v>35</v>
      </c>
      <c r="K215" s="63">
        <f t="shared" si="131"/>
        <v>35.666666666666664</v>
      </c>
      <c r="L215" s="108">
        <f t="shared" si="132"/>
        <v>3281.333333333333</v>
      </c>
      <c r="M215" s="5">
        <v>28</v>
      </c>
      <c r="N215" s="75">
        <v>27</v>
      </c>
      <c r="O215" s="75">
        <v>27</v>
      </c>
      <c r="P215" s="63">
        <f t="shared" si="133"/>
        <v>27.333333333333332</v>
      </c>
      <c r="Q215" s="108">
        <f t="shared" si="134"/>
        <v>2460</v>
      </c>
      <c r="R215" s="5">
        <v>26</v>
      </c>
      <c r="S215" s="75">
        <v>29</v>
      </c>
      <c r="T215" s="76">
        <v>29</v>
      </c>
      <c r="U215" s="63">
        <f t="shared" si="135"/>
        <v>28</v>
      </c>
      <c r="V215" s="111">
        <f t="shared" si="136"/>
        <v>2548</v>
      </c>
      <c r="W215" s="64">
        <f t="shared" si="137"/>
        <v>30.916666666666668</v>
      </c>
      <c r="X215" s="65">
        <f t="shared" si="138"/>
        <v>11284.583333333334</v>
      </c>
    </row>
    <row r="216" spans="1:24" ht="16.5" thickBot="1" x14ac:dyDescent="0.3">
      <c r="A216" s="50" t="s">
        <v>147</v>
      </c>
      <c r="B216" s="34"/>
      <c r="C216" s="5">
        <v>224</v>
      </c>
      <c r="D216" s="5">
        <v>229</v>
      </c>
      <c r="E216" s="5">
        <v>236</v>
      </c>
      <c r="F216" s="63">
        <f t="shared" si="129"/>
        <v>229.66666666666666</v>
      </c>
      <c r="G216" s="108">
        <f t="shared" si="130"/>
        <v>21129.333333333332</v>
      </c>
      <c r="H216" s="5">
        <v>250</v>
      </c>
      <c r="I216" s="5">
        <v>253</v>
      </c>
      <c r="J216" s="5">
        <v>229</v>
      </c>
      <c r="K216" s="63">
        <f t="shared" si="131"/>
        <v>244</v>
      </c>
      <c r="L216" s="108">
        <f t="shared" si="132"/>
        <v>22448</v>
      </c>
      <c r="M216" s="5">
        <v>241</v>
      </c>
      <c r="N216" s="75">
        <v>263</v>
      </c>
      <c r="O216" s="75">
        <v>260</v>
      </c>
      <c r="P216" s="63">
        <f t="shared" si="133"/>
        <v>254.66666666666666</v>
      </c>
      <c r="Q216" s="108">
        <f t="shared" si="134"/>
        <v>22920</v>
      </c>
      <c r="R216" s="5">
        <v>278</v>
      </c>
      <c r="S216" s="75">
        <v>289</v>
      </c>
      <c r="T216" s="76">
        <v>284</v>
      </c>
      <c r="U216" s="63">
        <f t="shared" si="135"/>
        <v>283.66666666666669</v>
      </c>
      <c r="V216" s="111">
        <f t="shared" si="136"/>
        <v>25813.666666666668</v>
      </c>
      <c r="W216" s="64">
        <f t="shared" si="137"/>
        <v>253</v>
      </c>
      <c r="X216" s="66">
        <f t="shared" si="138"/>
        <v>92345</v>
      </c>
    </row>
    <row r="217" spans="1:24" ht="16.5" thickBot="1" x14ac:dyDescent="0.3">
      <c r="A217" s="50" t="s">
        <v>364</v>
      </c>
      <c r="B217" s="34"/>
      <c r="C217" s="5">
        <v>765</v>
      </c>
      <c r="D217" s="5">
        <v>764</v>
      </c>
      <c r="E217" s="5">
        <v>764</v>
      </c>
      <c r="F217" s="63">
        <f t="shared" si="129"/>
        <v>764.33333333333337</v>
      </c>
      <c r="G217" s="108">
        <f t="shared" si="130"/>
        <v>70318.666666666672</v>
      </c>
      <c r="H217" s="5">
        <v>756</v>
      </c>
      <c r="I217" s="5">
        <v>750</v>
      </c>
      <c r="J217" s="5">
        <v>809</v>
      </c>
      <c r="K217" s="63">
        <f t="shared" si="131"/>
        <v>771.66666666666663</v>
      </c>
      <c r="L217" s="108">
        <f t="shared" si="132"/>
        <v>70993.333333333328</v>
      </c>
      <c r="M217" s="5">
        <v>830</v>
      </c>
      <c r="N217" s="75">
        <v>849</v>
      </c>
      <c r="O217" s="75">
        <v>867</v>
      </c>
      <c r="P217" s="63">
        <f t="shared" si="133"/>
        <v>848.66666666666663</v>
      </c>
      <c r="Q217" s="108">
        <f t="shared" si="134"/>
        <v>76380</v>
      </c>
      <c r="R217" s="5">
        <v>879</v>
      </c>
      <c r="S217" s="75">
        <v>892</v>
      </c>
      <c r="T217" s="76">
        <v>899</v>
      </c>
      <c r="U217" s="63">
        <f t="shared" si="135"/>
        <v>890</v>
      </c>
      <c r="V217" s="111">
        <f t="shared" si="136"/>
        <v>80990</v>
      </c>
      <c r="W217" s="64">
        <f t="shared" si="137"/>
        <v>818.66666666666663</v>
      </c>
      <c r="X217" s="65">
        <f t="shared" si="138"/>
        <v>298813.33333333331</v>
      </c>
    </row>
    <row r="218" spans="1:24" ht="16.5" thickBot="1" x14ac:dyDescent="0.3">
      <c r="A218" s="50" t="s">
        <v>150</v>
      </c>
      <c r="B218" s="34"/>
      <c r="C218" s="5">
        <v>17</v>
      </c>
      <c r="D218" s="5">
        <v>17</v>
      </c>
      <c r="E218" s="5">
        <v>16</v>
      </c>
      <c r="F218" s="63">
        <f t="shared" si="129"/>
        <v>16.666666666666668</v>
      </c>
      <c r="G218" s="108">
        <f t="shared" si="130"/>
        <v>1533.3333333333335</v>
      </c>
      <c r="H218" s="5">
        <v>16</v>
      </c>
      <c r="I218" s="5">
        <v>16</v>
      </c>
      <c r="J218" s="5">
        <v>16</v>
      </c>
      <c r="K218" s="63">
        <f t="shared" si="131"/>
        <v>16</v>
      </c>
      <c r="L218" s="108">
        <f t="shared" si="132"/>
        <v>1472</v>
      </c>
      <c r="M218" s="5">
        <v>16</v>
      </c>
      <c r="N218" s="75">
        <v>16</v>
      </c>
      <c r="O218" s="75">
        <v>16</v>
      </c>
      <c r="P218" s="63">
        <f t="shared" si="133"/>
        <v>16</v>
      </c>
      <c r="Q218" s="108">
        <f t="shared" si="134"/>
        <v>1440</v>
      </c>
      <c r="R218" s="5">
        <v>17</v>
      </c>
      <c r="S218" s="75">
        <v>19</v>
      </c>
      <c r="T218" s="76">
        <v>19</v>
      </c>
      <c r="U218" s="63">
        <f t="shared" si="135"/>
        <v>18.333333333333332</v>
      </c>
      <c r="V218" s="112">
        <f t="shared" si="136"/>
        <v>1668.3333333333333</v>
      </c>
      <c r="W218" s="64">
        <f t="shared" si="137"/>
        <v>16.75</v>
      </c>
      <c r="X218" s="66">
        <f t="shared" si="138"/>
        <v>6113.75</v>
      </c>
    </row>
    <row r="219" spans="1:24" ht="16.5" thickBot="1" x14ac:dyDescent="0.3">
      <c r="A219" s="53" t="s">
        <v>154</v>
      </c>
      <c r="B219" s="37"/>
      <c r="C219" s="80">
        <f>SUM(C213:C218)</f>
        <v>1733</v>
      </c>
      <c r="D219" s="80">
        <f>SUM(D213:D218)</f>
        <v>1761</v>
      </c>
      <c r="E219" s="80">
        <f>SUM(E213:E218)</f>
        <v>1780</v>
      </c>
      <c r="F219" s="68">
        <f t="shared" si="129"/>
        <v>1758</v>
      </c>
      <c r="G219" s="108">
        <f t="shared" si="130"/>
        <v>161736</v>
      </c>
      <c r="H219" s="94">
        <f>SUM(H213:H218)</f>
        <v>1785.93</v>
      </c>
      <c r="I219" s="80">
        <f>SUM(I213:I218)</f>
        <v>1788</v>
      </c>
      <c r="J219" s="80">
        <f>SUM(J213:J218)</f>
        <v>1796.03</v>
      </c>
      <c r="K219" s="68">
        <f t="shared" si="131"/>
        <v>1789.9866666666667</v>
      </c>
      <c r="L219" s="119">
        <f t="shared" si="132"/>
        <v>164678.77333333335</v>
      </c>
      <c r="M219" s="94">
        <f>SUM(M213:M218)</f>
        <v>1834.48</v>
      </c>
      <c r="N219" s="80">
        <f>SUM(N213:N218)</f>
        <v>1895.8600000000001</v>
      </c>
      <c r="O219" s="80">
        <f>SUM(O213:O218)</f>
        <v>1905.87</v>
      </c>
      <c r="P219" s="68">
        <f t="shared" si="133"/>
        <v>1878.7366666666667</v>
      </c>
      <c r="Q219" s="108">
        <f t="shared" si="134"/>
        <v>169086.3</v>
      </c>
      <c r="R219" s="94">
        <f>SUM(R213:R218)</f>
        <v>1945.86</v>
      </c>
      <c r="S219" s="80">
        <f>SUM(S213:S218)</f>
        <v>1976.54</v>
      </c>
      <c r="T219" s="81">
        <f>SUM(T213:T218)</f>
        <v>1985.2</v>
      </c>
      <c r="U219" s="68">
        <f t="shared" si="135"/>
        <v>1969.1999999999998</v>
      </c>
      <c r="V219" s="120">
        <f t="shared" si="136"/>
        <v>179197.19999999998</v>
      </c>
      <c r="W219" s="69">
        <f>SUM(W213:W218)</f>
        <v>1848.9808333333333</v>
      </c>
      <c r="X219" s="69">
        <f>SUM(X213:X218)</f>
        <v>674878.00416666665</v>
      </c>
    </row>
    <row r="220" spans="1:24" ht="16.5" thickBot="1" x14ac:dyDescent="0.3">
      <c r="A220" s="54" t="s">
        <v>158</v>
      </c>
      <c r="B220" s="38"/>
      <c r="C220" s="80">
        <f>C211+C219</f>
        <v>5370.7420000000002</v>
      </c>
      <c r="D220" s="80">
        <f>D211+D219</f>
        <v>5470</v>
      </c>
      <c r="E220" s="80">
        <f>E211+E219</f>
        <v>5543</v>
      </c>
      <c r="F220" s="80">
        <f>F211+F219</f>
        <v>5461.2473333333328</v>
      </c>
      <c r="G220" s="68">
        <f>SUM(G211+G219)</f>
        <v>502434.75466666667</v>
      </c>
      <c r="H220" s="80">
        <f>H211+H219</f>
        <v>5615.3370000000004</v>
      </c>
      <c r="I220" s="80">
        <f>I211+I219</f>
        <v>5622.973</v>
      </c>
      <c r="J220" s="80">
        <f>J211+J219</f>
        <v>5516.9059999999999</v>
      </c>
      <c r="K220" s="120">
        <f t="shared" si="131"/>
        <v>5585.0720000000001</v>
      </c>
      <c r="L220" s="68">
        <f>SUM(L211+L219)</f>
        <v>513826.62399999995</v>
      </c>
      <c r="M220" s="94">
        <f>M211+M219</f>
        <v>5592.6490000000003</v>
      </c>
      <c r="N220" s="80">
        <f>N211+N219</f>
        <v>5694.8130000000001</v>
      </c>
      <c r="O220" s="80">
        <f>O211+O219</f>
        <v>5692.8369999999995</v>
      </c>
      <c r="P220" s="99">
        <f t="shared" si="133"/>
        <v>5660.0996666666661</v>
      </c>
      <c r="Q220" s="68">
        <f>SUM(Q211+Q219)</f>
        <v>509408.97</v>
      </c>
      <c r="R220" s="94">
        <f>R211+R219</f>
        <v>5717.5029999999997</v>
      </c>
      <c r="S220" s="80">
        <f>S211+S219</f>
        <v>5715.369999999999</v>
      </c>
      <c r="T220" s="81">
        <f>T211+T219</f>
        <v>5674.8700000000008</v>
      </c>
      <c r="U220" s="99">
        <f t="shared" si="135"/>
        <v>5702.581000000001</v>
      </c>
      <c r="V220" s="68">
        <f>SUM(V211+V219)</f>
        <v>518934.87099999993</v>
      </c>
      <c r="W220" s="80">
        <f>W211+W219</f>
        <v>5602.25</v>
      </c>
      <c r="X220" s="82">
        <f>X211+X219</f>
        <v>2044821.2499999998</v>
      </c>
    </row>
    <row r="221" spans="1:24" ht="15.75" x14ac:dyDescent="0.25">
      <c r="A221" s="114"/>
      <c r="B221" s="19"/>
      <c r="C221" s="115"/>
      <c r="D221" s="115"/>
      <c r="E221" s="115"/>
      <c r="F221" s="115"/>
      <c r="G221" s="113"/>
      <c r="H221" s="115"/>
      <c r="I221" s="115"/>
      <c r="J221" s="115"/>
      <c r="K221" s="139"/>
      <c r="L221" s="113"/>
      <c r="M221" s="115"/>
      <c r="N221" s="115"/>
      <c r="O221" s="115"/>
      <c r="P221" s="93"/>
      <c r="Q221" s="113"/>
      <c r="R221" s="115"/>
      <c r="S221" s="115"/>
      <c r="T221" s="115"/>
      <c r="U221" s="93"/>
      <c r="V221" s="113"/>
      <c r="W221" s="115"/>
      <c r="X221" s="115"/>
    </row>
    <row r="223" spans="1:24" ht="16.5" thickBot="1" x14ac:dyDescent="0.25">
      <c r="A223" s="45" t="s">
        <v>157</v>
      </c>
      <c r="B223" s="10"/>
      <c r="C223" s="13"/>
      <c r="D223" s="13"/>
      <c r="E223" s="13"/>
      <c r="F223" s="13"/>
      <c r="G223" s="13"/>
      <c r="H223" s="13"/>
      <c r="I223" s="13"/>
      <c r="J223" s="13"/>
      <c r="K223" s="13"/>
      <c r="L223" s="13"/>
      <c r="M223" s="13"/>
      <c r="N223" s="13"/>
      <c r="O223" s="13"/>
      <c r="P223" s="13"/>
      <c r="Q223" s="13"/>
      <c r="R223" s="13"/>
      <c r="S223" s="13"/>
      <c r="T223" s="13"/>
      <c r="U223" s="13"/>
      <c r="V223" s="13"/>
      <c r="W223" s="13"/>
      <c r="X223" s="13"/>
    </row>
    <row r="224" spans="1:24" ht="16.5" thickBot="1" x14ac:dyDescent="0.3">
      <c r="A224" s="32" t="s">
        <v>302</v>
      </c>
      <c r="B224" s="1156" t="s">
        <v>155</v>
      </c>
      <c r="C224" s="1157"/>
      <c r="D224" s="1157"/>
      <c r="E224" s="1157"/>
      <c r="F224" s="1157"/>
      <c r="G224" s="1157"/>
      <c r="H224" s="1157"/>
      <c r="I224" s="1157"/>
      <c r="J224" s="1157"/>
      <c r="K224" s="1157"/>
      <c r="L224" s="1157"/>
      <c r="M224" s="1157"/>
      <c r="N224" s="1157"/>
      <c r="O224" s="1157"/>
      <c r="P224" s="1157"/>
      <c r="Q224" s="1157"/>
      <c r="R224" s="1157"/>
      <c r="S224" s="1157"/>
      <c r="T224" s="1157"/>
      <c r="U224" s="39"/>
      <c r="V224" s="39"/>
      <c r="W224" s="92"/>
      <c r="X224" s="13"/>
    </row>
    <row r="225" spans="1:24" ht="15.75" x14ac:dyDescent="0.25">
      <c r="A225" s="11"/>
      <c r="B225" s="40" t="s">
        <v>268</v>
      </c>
      <c r="C225" s="57"/>
      <c r="D225" s="58"/>
      <c r="E225" s="58"/>
      <c r="F225" s="1158" t="s">
        <v>265</v>
      </c>
      <c r="G225" s="1160" t="s">
        <v>285</v>
      </c>
      <c r="H225" s="58"/>
      <c r="I225" s="58"/>
      <c r="J225" s="58"/>
      <c r="K225" s="1158" t="s">
        <v>265</v>
      </c>
      <c r="L225" s="1160" t="s">
        <v>285</v>
      </c>
      <c r="M225" s="58"/>
      <c r="N225" s="58"/>
      <c r="O225" s="58"/>
      <c r="P225" s="1158" t="s">
        <v>265</v>
      </c>
      <c r="Q225" s="1160" t="s">
        <v>285</v>
      </c>
      <c r="R225" s="58"/>
      <c r="S225" s="58"/>
      <c r="T225" s="59"/>
      <c r="U225" s="1158" t="s">
        <v>265</v>
      </c>
      <c r="V225" s="1160" t="s">
        <v>285</v>
      </c>
      <c r="W225" s="1167" t="s">
        <v>156</v>
      </c>
      <c r="X225" s="1165" t="s">
        <v>157</v>
      </c>
    </row>
    <row r="226" spans="1:24" ht="24" customHeight="1" thickBot="1" x14ac:dyDescent="0.3">
      <c r="A226" s="47" t="s">
        <v>56</v>
      </c>
      <c r="B226" s="41" t="s">
        <v>269</v>
      </c>
      <c r="C226" s="60">
        <v>39630</v>
      </c>
      <c r="D226" s="61">
        <v>39661</v>
      </c>
      <c r="E226" s="61">
        <v>39692</v>
      </c>
      <c r="F226" s="1159"/>
      <c r="G226" s="1161"/>
      <c r="H226" s="61">
        <v>39722</v>
      </c>
      <c r="I226" s="61">
        <v>39753</v>
      </c>
      <c r="J226" s="61">
        <v>39783</v>
      </c>
      <c r="K226" s="1159"/>
      <c r="L226" s="1161"/>
      <c r="M226" s="61">
        <v>39814</v>
      </c>
      <c r="N226" s="61">
        <v>39845</v>
      </c>
      <c r="O226" s="61">
        <v>39873</v>
      </c>
      <c r="P226" s="1159"/>
      <c r="Q226" s="1161"/>
      <c r="R226" s="61">
        <v>39904</v>
      </c>
      <c r="S226" s="61">
        <v>39934</v>
      </c>
      <c r="T226" s="62">
        <v>39965</v>
      </c>
      <c r="U226" s="1159"/>
      <c r="V226" s="1161"/>
      <c r="W226" s="1168"/>
      <c r="X226" s="1166"/>
    </row>
    <row r="227" spans="1:24" ht="20.25" customHeight="1" thickBot="1" x14ac:dyDescent="0.3">
      <c r="A227" s="48" t="s">
        <v>298</v>
      </c>
      <c r="B227" s="42" t="s">
        <v>303</v>
      </c>
      <c r="C227" s="125">
        <v>467.9</v>
      </c>
      <c r="D227" s="125">
        <v>486.39</v>
      </c>
      <c r="E227" s="117">
        <v>477.47</v>
      </c>
      <c r="F227" s="63">
        <f t="shared" ref="F227:F241" si="139">SUM(C227:E227)/3</f>
        <v>477.25333333333333</v>
      </c>
      <c r="G227" s="108">
        <f t="shared" ref="G227:G241" si="140">F227*92</f>
        <v>43907.306666666664</v>
      </c>
      <c r="H227" s="117">
        <v>448.23</v>
      </c>
      <c r="I227" s="117">
        <v>467</v>
      </c>
      <c r="J227" s="117">
        <v>414.39</v>
      </c>
      <c r="K227" s="63">
        <f t="shared" ref="K227:K241" si="141">SUM(H227:J227)/3</f>
        <v>443.20666666666665</v>
      </c>
      <c r="L227" s="108">
        <f t="shared" ref="L227:L241" si="142">K227*92</f>
        <v>40775.013333333329</v>
      </c>
      <c r="M227" s="117">
        <v>423.19</v>
      </c>
      <c r="N227" s="85">
        <v>432.79</v>
      </c>
      <c r="O227" s="85">
        <v>432.65</v>
      </c>
      <c r="P227" s="63">
        <f t="shared" ref="P227:P241" si="143">SUM(M227:O227)/3</f>
        <v>429.54333333333335</v>
      </c>
      <c r="Q227" s="108">
        <f>P227*90</f>
        <v>38658.9</v>
      </c>
      <c r="R227" s="117">
        <v>432.3</v>
      </c>
      <c r="S227" s="85">
        <v>427.16</v>
      </c>
      <c r="T227" s="135">
        <v>426.87</v>
      </c>
      <c r="U227" s="63">
        <f t="shared" ref="U227:U241" si="144">SUM(R227:T227)/3</f>
        <v>428.77666666666664</v>
      </c>
      <c r="V227" s="111">
        <f t="shared" ref="V227:V241" si="145">U227*91</f>
        <v>39018.676666666666</v>
      </c>
      <c r="W227" s="64">
        <f t="shared" ref="W227:W241" si="146">SUM(C227+D227+E227+H227+I227+J227+M227+N227+O227+R227+S227+T227)/12</f>
        <v>444.69499999999994</v>
      </c>
      <c r="X227" s="65">
        <f>W227*365</f>
        <v>162313.67499999999</v>
      </c>
    </row>
    <row r="228" spans="1:24" ht="16.5" thickBot="1" x14ac:dyDescent="0.3">
      <c r="A228" s="49" t="s">
        <v>140</v>
      </c>
      <c r="B228" s="43" t="s">
        <v>271</v>
      </c>
      <c r="C228" s="126">
        <v>126.48</v>
      </c>
      <c r="D228" s="126">
        <v>123.61</v>
      </c>
      <c r="E228" s="118">
        <v>112.5</v>
      </c>
      <c r="F228" s="63">
        <f t="shared" si="139"/>
        <v>120.86333333333334</v>
      </c>
      <c r="G228" s="108">
        <f t="shared" si="140"/>
        <v>11119.426666666668</v>
      </c>
      <c r="H228" s="118">
        <v>104.61</v>
      </c>
      <c r="I228" s="118">
        <v>113.93</v>
      </c>
      <c r="J228" s="118">
        <v>109.29</v>
      </c>
      <c r="K228" s="63">
        <f t="shared" si="141"/>
        <v>109.27666666666669</v>
      </c>
      <c r="L228" s="108">
        <f t="shared" si="142"/>
        <v>10053.453333333335</v>
      </c>
      <c r="M228" s="118">
        <v>96.225999999999999</v>
      </c>
      <c r="N228" s="86">
        <v>104.68</v>
      </c>
      <c r="O228" s="86">
        <v>110.06</v>
      </c>
      <c r="P228" s="63">
        <f t="shared" si="143"/>
        <v>103.65533333333333</v>
      </c>
      <c r="Q228" s="108">
        <f>P228*90</f>
        <v>9328.98</v>
      </c>
      <c r="R228" s="3">
        <v>107.67</v>
      </c>
      <c r="S228" s="87">
        <v>100.48</v>
      </c>
      <c r="T228" s="90">
        <v>109.4</v>
      </c>
      <c r="U228" s="63">
        <f t="shared" si="144"/>
        <v>105.85000000000001</v>
      </c>
      <c r="V228" s="111">
        <f t="shared" si="145"/>
        <v>9632.35</v>
      </c>
      <c r="W228" s="64">
        <f>SUM(C228+D228+E228+H228+I228+J228+M228+N228+O228+R228+S228+T228)/12</f>
        <v>109.91133333333335</v>
      </c>
      <c r="X228" s="65">
        <f>W228*365</f>
        <v>40117.636666666673</v>
      </c>
    </row>
    <row r="229" spans="1:24" ht="16.5" thickBot="1" x14ac:dyDescent="0.3">
      <c r="A229" s="50" t="s">
        <v>299</v>
      </c>
      <c r="B229" s="44" t="s">
        <v>304</v>
      </c>
      <c r="C229" s="4">
        <v>470.97</v>
      </c>
      <c r="D229" s="4">
        <v>481.03</v>
      </c>
      <c r="E229" s="3">
        <v>436.63</v>
      </c>
      <c r="F229" s="63">
        <f t="shared" si="139"/>
        <v>462.87666666666672</v>
      </c>
      <c r="G229" s="108">
        <f t="shared" si="140"/>
        <v>42584.653333333335</v>
      </c>
      <c r="H229" s="3">
        <v>435.42</v>
      </c>
      <c r="I229" s="3">
        <v>454.1</v>
      </c>
      <c r="J229" s="3">
        <v>425</v>
      </c>
      <c r="K229" s="63">
        <f t="shared" si="141"/>
        <v>438.17333333333335</v>
      </c>
      <c r="L229" s="108">
        <f t="shared" si="142"/>
        <v>40311.94666666667</v>
      </c>
      <c r="M229" s="3">
        <v>438.58</v>
      </c>
      <c r="N229" s="87">
        <v>426.93</v>
      </c>
      <c r="O229" s="87">
        <v>435</v>
      </c>
      <c r="P229" s="63">
        <f t="shared" si="143"/>
        <v>433.50333333333333</v>
      </c>
      <c r="Q229" s="108">
        <f t="shared" ref="Q229:Q240" si="147">P229*90</f>
        <v>39015.300000000003</v>
      </c>
      <c r="R229" s="118">
        <v>429.2</v>
      </c>
      <c r="S229" s="86">
        <v>410.42</v>
      </c>
      <c r="T229" s="89">
        <v>401.13</v>
      </c>
      <c r="U229" s="63">
        <f t="shared" si="144"/>
        <v>413.58333333333331</v>
      </c>
      <c r="V229" s="111">
        <f t="shared" si="145"/>
        <v>37636.083333333328</v>
      </c>
      <c r="W229" s="64">
        <f t="shared" si="146"/>
        <v>437.03416666666664</v>
      </c>
      <c r="X229" s="65">
        <f t="shared" ref="X229:X240" si="148">W229*365</f>
        <v>159517.47083333333</v>
      </c>
    </row>
    <row r="230" spans="1:24" ht="16.5" thickBot="1" x14ac:dyDescent="0.3">
      <c r="A230" s="50" t="s">
        <v>316</v>
      </c>
      <c r="B230" s="44" t="s">
        <v>305</v>
      </c>
      <c r="C230" s="4">
        <v>285.83999999999997</v>
      </c>
      <c r="D230" s="4">
        <v>289.52</v>
      </c>
      <c r="E230" s="3">
        <v>304.02999999999997</v>
      </c>
      <c r="F230" s="63">
        <f t="shared" si="139"/>
        <v>293.12999999999994</v>
      </c>
      <c r="G230" s="108">
        <f t="shared" si="140"/>
        <v>26967.959999999995</v>
      </c>
      <c r="H230" s="3">
        <v>286.68</v>
      </c>
      <c r="I230" s="3">
        <v>269.33</v>
      </c>
      <c r="J230" s="3">
        <v>227.06</v>
      </c>
      <c r="K230" s="63">
        <f t="shared" si="141"/>
        <v>261.02333333333331</v>
      </c>
      <c r="L230" s="108">
        <f t="shared" si="142"/>
        <v>24014.146666666664</v>
      </c>
      <c r="M230" s="3">
        <v>233.35</v>
      </c>
      <c r="N230" s="87">
        <v>234.71</v>
      </c>
      <c r="O230" s="87">
        <v>245.81</v>
      </c>
      <c r="P230" s="63">
        <f t="shared" si="143"/>
        <v>237.95666666666668</v>
      </c>
      <c r="Q230" s="108">
        <f t="shared" si="147"/>
        <v>21416.100000000002</v>
      </c>
      <c r="R230" s="3">
        <v>244.37</v>
      </c>
      <c r="S230" s="87">
        <v>242.58</v>
      </c>
      <c r="T230" s="90">
        <v>253.1</v>
      </c>
      <c r="U230" s="63">
        <f t="shared" si="144"/>
        <v>246.68333333333337</v>
      </c>
      <c r="V230" s="111">
        <f t="shared" si="145"/>
        <v>22448.183333333338</v>
      </c>
      <c r="W230" s="64">
        <f t="shared" si="146"/>
        <v>259.69833333333327</v>
      </c>
      <c r="X230" s="65">
        <f t="shared" si="148"/>
        <v>94789.891666666648</v>
      </c>
    </row>
    <row r="231" spans="1:24" ht="16.5" thickBot="1" x14ac:dyDescent="0.3">
      <c r="A231" s="51" t="s">
        <v>282</v>
      </c>
      <c r="B231" s="44" t="s">
        <v>306</v>
      </c>
      <c r="C231" s="4">
        <v>374.58</v>
      </c>
      <c r="D231" s="4">
        <v>369.9</v>
      </c>
      <c r="E231" s="3">
        <v>360.63</v>
      </c>
      <c r="F231" s="63">
        <f t="shared" si="139"/>
        <v>368.37000000000006</v>
      </c>
      <c r="G231" s="108">
        <f t="shared" si="140"/>
        <v>33890.040000000008</v>
      </c>
      <c r="H231" s="3">
        <v>353.16</v>
      </c>
      <c r="I231" s="3">
        <v>341.63</v>
      </c>
      <c r="J231" s="3">
        <v>331.35</v>
      </c>
      <c r="K231" s="63">
        <f t="shared" si="141"/>
        <v>342.04666666666662</v>
      </c>
      <c r="L231" s="108">
        <f t="shared" si="142"/>
        <v>31468.293333333328</v>
      </c>
      <c r="M231" s="3">
        <v>325.02999999999997</v>
      </c>
      <c r="N231" s="87">
        <v>349.21</v>
      </c>
      <c r="O231" s="87">
        <v>360.71</v>
      </c>
      <c r="P231" s="63">
        <f t="shared" si="143"/>
        <v>344.98333333333335</v>
      </c>
      <c r="Q231" s="108">
        <f t="shared" si="147"/>
        <v>31048.5</v>
      </c>
      <c r="R231" s="3">
        <v>359.17</v>
      </c>
      <c r="S231" s="87">
        <v>362.71</v>
      </c>
      <c r="T231" s="90">
        <v>361.27</v>
      </c>
      <c r="U231" s="63">
        <f t="shared" si="144"/>
        <v>361.05</v>
      </c>
      <c r="V231" s="111">
        <f t="shared" si="145"/>
        <v>32855.550000000003</v>
      </c>
      <c r="W231" s="64">
        <f t="shared" si="146"/>
        <v>354.11250000000001</v>
      </c>
      <c r="X231" s="65">
        <f t="shared" si="148"/>
        <v>129251.0625</v>
      </c>
    </row>
    <row r="232" spans="1:24" ht="16.5" thickBot="1" x14ac:dyDescent="0.3">
      <c r="A232" s="50" t="s">
        <v>16</v>
      </c>
      <c r="B232" s="44" t="s">
        <v>275</v>
      </c>
      <c r="C232" s="4">
        <v>51.581000000000003</v>
      </c>
      <c r="D232" s="4">
        <v>49.774000000000001</v>
      </c>
      <c r="E232" s="3">
        <v>50.1</v>
      </c>
      <c r="F232" s="63">
        <f t="shared" si="139"/>
        <v>50.485000000000007</v>
      </c>
      <c r="G232" s="108">
        <f t="shared" si="140"/>
        <v>4644.6200000000008</v>
      </c>
      <c r="H232" s="3">
        <v>53.871000000000002</v>
      </c>
      <c r="I232" s="3">
        <v>44.866999999999997</v>
      </c>
      <c r="J232" s="3">
        <v>45.194000000000003</v>
      </c>
      <c r="K232" s="63">
        <f t="shared" si="141"/>
        <v>47.977333333333341</v>
      </c>
      <c r="L232" s="108">
        <f t="shared" si="142"/>
        <v>4413.9146666666675</v>
      </c>
      <c r="M232" s="3">
        <v>45.71</v>
      </c>
      <c r="N232" s="87">
        <v>48.786000000000001</v>
      </c>
      <c r="O232" s="87">
        <v>48.031999999999996</v>
      </c>
      <c r="P232" s="63">
        <f t="shared" si="143"/>
        <v>47.509333333333338</v>
      </c>
      <c r="Q232" s="108">
        <f t="shared" si="147"/>
        <v>4275.84</v>
      </c>
      <c r="R232" s="3">
        <v>41.067</v>
      </c>
      <c r="S232" s="87">
        <v>37.258000000000003</v>
      </c>
      <c r="T232" s="90">
        <v>48.866999999999997</v>
      </c>
      <c r="U232" s="63">
        <f t="shared" si="144"/>
        <v>42.397333333333336</v>
      </c>
      <c r="V232" s="111">
        <f t="shared" si="145"/>
        <v>3858.1573333333336</v>
      </c>
      <c r="W232" s="64">
        <f t="shared" si="146"/>
        <v>47.09225</v>
      </c>
      <c r="X232" s="65">
        <f t="shared" si="148"/>
        <v>17188.671249999999</v>
      </c>
    </row>
    <row r="233" spans="1:24" ht="16.5" thickBot="1" x14ac:dyDescent="0.3">
      <c r="A233" s="50" t="s">
        <v>17</v>
      </c>
      <c r="B233" s="44" t="s">
        <v>307</v>
      </c>
      <c r="C233" s="4">
        <v>206.94</v>
      </c>
      <c r="D233" s="4">
        <v>203.1</v>
      </c>
      <c r="E233" s="3">
        <v>208.7</v>
      </c>
      <c r="F233" s="63">
        <f t="shared" si="139"/>
        <v>206.24666666666667</v>
      </c>
      <c r="G233" s="108">
        <f t="shared" si="140"/>
        <v>18974.693333333333</v>
      </c>
      <c r="H233" s="3">
        <v>201.42</v>
      </c>
      <c r="I233" s="3">
        <v>204.2</v>
      </c>
      <c r="J233" s="3">
        <v>198.1</v>
      </c>
      <c r="K233" s="63">
        <f t="shared" si="141"/>
        <v>201.24</v>
      </c>
      <c r="L233" s="108">
        <f t="shared" si="142"/>
        <v>18514.080000000002</v>
      </c>
      <c r="M233" s="3">
        <v>183.81</v>
      </c>
      <c r="N233" s="87">
        <v>195.82</v>
      </c>
      <c r="O233" s="87">
        <v>210.65</v>
      </c>
      <c r="P233" s="63">
        <f t="shared" si="143"/>
        <v>196.76</v>
      </c>
      <c r="Q233" s="108">
        <f t="shared" si="147"/>
        <v>17708.399999999998</v>
      </c>
      <c r="R233" s="3">
        <v>207.57</v>
      </c>
      <c r="S233" s="87">
        <v>192.16</v>
      </c>
      <c r="T233" s="90">
        <v>189.67</v>
      </c>
      <c r="U233" s="63">
        <f t="shared" si="144"/>
        <v>196.46666666666667</v>
      </c>
      <c r="V233" s="111">
        <f t="shared" si="145"/>
        <v>17878.466666666667</v>
      </c>
      <c r="W233" s="64">
        <f t="shared" si="146"/>
        <v>200.17833333333331</v>
      </c>
      <c r="X233" s="65">
        <f t="shared" si="148"/>
        <v>73065.09166666666</v>
      </c>
    </row>
    <row r="234" spans="1:24" ht="16.5" thickBot="1" x14ac:dyDescent="0.3">
      <c r="A234" s="50" t="s">
        <v>142</v>
      </c>
      <c r="B234" s="44" t="s">
        <v>308</v>
      </c>
      <c r="C234" s="4">
        <v>98.968000000000004</v>
      </c>
      <c r="D234" s="4">
        <v>112.03</v>
      </c>
      <c r="E234" s="3">
        <v>106.33</v>
      </c>
      <c r="F234" s="63">
        <f t="shared" si="139"/>
        <v>105.776</v>
      </c>
      <c r="G234" s="108">
        <f t="shared" si="140"/>
        <v>9731.3919999999998</v>
      </c>
      <c r="H234" s="3">
        <v>109.13</v>
      </c>
      <c r="I234" s="3">
        <v>106.3</v>
      </c>
      <c r="J234" s="3">
        <v>99.387</v>
      </c>
      <c r="K234" s="63">
        <f t="shared" si="141"/>
        <v>104.93900000000001</v>
      </c>
      <c r="L234" s="108">
        <f t="shared" si="142"/>
        <v>9654.3880000000008</v>
      </c>
      <c r="M234" s="3">
        <v>101.06</v>
      </c>
      <c r="N234" s="87">
        <v>98.856999999999999</v>
      </c>
      <c r="O234" s="87">
        <v>100.45</v>
      </c>
      <c r="P234" s="63">
        <f t="shared" si="143"/>
        <v>100.12233333333334</v>
      </c>
      <c r="Q234" s="108">
        <f t="shared" si="147"/>
        <v>9011.01</v>
      </c>
      <c r="R234" s="3">
        <v>97.73</v>
      </c>
      <c r="S234" s="87">
        <v>103.29</v>
      </c>
      <c r="T234" s="90">
        <v>106.33</v>
      </c>
      <c r="U234" s="63">
        <f t="shared" si="144"/>
        <v>102.45</v>
      </c>
      <c r="V234" s="111">
        <f t="shared" si="145"/>
        <v>9322.9500000000007</v>
      </c>
      <c r="W234" s="64">
        <f t="shared" si="146"/>
        <v>103.32183333333332</v>
      </c>
      <c r="X234" s="65">
        <f t="shared" si="148"/>
        <v>37712.469166666662</v>
      </c>
    </row>
    <row r="235" spans="1:24" ht="16.5" thickBot="1" x14ac:dyDescent="0.3">
      <c r="A235" s="51" t="s">
        <v>283</v>
      </c>
      <c r="B235" s="44" t="s">
        <v>315</v>
      </c>
      <c r="C235" s="4">
        <v>411.87</v>
      </c>
      <c r="D235" s="4">
        <v>425.16</v>
      </c>
      <c r="E235" s="3">
        <v>418.04</v>
      </c>
      <c r="F235" s="63">
        <f t="shared" si="139"/>
        <v>418.35666666666663</v>
      </c>
      <c r="G235" s="108">
        <f t="shared" si="140"/>
        <v>38488.813333333332</v>
      </c>
      <c r="H235" s="3">
        <v>427.9</v>
      </c>
      <c r="I235" s="3">
        <v>414.6</v>
      </c>
      <c r="J235" s="3">
        <v>441.81</v>
      </c>
      <c r="K235" s="63">
        <f t="shared" si="141"/>
        <v>428.1033333333333</v>
      </c>
      <c r="L235" s="108">
        <f t="shared" si="142"/>
        <v>39385.506666666661</v>
      </c>
      <c r="M235" s="3">
        <v>445.74</v>
      </c>
      <c r="N235" s="87">
        <v>486.14</v>
      </c>
      <c r="O235" s="87">
        <v>484.32</v>
      </c>
      <c r="P235" s="63">
        <f t="shared" si="143"/>
        <v>472.06666666666666</v>
      </c>
      <c r="Q235" s="108">
        <f t="shared" si="147"/>
        <v>42486</v>
      </c>
      <c r="R235" s="3">
        <v>462.17</v>
      </c>
      <c r="S235" s="87">
        <v>430.94</v>
      </c>
      <c r="T235" s="90">
        <v>468.4</v>
      </c>
      <c r="U235" s="63">
        <f t="shared" si="144"/>
        <v>453.83666666666664</v>
      </c>
      <c r="V235" s="111">
        <f t="shared" si="145"/>
        <v>41299.136666666665</v>
      </c>
      <c r="W235" s="64">
        <f t="shared" si="146"/>
        <v>443.09083333333325</v>
      </c>
      <c r="X235" s="65">
        <f t="shared" si="148"/>
        <v>161728.15416666665</v>
      </c>
    </row>
    <row r="236" spans="1:24" ht="16.5" thickBot="1" x14ac:dyDescent="0.3">
      <c r="A236" s="50" t="s">
        <v>151</v>
      </c>
      <c r="B236" s="121" t="s">
        <v>309</v>
      </c>
      <c r="C236" s="4">
        <v>112.32</v>
      </c>
      <c r="D236" s="4">
        <v>117.32</v>
      </c>
      <c r="E236" s="3">
        <v>121.87</v>
      </c>
      <c r="F236" s="63">
        <f t="shared" si="139"/>
        <v>117.17</v>
      </c>
      <c r="G236" s="108">
        <f t="shared" si="140"/>
        <v>10779.64</v>
      </c>
      <c r="H236" s="3">
        <v>113.52</v>
      </c>
      <c r="I236" s="3">
        <v>110.97</v>
      </c>
      <c r="J236" s="3">
        <v>123.68</v>
      </c>
      <c r="K236" s="63">
        <f t="shared" si="141"/>
        <v>116.05666666666667</v>
      </c>
      <c r="L236" s="108">
        <f t="shared" si="142"/>
        <v>10677.213333333333</v>
      </c>
      <c r="M236" s="3">
        <v>115.9</v>
      </c>
      <c r="N236" s="87">
        <v>124.39</v>
      </c>
      <c r="O236" s="87">
        <v>126.29</v>
      </c>
      <c r="P236" s="63">
        <f t="shared" si="143"/>
        <v>122.19333333333334</v>
      </c>
      <c r="Q236" s="108">
        <f t="shared" si="147"/>
        <v>10997.400000000001</v>
      </c>
      <c r="R236" s="3">
        <v>114.2</v>
      </c>
      <c r="S236" s="87">
        <v>119.03</v>
      </c>
      <c r="T236" s="90">
        <v>112.23</v>
      </c>
      <c r="U236" s="63">
        <f t="shared" si="144"/>
        <v>115.15333333333335</v>
      </c>
      <c r="V236" s="111">
        <f t="shared" si="145"/>
        <v>10478.953333333335</v>
      </c>
      <c r="W236" s="64">
        <f t="shared" si="146"/>
        <v>117.64333333333333</v>
      </c>
      <c r="X236" s="65">
        <f t="shared" si="148"/>
        <v>42939.816666666666</v>
      </c>
    </row>
    <row r="237" spans="1:24" ht="16.5" thickBot="1" x14ac:dyDescent="0.3">
      <c r="A237" s="49" t="s">
        <v>20</v>
      </c>
      <c r="B237" s="43" t="s">
        <v>310</v>
      </c>
      <c r="C237" s="126">
        <v>538.13</v>
      </c>
      <c r="D237" s="126">
        <v>490.65</v>
      </c>
      <c r="E237" s="118">
        <v>508.17</v>
      </c>
      <c r="F237" s="63">
        <f t="shared" si="139"/>
        <v>512.31666666666672</v>
      </c>
      <c r="G237" s="108">
        <f t="shared" si="140"/>
        <v>47133.133333333339</v>
      </c>
      <c r="H237" s="118">
        <v>541.19000000000005</v>
      </c>
      <c r="I237" s="3">
        <v>523.13</v>
      </c>
      <c r="J237" s="118">
        <v>554.32000000000005</v>
      </c>
      <c r="K237" s="63">
        <f t="shared" si="141"/>
        <v>539.54666666666674</v>
      </c>
      <c r="L237" s="111">
        <f t="shared" si="142"/>
        <v>49638.293333333342</v>
      </c>
      <c r="M237" s="3">
        <v>547.19000000000005</v>
      </c>
      <c r="N237" s="86">
        <v>537.17999999999995</v>
      </c>
      <c r="O237" s="86">
        <v>549.80999999999995</v>
      </c>
      <c r="P237" s="63">
        <f t="shared" si="143"/>
        <v>544.72666666666657</v>
      </c>
      <c r="Q237" s="108">
        <f t="shared" si="147"/>
        <v>49025.399999999994</v>
      </c>
      <c r="R237" s="3">
        <v>555.20000000000005</v>
      </c>
      <c r="S237" s="86">
        <v>534.58000000000004</v>
      </c>
      <c r="T237" s="89">
        <v>541.4</v>
      </c>
      <c r="U237" s="63">
        <f t="shared" si="144"/>
        <v>543.7266666666668</v>
      </c>
      <c r="V237" s="111">
        <f t="shared" si="145"/>
        <v>49479.126666666678</v>
      </c>
      <c r="W237" s="64">
        <f t="shared" si="146"/>
        <v>535.07916666666665</v>
      </c>
      <c r="X237" s="65">
        <f t="shared" si="148"/>
        <v>195303.89583333331</v>
      </c>
    </row>
    <row r="238" spans="1:24" ht="16.5" thickBot="1" x14ac:dyDescent="0.3">
      <c r="A238" s="51" t="s">
        <v>284</v>
      </c>
      <c r="B238" s="44" t="s">
        <v>311</v>
      </c>
      <c r="C238" s="4">
        <v>362.71</v>
      </c>
      <c r="D238" s="4">
        <v>345.96</v>
      </c>
      <c r="E238" s="3">
        <v>361.83</v>
      </c>
      <c r="F238" s="63">
        <f t="shared" si="139"/>
        <v>356.83333333333331</v>
      </c>
      <c r="G238" s="108">
        <f t="shared" si="140"/>
        <v>32828.666666666664</v>
      </c>
      <c r="H238" s="3">
        <v>360.49</v>
      </c>
      <c r="I238" s="3">
        <v>361.97</v>
      </c>
      <c r="J238" s="3">
        <v>361.13</v>
      </c>
      <c r="K238" s="63">
        <f t="shared" si="141"/>
        <v>361.19666666666672</v>
      </c>
      <c r="L238" s="108">
        <f t="shared" si="142"/>
        <v>33230.093333333338</v>
      </c>
      <c r="M238" s="3">
        <v>380.74</v>
      </c>
      <c r="N238" s="87">
        <v>379</v>
      </c>
      <c r="O238" s="87">
        <v>378.78</v>
      </c>
      <c r="P238" s="63">
        <f t="shared" si="143"/>
        <v>379.50666666666666</v>
      </c>
      <c r="Q238" s="108">
        <f t="shared" si="147"/>
        <v>34155.599999999999</v>
      </c>
      <c r="R238" s="3">
        <v>364.23</v>
      </c>
      <c r="S238" s="87">
        <v>356.35</v>
      </c>
      <c r="T238" s="90">
        <v>353.94</v>
      </c>
      <c r="U238" s="63">
        <f t="shared" si="144"/>
        <v>358.17333333333335</v>
      </c>
      <c r="V238" s="111">
        <f t="shared" si="145"/>
        <v>32593.773333333334</v>
      </c>
      <c r="W238" s="64">
        <f t="shared" si="146"/>
        <v>363.92749999999995</v>
      </c>
      <c r="X238" s="65">
        <f t="shared" si="148"/>
        <v>132833.53749999998</v>
      </c>
    </row>
    <row r="239" spans="1:24" ht="16.5" thickBot="1" x14ac:dyDescent="0.3">
      <c r="A239" s="50" t="s">
        <v>143</v>
      </c>
      <c r="B239" s="44" t="s">
        <v>312</v>
      </c>
      <c r="C239" s="4">
        <v>117.23</v>
      </c>
      <c r="D239" s="4">
        <v>120.97</v>
      </c>
      <c r="E239" s="3">
        <v>116.07</v>
      </c>
      <c r="F239" s="63">
        <f t="shared" si="139"/>
        <v>118.08999999999999</v>
      </c>
      <c r="G239" s="108">
        <f t="shared" si="140"/>
        <v>10864.279999999999</v>
      </c>
      <c r="H239" s="3">
        <v>116.16</v>
      </c>
      <c r="I239" s="3">
        <v>116.07</v>
      </c>
      <c r="J239" s="3">
        <v>113.26</v>
      </c>
      <c r="K239" s="63">
        <f t="shared" si="141"/>
        <v>115.16333333333334</v>
      </c>
      <c r="L239" s="108">
        <f t="shared" si="142"/>
        <v>10595.026666666667</v>
      </c>
      <c r="M239" s="3">
        <v>121.55</v>
      </c>
      <c r="N239" s="87">
        <v>128.75</v>
      </c>
      <c r="O239" s="87">
        <v>119.65</v>
      </c>
      <c r="P239" s="63">
        <f t="shared" si="143"/>
        <v>123.31666666666668</v>
      </c>
      <c r="Q239" s="108">
        <f t="shared" si="147"/>
        <v>11098.500000000002</v>
      </c>
      <c r="R239" s="3">
        <v>117.03</v>
      </c>
      <c r="S239" s="87">
        <v>118.68</v>
      </c>
      <c r="T239" s="90">
        <v>116.97</v>
      </c>
      <c r="U239" s="63">
        <f t="shared" si="144"/>
        <v>117.56</v>
      </c>
      <c r="V239" s="111">
        <f t="shared" si="145"/>
        <v>10697.960000000001</v>
      </c>
      <c r="W239" s="64">
        <f t="shared" si="146"/>
        <v>118.53250000000001</v>
      </c>
      <c r="X239" s="65">
        <f t="shared" si="148"/>
        <v>43264.362500000003</v>
      </c>
    </row>
    <row r="240" spans="1:24" ht="16.5" thickBot="1" x14ac:dyDescent="0.3">
      <c r="A240" s="50" t="s">
        <v>144</v>
      </c>
      <c r="B240" s="34"/>
      <c r="C240" s="4">
        <v>0</v>
      </c>
      <c r="D240" s="4">
        <v>0</v>
      </c>
      <c r="E240" s="18"/>
      <c r="F240" s="67">
        <f t="shared" si="139"/>
        <v>0</v>
      </c>
      <c r="G240" s="108">
        <f t="shared" si="140"/>
        <v>0</v>
      </c>
      <c r="H240" s="18"/>
      <c r="I240" s="18"/>
      <c r="J240" s="18"/>
      <c r="K240" s="67">
        <f t="shared" si="141"/>
        <v>0</v>
      </c>
      <c r="L240" s="108">
        <f t="shared" si="142"/>
        <v>0</v>
      </c>
      <c r="M240" s="18"/>
      <c r="N240" s="4"/>
      <c r="O240" s="87"/>
      <c r="P240" s="67">
        <f t="shared" si="143"/>
        <v>0</v>
      </c>
      <c r="Q240" s="108">
        <f t="shared" si="147"/>
        <v>0</v>
      </c>
      <c r="R240" s="3"/>
      <c r="S240" s="3"/>
      <c r="T240" s="4"/>
      <c r="U240" s="67">
        <f t="shared" si="144"/>
        <v>0</v>
      </c>
      <c r="V240" s="112">
        <f t="shared" si="145"/>
        <v>0</v>
      </c>
      <c r="W240" s="137">
        <f t="shared" si="146"/>
        <v>0</v>
      </c>
      <c r="X240" s="65">
        <f t="shared" si="148"/>
        <v>0</v>
      </c>
    </row>
    <row r="241" spans="1:24" ht="16.5" thickBot="1" x14ac:dyDescent="0.3">
      <c r="A241" s="46" t="s">
        <v>152</v>
      </c>
      <c r="B241" s="35"/>
      <c r="C241" s="80">
        <f>SUM(C227:C240)</f>
        <v>3625.5189999999998</v>
      </c>
      <c r="D241" s="80">
        <f>SUM(D227:D240)</f>
        <v>3615.4139999999998</v>
      </c>
      <c r="E241" s="80">
        <f>SUM(E227:E240)</f>
        <v>3582.37</v>
      </c>
      <c r="F241" s="68">
        <f t="shared" si="139"/>
        <v>3607.7676666666666</v>
      </c>
      <c r="G241" s="108">
        <f t="shared" si="140"/>
        <v>331914.62533333333</v>
      </c>
      <c r="H241" s="94">
        <f>SUM(H227:H240)</f>
        <v>3551.7809999999999</v>
      </c>
      <c r="I241" s="80">
        <f>SUM(I227:I240)</f>
        <v>3528.0970000000002</v>
      </c>
      <c r="J241" s="80">
        <f>SUM(J227:J240)</f>
        <v>3443.9710000000005</v>
      </c>
      <c r="K241" s="68">
        <f t="shared" si="141"/>
        <v>3507.9496666666673</v>
      </c>
      <c r="L241" s="119">
        <f t="shared" si="142"/>
        <v>322731.36933333339</v>
      </c>
      <c r="M241" s="9">
        <f>SUM(M227:M240)</f>
        <v>3458.076</v>
      </c>
      <c r="N241" s="80">
        <f>SUM(N227:N240)</f>
        <v>3547.2429999999999</v>
      </c>
      <c r="O241" s="80">
        <f>SUM(O227:O240)</f>
        <v>3602.212</v>
      </c>
      <c r="P241" s="68">
        <f t="shared" si="143"/>
        <v>3535.8436666666662</v>
      </c>
      <c r="Q241" s="119">
        <f>P241*90</f>
        <v>318225.92999999993</v>
      </c>
      <c r="R241" s="94">
        <f>SUM(R227:R240)</f>
        <v>3531.9070000000002</v>
      </c>
      <c r="S241" s="80">
        <f>SUM(S227:S240)</f>
        <v>3435.6379999999999</v>
      </c>
      <c r="T241" s="81">
        <f>SUM(T227:T240)</f>
        <v>3489.5769999999998</v>
      </c>
      <c r="U241" s="68">
        <f t="shared" si="144"/>
        <v>3485.7073333333333</v>
      </c>
      <c r="V241" s="120">
        <f t="shared" si="145"/>
        <v>317199.36733333336</v>
      </c>
      <c r="W241" s="138">
        <f t="shared" si="146"/>
        <v>3534.3170833333334</v>
      </c>
      <c r="X241" s="69">
        <f>SUM(X227:X240)</f>
        <v>1290025.7354166664</v>
      </c>
    </row>
    <row r="242" spans="1:24" ht="16.5" thickBot="1" x14ac:dyDescent="0.3">
      <c r="A242" s="46" t="s">
        <v>153</v>
      </c>
      <c r="B242" s="35"/>
      <c r="C242" s="70"/>
      <c r="D242" s="70"/>
      <c r="E242" s="71"/>
      <c r="F242" s="98"/>
      <c r="G242" s="98"/>
      <c r="H242" s="72"/>
      <c r="I242" s="70" t="s">
        <v>258</v>
      </c>
      <c r="J242" s="71"/>
      <c r="K242" s="97"/>
      <c r="L242" s="97"/>
      <c r="M242" s="72"/>
      <c r="N242" s="70"/>
      <c r="O242" s="71"/>
      <c r="P242" s="97"/>
      <c r="Q242" s="97"/>
      <c r="R242" s="72"/>
      <c r="S242" s="70"/>
      <c r="T242" s="71"/>
      <c r="U242" s="71"/>
      <c r="V242" s="70"/>
      <c r="W242" s="96"/>
      <c r="X242" s="69" t="s">
        <v>0</v>
      </c>
    </row>
    <row r="243" spans="1:24" ht="16.5" hidden="1" customHeight="1" thickBot="1" x14ac:dyDescent="0.3">
      <c r="A243" s="49" t="s">
        <v>145</v>
      </c>
      <c r="B243" s="33"/>
      <c r="C243" s="6">
        <v>633</v>
      </c>
      <c r="D243" s="6">
        <v>646</v>
      </c>
      <c r="E243" s="6">
        <v>654</v>
      </c>
      <c r="F243" s="63">
        <f t="shared" ref="F243:F249" si="149">SUM(C243:E243)/3</f>
        <v>644.33333333333337</v>
      </c>
      <c r="G243" s="108">
        <f t="shared" ref="G243:G249" si="150">F243*92</f>
        <v>59278.666666666672</v>
      </c>
      <c r="H243" s="6">
        <v>652</v>
      </c>
      <c r="I243" s="6">
        <v>653</v>
      </c>
      <c r="J243" s="6">
        <v>649</v>
      </c>
      <c r="K243" s="63">
        <f t="shared" ref="K243:K250" si="151">SUM(H243:J243)/3</f>
        <v>651.33333333333337</v>
      </c>
      <c r="L243" s="108">
        <f t="shared" ref="L243:L249" si="152">K243*92</f>
        <v>59922.666666666672</v>
      </c>
      <c r="M243" s="6">
        <v>704</v>
      </c>
      <c r="N243" s="73">
        <v>702</v>
      </c>
      <c r="O243" s="73">
        <v>712</v>
      </c>
      <c r="P243" s="63">
        <f t="shared" ref="P243:P250" si="153">SUM(M243:O243)/3</f>
        <v>706</v>
      </c>
      <c r="Q243" s="108">
        <f t="shared" ref="Q243:Q249" si="154">P243*90</f>
        <v>63540</v>
      </c>
      <c r="R243" s="6">
        <v>697</v>
      </c>
      <c r="S243" s="73">
        <v>687</v>
      </c>
      <c r="T243" s="74">
        <v>689</v>
      </c>
      <c r="U243" s="63">
        <f t="shared" ref="U243:U250" si="155">SUM(R243:T243)/3</f>
        <v>691</v>
      </c>
      <c r="V243" s="111">
        <f t="shared" ref="V243:V249" si="156">U243*91</f>
        <v>62881</v>
      </c>
      <c r="W243" s="64">
        <f t="shared" ref="W243:W248" si="157">SUM(C243+D243+E243+H243+I243+J243+M243+N243+O243+R243+S243+T243)/12</f>
        <v>673.16666666666663</v>
      </c>
      <c r="X243" s="65">
        <f t="shared" ref="X243:X248" si="158">W243*365</f>
        <v>245705.83333333331</v>
      </c>
    </row>
    <row r="244" spans="1:24" ht="16.5" hidden="1" thickBot="1" x14ac:dyDescent="0.3">
      <c r="A244" s="50" t="s">
        <v>146</v>
      </c>
      <c r="B244" s="34"/>
      <c r="C244" s="5">
        <v>6</v>
      </c>
      <c r="D244" s="5">
        <v>5</v>
      </c>
      <c r="E244" s="5">
        <v>4</v>
      </c>
      <c r="F244" s="63">
        <f t="shared" si="149"/>
        <v>5</v>
      </c>
      <c r="G244" s="108">
        <f t="shared" si="150"/>
        <v>460</v>
      </c>
      <c r="H244" s="5">
        <v>3</v>
      </c>
      <c r="I244" s="5">
        <v>2</v>
      </c>
      <c r="J244" s="5">
        <v>2</v>
      </c>
      <c r="K244" s="63">
        <f t="shared" si="151"/>
        <v>2.3333333333333335</v>
      </c>
      <c r="L244" s="108">
        <f t="shared" si="152"/>
        <v>214.66666666666669</v>
      </c>
      <c r="M244" s="5">
        <v>4</v>
      </c>
      <c r="N244" s="75">
        <v>4</v>
      </c>
      <c r="O244" s="75">
        <v>6</v>
      </c>
      <c r="P244" s="63">
        <f t="shared" si="153"/>
        <v>4.666666666666667</v>
      </c>
      <c r="Q244" s="108">
        <f t="shared" si="154"/>
        <v>420</v>
      </c>
      <c r="R244" s="5">
        <v>7</v>
      </c>
      <c r="S244" s="75">
        <v>10</v>
      </c>
      <c r="T244" s="76">
        <v>10</v>
      </c>
      <c r="U244" s="63">
        <f t="shared" si="155"/>
        <v>9</v>
      </c>
      <c r="V244" s="111">
        <f t="shared" si="156"/>
        <v>819</v>
      </c>
      <c r="W244" s="64">
        <f t="shared" si="157"/>
        <v>5.25</v>
      </c>
      <c r="X244" s="66">
        <f t="shared" si="158"/>
        <v>1916.25</v>
      </c>
    </row>
    <row r="245" spans="1:24" ht="16.5" hidden="1" thickBot="1" x14ac:dyDescent="0.3">
      <c r="A245" s="50" t="s">
        <v>148</v>
      </c>
      <c r="B245" s="34"/>
      <c r="C245" s="5">
        <v>34</v>
      </c>
      <c r="D245" s="5">
        <v>42</v>
      </c>
      <c r="E245" s="5">
        <v>37</v>
      </c>
      <c r="F245" s="63">
        <f t="shared" si="149"/>
        <v>37.666666666666664</v>
      </c>
      <c r="G245" s="108">
        <f t="shared" si="150"/>
        <v>3465.333333333333</v>
      </c>
      <c r="H245" s="5">
        <v>33</v>
      </c>
      <c r="I245" s="5">
        <v>33</v>
      </c>
      <c r="J245" s="5">
        <v>32</v>
      </c>
      <c r="K245" s="63">
        <f t="shared" si="151"/>
        <v>32.666666666666664</v>
      </c>
      <c r="L245" s="108">
        <f t="shared" si="152"/>
        <v>3005.333333333333</v>
      </c>
      <c r="M245" s="5">
        <v>33</v>
      </c>
      <c r="N245" s="75">
        <v>29</v>
      </c>
      <c r="O245" s="75">
        <v>29</v>
      </c>
      <c r="P245" s="63">
        <f t="shared" si="153"/>
        <v>30.333333333333332</v>
      </c>
      <c r="Q245" s="108">
        <f t="shared" si="154"/>
        <v>2730</v>
      </c>
      <c r="R245" s="5">
        <v>27</v>
      </c>
      <c r="S245" s="75">
        <v>28</v>
      </c>
      <c r="T245" s="76">
        <v>28</v>
      </c>
      <c r="U245" s="63">
        <f t="shared" si="155"/>
        <v>27.666666666666668</v>
      </c>
      <c r="V245" s="111">
        <f t="shared" si="156"/>
        <v>2517.666666666667</v>
      </c>
      <c r="W245" s="64">
        <f t="shared" si="157"/>
        <v>32.083333333333336</v>
      </c>
      <c r="X245" s="65">
        <f t="shared" si="158"/>
        <v>11710.416666666668</v>
      </c>
    </row>
    <row r="246" spans="1:24" ht="16.5" hidden="1" thickBot="1" x14ac:dyDescent="0.3">
      <c r="A246" s="50" t="s">
        <v>147</v>
      </c>
      <c r="B246" s="34"/>
      <c r="C246" s="5">
        <v>149</v>
      </c>
      <c r="D246" s="5">
        <v>152</v>
      </c>
      <c r="E246" s="5">
        <v>163</v>
      </c>
      <c r="F246" s="63">
        <f t="shared" si="149"/>
        <v>154.66666666666666</v>
      </c>
      <c r="G246" s="108">
        <f t="shared" si="150"/>
        <v>14229.333333333332</v>
      </c>
      <c r="H246" s="5">
        <v>181</v>
      </c>
      <c r="I246" s="5">
        <v>174</v>
      </c>
      <c r="J246" s="5">
        <v>173</v>
      </c>
      <c r="K246" s="63">
        <f t="shared" si="151"/>
        <v>176</v>
      </c>
      <c r="L246" s="108">
        <f t="shared" si="152"/>
        <v>16192</v>
      </c>
      <c r="M246" s="5">
        <v>192</v>
      </c>
      <c r="N246" s="75">
        <v>207</v>
      </c>
      <c r="O246" s="75">
        <v>226</v>
      </c>
      <c r="P246" s="63">
        <f t="shared" si="153"/>
        <v>208.33333333333334</v>
      </c>
      <c r="Q246" s="108">
        <f t="shared" si="154"/>
        <v>18750</v>
      </c>
      <c r="R246" s="5">
        <v>219</v>
      </c>
      <c r="S246" s="75">
        <v>215</v>
      </c>
      <c r="T246" s="76">
        <v>220</v>
      </c>
      <c r="U246" s="63">
        <f t="shared" si="155"/>
        <v>218</v>
      </c>
      <c r="V246" s="111">
        <f t="shared" si="156"/>
        <v>19838</v>
      </c>
      <c r="W246" s="64">
        <f t="shared" si="157"/>
        <v>189.25</v>
      </c>
      <c r="X246" s="66">
        <f t="shared" si="158"/>
        <v>69076.25</v>
      </c>
    </row>
    <row r="247" spans="1:24" ht="16.5" hidden="1" thickBot="1" x14ac:dyDescent="0.3">
      <c r="A247" s="50" t="s">
        <v>149</v>
      </c>
      <c r="B247" s="34"/>
      <c r="C247" s="5">
        <v>836</v>
      </c>
      <c r="D247" s="5">
        <v>846</v>
      </c>
      <c r="E247" s="5">
        <v>886</v>
      </c>
      <c r="F247" s="63">
        <f t="shared" si="149"/>
        <v>856</v>
      </c>
      <c r="G247" s="108">
        <f t="shared" si="150"/>
        <v>78752</v>
      </c>
      <c r="H247" s="5">
        <v>883</v>
      </c>
      <c r="I247" s="5">
        <v>876</v>
      </c>
      <c r="J247" s="5">
        <v>879</v>
      </c>
      <c r="K247" s="63">
        <f t="shared" si="151"/>
        <v>879.33333333333337</v>
      </c>
      <c r="L247" s="108">
        <f t="shared" si="152"/>
        <v>80898.666666666672</v>
      </c>
      <c r="M247" s="5">
        <v>878</v>
      </c>
      <c r="N247" s="75">
        <v>877</v>
      </c>
      <c r="O247" s="75">
        <v>873</v>
      </c>
      <c r="P247" s="63">
        <f t="shared" si="153"/>
        <v>876</v>
      </c>
      <c r="Q247" s="108">
        <f t="shared" si="154"/>
        <v>78840</v>
      </c>
      <c r="R247" s="5">
        <v>868</v>
      </c>
      <c r="S247" s="75">
        <v>868</v>
      </c>
      <c r="T247" s="76">
        <v>855</v>
      </c>
      <c r="U247" s="63">
        <f t="shared" si="155"/>
        <v>863.66666666666663</v>
      </c>
      <c r="V247" s="111">
        <f t="shared" si="156"/>
        <v>78593.666666666657</v>
      </c>
      <c r="W247" s="64">
        <f t="shared" si="157"/>
        <v>868.75</v>
      </c>
      <c r="X247" s="65">
        <f t="shared" si="158"/>
        <v>317093.75</v>
      </c>
    </row>
    <row r="248" spans="1:24" ht="16.5" hidden="1" thickBot="1" x14ac:dyDescent="0.3">
      <c r="A248" s="50" t="s">
        <v>150</v>
      </c>
      <c r="B248" s="34"/>
      <c r="C248" s="5">
        <v>17</v>
      </c>
      <c r="D248" s="5">
        <v>17</v>
      </c>
      <c r="E248" s="5">
        <v>16</v>
      </c>
      <c r="F248" s="63">
        <f t="shared" si="149"/>
        <v>16.666666666666668</v>
      </c>
      <c r="G248" s="108">
        <f t="shared" si="150"/>
        <v>1533.3333333333335</v>
      </c>
      <c r="H248" s="5">
        <v>16</v>
      </c>
      <c r="I248" s="5">
        <v>16</v>
      </c>
      <c r="J248" s="5">
        <v>17</v>
      </c>
      <c r="K248" s="63">
        <f t="shared" si="151"/>
        <v>16.333333333333332</v>
      </c>
      <c r="L248" s="108">
        <f t="shared" si="152"/>
        <v>1502.6666666666665</v>
      </c>
      <c r="M248" s="5">
        <v>17</v>
      </c>
      <c r="N248" s="75">
        <v>17</v>
      </c>
      <c r="O248" s="75">
        <v>17</v>
      </c>
      <c r="P248" s="63">
        <f t="shared" si="153"/>
        <v>17</v>
      </c>
      <c r="Q248" s="108">
        <f t="shared" si="154"/>
        <v>1530</v>
      </c>
      <c r="R248" s="5">
        <v>17</v>
      </c>
      <c r="S248" s="75">
        <v>17</v>
      </c>
      <c r="T248" s="76">
        <v>17</v>
      </c>
      <c r="U248" s="63">
        <f t="shared" si="155"/>
        <v>17</v>
      </c>
      <c r="V248" s="112">
        <f t="shared" si="156"/>
        <v>1547</v>
      </c>
      <c r="W248" s="64">
        <f t="shared" si="157"/>
        <v>16.75</v>
      </c>
      <c r="X248" s="66">
        <f t="shared" si="158"/>
        <v>6113.75</v>
      </c>
    </row>
    <row r="249" spans="1:24" ht="16.5" hidden="1" thickBot="1" x14ac:dyDescent="0.3">
      <c r="A249" s="53" t="s">
        <v>154</v>
      </c>
      <c r="B249" s="37"/>
      <c r="C249" s="80">
        <f>SUM(C243:C248)</f>
        <v>1675</v>
      </c>
      <c r="D249" s="80">
        <f>SUM(D243:D248)</f>
        <v>1708</v>
      </c>
      <c r="E249" s="80">
        <f>SUM(E243:E248)</f>
        <v>1760</v>
      </c>
      <c r="F249" s="68">
        <f t="shared" si="149"/>
        <v>1714.3333333333333</v>
      </c>
      <c r="G249" s="108">
        <f t="shared" si="150"/>
        <v>157718.66666666666</v>
      </c>
      <c r="H249" s="94">
        <f>SUM(H243:H248)</f>
        <v>1768</v>
      </c>
      <c r="I249" s="80">
        <f>SUM(I243:I248)</f>
        <v>1754</v>
      </c>
      <c r="J249" s="80">
        <f>SUM(J243:J248)</f>
        <v>1752</v>
      </c>
      <c r="K249" s="68">
        <f t="shared" si="151"/>
        <v>1758</v>
      </c>
      <c r="L249" s="119">
        <f t="shared" si="152"/>
        <v>161736</v>
      </c>
      <c r="M249" s="94">
        <f>SUM(M243:M248)</f>
        <v>1828</v>
      </c>
      <c r="N249" s="80">
        <f>SUM(N243:N248)</f>
        <v>1836</v>
      </c>
      <c r="O249" s="80">
        <f>SUM(O243:O248)</f>
        <v>1863</v>
      </c>
      <c r="P249" s="68">
        <f t="shared" si="153"/>
        <v>1842.3333333333333</v>
      </c>
      <c r="Q249" s="108">
        <f t="shared" si="154"/>
        <v>165810</v>
      </c>
      <c r="R249" s="94">
        <f>SUM(R243:R248)</f>
        <v>1835</v>
      </c>
      <c r="S249" s="80">
        <f>SUM(S243:S248)</f>
        <v>1825</v>
      </c>
      <c r="T249" s="81">
        <f>SUM(T243:T248)</f>
        <v>1819</v>
      </c>
      <c r="U249" s="68">
        <f t="shared" si="155"/>
        <v>1826.3333333333333</v>
      </c>
      <c r="V249" s="120">
        <f t="shared" si="156"/>
        <v>166196.33333333331</v>
      </c>
      <c r="W249" s="69">
        <f>SUM(W243:W248)</f>
        <v>1785.25</v>
      </c>
      <c r="X249" s="69">
        <f>SUM(X243:X248)</f>
        <v>651616.25</v>
      </c>
    </row>
    <row r="250" spans="1:24" ht="16.5" hidden="1" thickBot="1" x14ac:dyDescent="0.3">
      <c r="A250" s="54" t="s">
        <v>158</v>
      </c>
      <c r="B250" s="38"/>
      <c r="C250" s="80">
        <f>C241+C249</f>
        <v>5300.5190000000002</v>
      </c>
      <c r="D250" s="80">
        <f>D241+D249</f>
        <v>5323.4139999999998</v>
      </c>
      <c r="E250" s="80">
        <f>E241+E249</f>
        <v>5342.37</v>
      </c>
      <c r="F250" s="80">
        <f>F241+F249</f>
        <v>5322.1009999999997</v>
      </c>
      <c r="G250" s="68">
        <f>SUM(G241+G249)</f>
        <v>489633.29200000002</v>
      </c>
      <c r="H250" s="80">
        <f>H241+H249</f>
        <v>5319.7809999999999</v>
      </c>
      <c r="I250" s="80">
        <f>I241+I249</f>
        <v>5282.0969999999998</v>
      </c>
      <c r="J250" s="80">
        <f>J241+J249</f>
        <v>5195.9710000000005</v>
      </c>
      <c r="K250" s="120">
        <f t="shared" si="151"/>
        <v>5265.9496666666673</v>
      </c>
      <c r="L250" s="68">
        <f>SUM(L241+L249)</f>
        <v>484467.36933333339</v>
      </c>
      <c r="M250" s="94">
        <f>M241+M249</f>
        <v>5286.076</v>
      </c>
      <c r="N250" s="80">
        <f>N241+N249</f>
        <v>5383.2430000000004</v>
      </c>
      <c r="O250" s="80">
        <f>O241+O249</f>
        <v>5465.2119999999995</v>
      </c>
      <c r="P250" s="99">
        <f t="shared" si="153"/>
        <v>5378.1769999999997</v>
      </c>
      <c r="Q250" s="68">
        <f>SUM(Q241+Q249)</f>
        <v>484035.92999999993</v>
      </c>
      <c r="R250" s="94">
        <f>R241+R249</f>
        <v>5366.9070000000002</v>
      </c>
      <c r="S250" s="80">
        <f>S241+S249</f>
        <v>5260.6379999999999</v>
      </c>
      <c r="T250" s="81">
        <f>T241+T249</f>
        <v>5308.5769999999993</v>
      </c>
      <c r="U250" s="99">
        <f t="shared" si="155"/>
        <v>5312.0406666666668</v>
      </c>
      <c r="V250" s="68">
        <f>SUM(V241+V249)</f>
        <v>483395.70066666667</v>
      </c>
      <c r="W250" s="80">
        <f>W241+W249</f>
        <v>5319.5670833333334</v>
      </c>
      <c r="X250" s="82">
        <f>X241+X249</f>
        <v>1941641.9854166664</v>
      </c>
    </row>
    <row r="251" spans="1:24" ht="15.75" hidden="1" x14ac:dyDescent="0.25">
      <c r="A251" s="114"/>
      <c r="B251" s="19"/>
      <c r="C251" s="115"/>
      <c r="D251" s="115"/>
      <c r="E251" s="115"/>
      <c r="F251" s="115"/>
      <c r="G251" s="113"/>
      <c r="H251" s="115"/>
      <c r="I251" s="115"/>
      <c r="J251" s="115"/>
      <c r="K251" s="139"/>
      <c r="L251" s="113"/>
      <c r="M251" s="115"/>
      <c r="N251" s="115"/>
      <c r="O251" s="115"/>
      <c r="P251" s="93"/>
      <c r="Q251" s="113"/>
      <c r="R251" s="115"/>
      <c r="S251" s="115"/>
      <c r="T251" s="115"/>
      <c r="U251" s="93"/>
      <c r="V251" s="113"/>
      <c r="W251" s="115"/>
      <c r="X251" s="115"/>
    </row>
    <row r="252" spans="1:24" hidden="1" x14ac:dyDescent="0.2"/>
    <row r="253" spans="1:24" ht="16.5" hidden="1" thickBot="1" x14ac:dyDescent="0.25">
      <c r="A253" s="45" t="s">
        <v>157</v>
      </c>
      <c r="B253" s="10"/>
      <c r="C253" s="13"/>
      <c r="D253" s="13"/>
      <c r="E253" s="13"/>
      <c r="F253" s="13"/>
      <c r="G253" s="13"/>
      <c r="H253" s="13"/>
      <c r="I253" s="13"/>
      <c r="J253" s="13"/>
      <c r="K253" s="13"/>
      <c r="L253" s="13"/>
      <c r="M253" s="13"/>
      <c r="N253" s="13"/>
      <c r="O253" s="13"/>
      <c r="P253" s="13"/>
      <c r="Q253" s="13"/>
      <c r="R253" s="13"/>
      <c r="S253" s="13"/>
      <c r="T253" s="13"/>
      <c r="U253" s="13"/>
      <c r="V253" s="13"/>
      <c r="W253" s="13"/>
      <c r="X253" s="13"/>
    </row>
    <row r="254" spans="1:24" ht="16.5" thickBot="1" x14ac:dyDescent="0.3">
      <c r="A254" s="32" t="s">
        <v>301</v>
      </c>
      <c r="B254" s="1156" t="s">
        <v>155</v>
      </c>
      <c r="C254" s="1157"/>
      <c r="D254" s="1157"/>
      <c r="E254" s="1157"/>
      <c r="F254" s="1157"/>
      <c r="G254" s="1157"/>
      <c r="H254" s="1157"/>
      <c r="I254" s="1157"/>
      <c r="J254" s="1157"/>
      <c r="K254" s="1157"/>
      <c r="L254" s="1157"/>
      <c r="M254" s="1157"/>
      <c r="N254" s="1157"/>
      <c r="O254" s="1157"/>
      <c r="P254" s="1157"/>
      <c r="Q254" s="1157"/>
      <c r="R254" s="1157"/>
      <c r="S254" s="1157"/>
      <c r="T254" s="1157"/>
      <c r="U254" s="39"/>
      <c r="V254" s="39"/>
      <c r="W254" s="92"/>
      <c r="X254" s="13"/>
    </row>
    <row r="255" spans="1:24" ht="15.75" x14ac:dyDescent="0.25">
      <c r="A255" s="11"/>
      <c r="B255" s="40" t="s">
        <v>268</v>
      </c>
      <c r="C255" s="57"/>
      <c r="D255" s="58"/>
      <c r="E255" s="58"/>
      <c r="F255" s="1158" t="s">
        <v>265</v>
      </c>
      <c r="G255" s="1160" t="s">
        <v>285</v>
      </c>
      <c r="H255" s="58"/>
      <c r="I255" s="58"/>
      <c r="J255" s="58"/>
      <c r="K255" s="1158" t="s">
        <v>265</v>
      </c>
      <c r="L255" s="1160" t="s">
        <v>285</v>
      </c>
      <c r="M255" s="58"/>
      <c r="N255" s="58"/>
      <c r="O255" s="58"/>
      <c r="P255" s="1158" t="s">
        <v>265</v>
      </c>
      <c r="Q255" s="1160" t="s">
        <v>285</v>
      </c>
      <c r="R255" s="58"/>
      <c r="S255" s="58"/>
      <c r="T255" s="59"/>
      <c r="U255" s="1158" t="s">
        <v>265</v>
      </c>
      <c r="V255" s="1160" t="s">
        <v>285</v>
      </c>
      <c r="W255" s="1167" t="s">
        <v>156</v>
      </c>
      <c r="X255" s="1165" t="s">
        <v>157</v>
      </c>
    </row>
    <row r="256" spans="1:24" ht="22.5" customHeight="1" thickBot="1" x14ac:dyDescent="0.3">
      <c r="A256" s="47" t="s">
        <v>56</v>
      </c>
      <c r="B256" s="41" t="s">
        <v>269</v>
      </c>
      <c r="C256" s="60">
        <v>39270</v>
      </c>
      <c r="D256" s="61">
        <v>39301</v>
      </c>
      <c r="E256" s="61">
        <v>39332</v>
      </c>
      <c r="F256" s="1159"/>
      <c r="G256" s="1161"/>
      <c r="H256" s="61">
        <v>39362</v>
      </c>
      <c r="I256" s="61">
        <v>39393</v>
      </c>
      <c r="J256" s="61">
        <v>39423</v>
      </c>
      <c r="K256" s="1159"/>
      <c r="L256" s="1161"/>
      <c r="M256" s="61">
        <v>39448</v>
      </c>
      <c r="N256" s="61">
        <v>39479</v>
      </c>
      <c r="O256" s="61">
        <v>39508</v>
      </c>
      <c r="P256" s="1159"/>
      <c r="Q256" s="1161"/>
      <c r="R256" s="61">
        <v>39539</v>
      </c>
      <c r="S256" s="61">
        <v>39569</v>
      </c>
      <c r="T256" s="62">
        <v>39600</v>
      </c>
      <c r="U256" s="1159"/>
      <c r="V256" s="1161"/>
      <c r="W256" s="1168"/>
      <c r="X256" s="1166"/>
    </row>
    <row r="257" spans="1:24" ht="32.25" customHeight="1" thickBot="1" x14ac:dyDescent="0.3">
      <c r="A257" s="48" t="s">
        <v>298</v>
      </c>
      <c r="B257" s="42" t="s">
        <v>270</v>
      </c>
      <c r="C257" s="125">
        <v>497.33</v>
      </c>
      <c r="D257" s="125">
        <v>518.84</v>
      </c>
      <c r="E257" s="117">
        <v>487.7</v>
      </c>
      <c r="F257" s="63">
        <f t="shared" ref="F257:F271" si="159">SUM(C257:E257)/3</f>
        <v>501.29</v>
      </c>
      <c r="G257" s="108">
        <f t="shared" ref="G257:G271" si="160">F257*92</f>
        <v>46118.68</v>
      </c>
      <c r="H257" s="117">
        <v>478.39</v>
      </c>
      <c r="I257" s="117">
        <v>517.5</v>
      </c>
      <c r="J257" s="117">
        <v>496</v>
      </c>
      <c r="K257" s="63">
        <f t="shared" ref="K257:K271" si="161">SUM(H257:J257)/3</f>
        <v>497.29666666666662</v>
      </c>
      <c r="L257" s="108">
        <f t="shared" ref="L257:L271" si="162">K257*92</f>
        <v>45751.293333333328</v>
      </c>
      <c r="M257" s="117">
        <v>496.23</v>
      </c>
      <c r="N257" s="85">
        <v>488.45</v>
      </c>
      <c r="O257" s="85">
        <v>485</v>
      </c>
      <c r="P257" s="63">
        <f t="shared" ref="P257:P271" si="163">SUM(M257:O257)/3</f>
        <v>489.89333333333337</v>
      </c>
      <c r="Q257" s="108">
        <f t="shared" ref="Q257:Q271" si="164">P257*91</f>
        <v>44580.293333333335</v>
      </c>
      <c r="R257" s="117">
        <v>472.9</v>
      </c>
      <c r="S257" s="85">
        <v>474.23</v>
      </c>
      <c r="T257" s="135">
        <v>464.8</v>
      </c>
      <c r="U257" s="63">
        <f t="shared" ref="U257:U271" si="165">SUM(R257:T257)/3</f>
        <v>470.64333333333337</v>
      </c>
      <c r="V257" s="111">
        <f t="shared" ref="V257:V271" si="166">U257*91</f>
        <v>42828.543333333335</v>
      </c>
      <c r="W257" s="64">
        <f t="shared" ref="W257:W271" si="167">SUM(C257+D257+E257+H257+I257+J257+M257+N257+O257+R257+S257+T257)/12</f>
        <v>489.78083333333331</v>
      </c>
      <c r="X257" s="65">
        <f t="shared" ref="X257:X269" si="168">W257*366</f>
        <v>179259.785</v>
      </c>
    </row>
    <row r="258" spans="1:24" ht="16.5" thickBot="1" x14ac:dyDescent="0.3">
      <c r="A258" s="49" t="s">
        <v>140</v>
      </c>
      <c r="B258" s="43" t="s">
        <v>271</v>
      </c>
      <c r="C258" s="126">
        <v>103.6</v>
      </c>
      <c r="D258" s="126">
        <v>105.19</v>
      </c>
      <c r="E258" s="118">
        <v>116.63</v>
      </c>
      <c r="F258" s="63">
        <f t="shared" si="159"/>
        <v>108.47333333333331</v>
      </c>
      <c r="G258" s="108">
        <f t="shared" si="160"/>
        <v>9979.5466666666653</v>
      </c>
      <c r="H258" s="118">
        <v>127.03</v>
      </c>
      <c r="I258" s="118">
        <v>119.67</v>
      </c>
      <c r="J258" s="118">
        <v>114.84</v>
      </c>
      <c r="K258" s="63">
        <f t="shared" si="161"/>
        <v>120.51333333333332</v>
      </c>
      <c r="L258" s="108">
        <f t="shared" si="162"/>
        <v>11087.226666666666</v>
      </c>
      <c r="M258" s="118">
        <v>114.13</v>
      </c>
      <c r="N258" s="86">
        <v>105.28</v>
      </c>
      <c r="O258" s="86">
        <v>114.97</v>
      </c>
      <c r="P258" s="63">
        <f t="shared" si="163"/>
        <v>111.46</v>
      </c>
      <c r="Q258" s="108">
        <f t="shared" si="164"/>
        <v>10142.859999999999</v>
      </c>
      <c r="R258" s="118">
        <v>121.87</v>
      </c>
      <c r="S258" s="86">
        <v>119.32</v>
      </c>
      <c r="T258" s="89">
        <v>119.7</v>
      </c>
      <c r="U258" s="63">
        <f t="shared" si="165"/>
        <v>120.29666666666667</v>
      </c>
      <c r="V258" s="111">
        <f t="shared" si="166"/>
        <v>10946.996666666666</v>
      </c>
      <c r="W258" s="64">
        <f t="shared" si="167"/>
        <v>115.18583333333333</v>
      </c>
      <c r="X258" s="65">
        <f t="shared" si="168"/>
        <v>42158.014999999999</v>
      </c>
    </row>
    <row r="259" spans="1:24" ht="16.5" thickBot="1" x14ac:dyDescent="0.3">
      <c r="A259" s="50" t="s">
        <v>299</v>
      </c>
      <c r="B259" s="44" t="s">
        <v>272</v>
      </c>
      <c r="C259" s="4">
        <v>477.77</v>
      </c>
      <c r="D259" s="4">
        <v>481.42</v>
      </c>
      <c r="E259" s="3">
        <v>478.23</v>
      </c>
      <c r="F259" s="63">
        <f t="shared" si="159"/>
        <v>479.14000000000004</v>
      </c>
      <c r="G259" s="108">
        <f t="shared" si="160"/>
        <v>44080.880000000005</v>
      </c>
      <c r="H259" s="3">
        <v>473.19</v>
      </c>
      <c r="I259" s="3">
        <v>492.93</v>
      </c>
      <c r="J259" s="3">
        <v>493.74</v>
      </c>
      <c r="K259" s="63">
        <f t="shared" si="161"/>
        <v>486.62000000000006</v>
      </c>
      <c r="L259" s="108">
        <f t="shared" si="162"/>
        <v>44769.040000000008</v>
      </c>
      <c r="M259" s="3">
        <v>489.68</v>
      </c>
      <c r="N259" s="87">
        <v>493.34</v>
      </c>
      <c r="O259" s="87">
        <v>494.81</v>
      </c>
      <c r="P259" s="63">
        <f t="shared" si="163"/>
        <v>492.60999999999996</v>
      </c>
      <c r="Q259" s="108">
        <f t="shared" si="164"/>
        <v>44827.509999999995</v>
      </c>
      <c r="R259" s="3">
        <v>483.53</v>
      </c>
      <c r="S259" s="87">
        <v>479.29</v>
      </c>
      <c r="T259" s="90">
        <v>470.47</v>
      </c>
      <c r="U259" s="63">
        <f t="shared" si="165"/>
        <v>477.76333333333332</v>
      </c>
      <c r="V259" s="111">
        <f t="shared" si="166"/>
        <v>43476.463333333333</v>
      </c>
      <c r="W259" s="64">
        <f t="shared" si="167"/>
        <v>484.0333333333333</v>
      </c>
      <c r="X259" s="66">
        <f t="shared" si="168"/>
        <v>177156.19999999998</v>
      </c>
    </row>
    <row r="260" spans="1:24" ht="16.5" thickBot="1" x14ac:dyDescent="0.3">
      <c r="A260" s="50" t="s">
        <v>25</v>
      </c>
      <c r="B260" s="44" t="s">
        <v>273</v>
      </c>
      <c r="C260" s="4">
        <v>293.2</v>
      </c>
      <c r="D260" s="4">
        <v>300.81</v>
      </c>
      <c r="E260" s="3">
        <v>286.37</v>
      </c>
      <c r="F260" s="63">
        <f t="shared" si="159"/>
        <v>293.45999999999998</v>
      </c>
      <c r="G260" s="108">
        <f t="shared" si="160"/>
        <v>26998.32</v>
      </c>
      <c r="H260" s="3">
        <v>301.68</v>
      </c>
      <c r="I260" s="3">
        <v>306.73</v>
      </c>
      <c r="J260" s="3">
        <v>287.35000000000002</v>
      </c>
      <c r="K260" s="63">
        <f t="shared" si="161"/>
        <v>298.5866666666667</v>
      </c>
      <c r="L260" s="108">
        <f t="shared" si="162"/>
        <v>27469.973333333335</v>
      </c>
      <c r="M260" s="3">
        <v>292.10000000000002</v>
      </c>
      <c r="N260" s="87">
        <v>302.83</v>
      </c>
      <c r="O260" s="87">
        <v>303.39</v>
      </c>
      <c r="P260" s="63">
        <f t="shared" si="163"/>
        <v>299.44</v>
      </c>
      <c r="Q260" s="108">
        <f t="shared" si="164"/>
        <v>27249.040000000001</v>
      </c>
      <c r="R260" s="3">
        <v>295.13</v>
      </c>
      <c r="S260" s="87">
        <v>316.74</v>
      </c>
      <c r="T260" s="90">
        <v>311.57</v>
      </c>
      <c r="U260" s="63">
        <f t="shared" si="165"/>
        <v>307.81333333333333</v>
      </c>
      <c r="V260" s="111">
        <f t="shared" si="166"/>
        <v>28011.013333333332</v>
      </c>
      <c r="W260" s="64">
        <f t="shared" si="167"/>
        <v>299.82499999999999</v>
      </c>
      <c r="X260" s="66">
        <f t="shared" si="168"/>
        <v>109735.95</v>
      </c>
    </row>
    <row r="261" spans="1:24" ht="16.5" thickBot="1" x14ac:dyDescent="0.3">
      <c r="A261" s="51" t="s">
        <v>282</v>
      </c>
      <c r="B261" s="44" t="s">
        <v>274</v>
      </c>
      <c r="C261" s="4">
        <v>372.63</v>
      </c>
      <c r="D261" s="4">
        <v>382.94</v>
      </c>
      <c r="E261" s="3">
        <v>387.7</v>
      </c>
      <c r="F261" s="63">
        <f t="shared" si="159"/>
        <v>381.09</v>
      </c>
      <c r="G261" s="108">
        <f t="shared" si="160"/>
        <v>35060.28</v>
      </c>
      <c r="H261" s="3">
        <v>388.48</v>
      </c>
      <c r="I261" s="3">
        <v>388.53</v>
      </c>
      <c r="J261" s="3">
        <v>390.61</v>
      </c>
      <c r="K261" s="63">
        <f t="shared" si="161"/>
        <v>389.20666666666665</v>
      </c>
      <c r="L261" s="108">
        <f t="shared" si="162"/>
        <v>35807.013333333329</v>
      </c>
      <c r="M261" s="3">
        <v>380.19</v>
      </c>
      <c r="N261" s="87">
        <v>376.14</v>
      </c>
      <c r="O261" s="87">
        <v>375.65</v>
      </c>
      <c r="P261" s="63">
        <f t="shared" si="163"/>
        <v>377.32666666666665</v>
      </c>
      <c r="Q261" s="108">
        <f t="shared" si="164"/>
        <v>34336.726666666662</v>
      </c>
      <c r="R261" s="3">
        <v>385.47</v>
      </c>
      <c r="S261" s="87">
        <v>395.55</v>
      </c>
      <c r="T261" s="90">
        <v>375.6</v>
      </c>
      <c r="U261" s="63">
        <f t="shared" si="165"/>
        <v>385.53999999999996</v>
      </c>
      <c r="V261" s="111">
        <f t="shared" si="166"/>
        <v>35084.14</v>
      </c>
      <c r="W261" s="64">
        <f t="shared" si="167"/>
        <v>383.29083333333341</v>
      </c>
      <c r="X261" s="66">
        <f t="shared" si="168"/>
        <v>140284.44500000004</v>
      </c>
    </row>
    <row r="262" spans="1:24" ht="16.5" thickBot="1" x14ac:dyDescent="0.3">
      <c r="A262" s="50" t="s">
        <v>16</v>
      </c>
      <c r="B262" s="44" t="s">
        <v>275</v>
      </c>
      <c r="C262" s="4">
        <v>59.53</v>
      </c>
      <c r="D262" s="4">
        <v>62.064999999999998</v>
      </c>
      <c r="E262" s="3">
        <v>59.9</v>
      </c>
      <c r="F262" s="63">
        <f t="shared" si="159"/>
        <v>60.498333333333335</v>
      </c>
      <c r="G262" s="108">
        <f t="shared" si="160"/>
        <v>5565.8466666666664</v>
      </c>
      <c r="H262" s="3">
        <v>64.451999999999998</v>
      </c>
      <c r="I262" s="3">
        <v>58.667000000000002</v>
      </c>
      <c r="J262" s="3">
        <v>54.805999999999997</v>
      </c>
      <c r="K262" s="63">
        <f t="shared" si="161"/>
        <v>59.308333333333337</v>
      </c>
      <c r="L262" s="108">
        <f t="shared" si="162"/>
        <v>5456.3666666666668</v>
      </c>
      <c r="M262" s="3">
        <v>58.451999999999998</v>
      </c>
      <c r="N262" s="87">
        <v>58.896999999999998</v>
      </c>
      <c r="O262" s="87">
        <v>56.871000000000002</v>
      </c>
      <c r="P262" s="63">
        <f t="shared" si="163"/>
        <v>58.073333333333331</v>
      </c>
      <c r="Q262" s="108">
        <f t="shared" si="164"/>
        <v>5284.6733333333332</v>
      </c>
      <c r="R262" s="3">
        <v>52.6</v>
      </c>
      <c r="S262" s="87">
        <v>52.484000000000002</v>
      </c>
      <c r="T262" s="90">
        <v>58</v>
      </c>
      <c r="U262" s="63">
        <f t="shared" si="165"/>
        <v>54.361333333333334</v>
      </c>
      <c r="V262" s="111">
        <f t="shared" si="166"/>
        <v>4946.8813333333337</v>
      </c>
      <c r="W262" s="64">
        <f t="shared" si="167"/>
        <v>58.06033333333334</v>
      </c>
      <c r="X262" s="66">
        <f t="shared" si="168"/>
        <v>21250.082000000002</v>
      </c>
    </row>
    <row r="263" spans="1:24" ht="16.5" thickBot="1" x14ac:dyDescent="0.3">
      <c r="A263" s="50" t="s">
        <v>17</v>
      </c>
      <c r="B263" s="44" t="s">
        <v>276</v>
      </c>
      <c r="C263" s="4">
        <v>191.07</v>
      </c>
      <c r="D263" s="4">
        <v>202.16</v>
      </c>
      <c r="E263" s="3">
        <v>219.33</v>
      </c>
      <c r="F263" s="63">
        <f t="shared" si="159"/>
        <v>204.1866666666667</v>
      </c>
      <c r="G263" s="108">
        <f t="shared" si="160"/>
        <v>18785.173333333336</v>
      </c>
      <c r="H263" s="3">
        <v>224.58</v>
      </c>
      <c r="I263" s="3">
        <v>212.17</v>
      </c>
      <c r="J263" s="3">
        <v>214</v>
      </c>
      <c r="K263" s="63">
        <f t="shared" si="161"/>
        <v>216.91666666666666</v>
      </c>
      <c r="L263" s="108">
        <f t="shared" si="162"/>
        <v>19956.333333333332</v>
      </c>
      <c r="M263" s="3">
        <v>210.68</v>
      </c>
      <c r="N263" s="87">
        <v>204</v>
      </c>
      <c r="O263" s="87">
        <v>199.61</v>
      </c>
      <c r="P263" s="63">
        <f t="shared" si="163"/>
        <v>204.76333333333332</v>
      </c>
      <c r="Q263" s="108">
        <f t="shared" si="164"/>
        <v>18633.463333333333</v>
      </c>
      <c r="R263" s="3">
        <v>198.63</v>
      </c>
      <c r="S263" s="87">
        <v>201.52</v>
      </c>
      <c r="T263" s="90">
        <v>208.17</v>
      </c>
      <c r="U263" s="63">
        <f t="shared" si="165"/>
        <v>202.77333333333331</v>
      </c>
      <c r="V263" s="111">
        <f t="shared" si="166"/>
        <v>18452.373333333333</v>
      </c>
      <c r="W263" s="64">
        <f t="shared" si="167"/>
        <v>207.16000000000005</v>
      </c>
      <c r="X263" s="66">
        <f t="shared" si="168"/>
        <v>75820.560000000027</v>
      </c>
    </row>
    <row r="264" spans="1:24" ht="16.5" thickBot="1" x14ac:dyDescent="0.3">
      <c r="A264" s="50" t="s">
        <v>142</v>
      </c>
      <c r="B264" s="44" t="s">
        <v>277</v>
      </c>
      <c r="C264" s="4">
        <v>107.23</v>
      </c>
      <c r="D264" s="4">
        <v>112.68</v>
      </c>
      <c r="E264" s="3">
        <v>112.47</v>
      </c>
      <c r="F264" s="63">
        <f t="shared" si="159"/>
        <v>110.79333333333334</v>
      </c>
      <c r="G264" s="108">
        <f t="shared" si="160"/>
        <v>10192.986666666668</v>
      </c>
      <c r="H264" s="3">
        <v>105.71</v>
      </c>
      <c r="I264" s="3">
        <v>116.33</v>
      </c>
      <c r="J264" s="3">
        <v>118.42</v>
      </c>
      <c r="K264" s="63">
        <f t="shared" si="161"/>
        <v>113.48666666666666</v>
      </c>
      <c r="L264" s="108">
        <f t="shared" si="162"/>
        <v>10440.773333333333</v>
      </c>
      <c r="M264" s="3">
        <v>120.87</v>
      </c>
      <c r="N264" s="87">
        <v>114.14</v>
      </c>
      <c r="O264" s="87">
        <v>120</v>
      </c>
      <c r="P264" s="63">
        <f t="shared" si="163"/>
        <v>118.33666666666666</v>
      </c>
      <c r="Q264" s="108">
        <f t="shared" si="164"/>
        <v>10768.636666666665</v>
      </c>
      <c r="R264" s="3">
        <v>111.4</v>
      </c>
      <c r="S264" s="87">
        <v>113.13</v>
      </c>
      <c r="T264" s="90">
        <v>105.33</v>
      </c>
      <c r="U264" s="63">
        <f t="shared" si="165"/>
        <v>109.95333333333333</v>
      </c>
      <c r="V264" s="111">
        <f t="shared" si="166"/>
        <v>10005.753333333334</v>
      </c>
      <c r="W264" s="64">
        <f t="shared" si="167"/>
        <v>113.1425</v>
      </c>
      <c r="X264" s="66">
        <f t="shared" si="168"/>
        <v>41410.154999999999</v>
      </c>
    </row>
    <row r="265" spans="1:24" ht="16.5" thickBot="1" x14ac:dyDescent="0.3">
      <c r="A265" s="51" t="s">
        <v>283</v>
      </c>
      <c r="B265" s="44" t="s">
        <v>278</v>
      </c>
      <c r="C265" s="4">
        <v>401.24</v>
      </c>
      <c r="D265" s="4">
        <v>418.58</v>
      </c>
      <c r="E265" s="3">
        <v>416.06</v>
      </c>
      <c r="F265" s="63">
        <f t="shared" si="159"/>
        <v>411.96</v>
      </c>
      <c r="G265" s="108">
        <f t="shared" si="160"/>
        <v>37900.32</v>
      </c>
      <c r="H265" s="3">
        <v>408.42</v>
      </c>
      <c r="I265" s="3">
        <v>415.64</v>
      </c>
      <c r="J265" s="3">
        <v>415.45</v>
      </c>
      <c r="K265" s="63">
        <f t="shared" si="161"/>
        <v>413.17</v>
      </c>
      <c r="L265" s="108">
        <f t="shared" si="162"/>
        <v>38011.64</v>
      </c>
      <c r="M265" s="3">
        <v>419.25</v>
      </c>
      <c r="N265" s="87">
        <v>416.96</v>
      </c>
      <c r="O265" s="87">
        <v>413.39</v>
      </c>
      <c r="P265" s="63">
        <f t="shared" si="163"/>
        <v>416.5333333333333</v>
      </c>
      <c r="Q265" s="108">
        <f t="shared" si="164"/>
        <v>37904.533333333333</v>
      </c>
      <c r="R265" s="3">
        <v>425.9</v>
      </c>
      <c r="S265" s="87">
        <v>419.71</v>
      </c>
      <c r="T265" s="90">
        <v>417.84</v>
      </c>
      <c r="U265" s="63">
        <f t="shared" si="165"/>
        <v>421.14999999999992</v>
      </c>
      <c r="V265" s="111">
        <f t="shared" si="166"/>
        <v>38324.649999999994</v>
      </c>
      <c r="W265" s="64">
        <f t="shared" si="167"/>
        <v>415.70333333333332</v>
      </c>
      <c r="X265" s="66">
        <f t="shared" si="168"/>
        <v>152147.41999999998</v>
      </c>
    </row>
    <row r="266" spans="1:24" ht="16.5" thickBot="1" x14ac:dyDescent="0.3">
      <c r="A266" s="50" t="s">
        <v>151</v>
      </c>
      <c r="B266" s="121" t="s">
        <v>286</v>
      </c>
      <c r="C266" s="4">
        <v>114.47</v>
      </c>
      <c r="D266" s="4">
        <v>118.03</v>
      </c>
      <c r="E266" s="3">
        <v>126.1</v>
      </c>
      <c r="F266" s="63">
        <f t="shared" si="159"/>
        <v>119.53333333333335</v>
      </c>
      <c r="G266" s="108">
        <f t="shared" si="160"/>
        <v>10997.066666666668</v>
      </c>
      <c r="H266" s="3">
        <v>123.23</v>
      </c>
      <c r="I266" s="3">
        <v>121.9</v>
      </c>
      <c r="J266" s="3">
        <v>120.58</v>
      </c>
      <c r="K266" s="63">
        <f t="shared" si="161"/>
        <v>121.90333333333332</v>
      </c>
      <c r="L266" s="108">
        <f t="shared" si="162"/>
        <v>11215.106666666665</v>
      </c>
      <c r="M266" s="3">
        <v>118.13</v>
      </c>
      <c r="N266" s="87">
        <v>121.76</v>
      </c>
      <c r="O266" s="87">
        <v>126.06</v>
      </c>
      <c r="P266" s="63">
        <f t="shared" si="163"/>
        <v>121.98333333333333</v>
      </c>
      <c r="Q266" s="108">
        <f t="shared" si="164"/>
        <v>11100.483333333334</v>
      </c>
      <c r="R266" s="3">
        <v>121.87</v>
      </c>
      <c r="S266" s="87">
        <v>119.39</v>
      </c>
      <c r="T266" s="90">
        <v>119.73</v>
      </c>
      <c r="U266" s="63">
        <f t="shared" si="165"/>
        <v>120.33</v>
      </c>
      <c r="V266" s="111">
        <f t="shared" si="166"/>
        <v>10950.03</v>
      </c>
      <c r="W266" s="64">
        <f t="shared" si="167"/>
        <v>120.93750000000001</v>
      </c>
      <c r="X266" s="66">
        <f t="shared" si="168"/>
        <v>44263.125000000007</v>
      </c>
    </row>
    <row r="267" spans="1:24" ht="16.5" thickBot="1" x14ac:dyDescent="0.3">
      <c r="A267" s="49" t="s">
        <v>20</v>
      </c>
      <c r="B267" s="43" t="s">
        <v>279</v>
      </c>
      <c r="C267" s="126">
        <v>534.33000000000004</v>
      </c>
      <c r="D267" s="126">
        <v>522</v>
      </c>
      <c r="E267" s="118">
        <v>539.79999999999995</v>
      </c>
      <c r="F267" s="63">
        <f t="shared" si="159"/>
        <v>532.04333333333329</v>
      </c>
      <c r="G267" s="108">
        <f t="shared" si="160"/>
        <v>48947.986666666664</v>
      </c>
      <c r="H267" s="118">
        <v>533.9</v>
      </c>
      <c r="I267" s="3">
        <v>523.23</v>
      </c>
      <c r="J267" s="118">
        <v>536.65</v>
      </c>
      <c r="K267" s="63">
        <f t="shared" si="161"/>
        <v>531.2600000000001</v>
      </c>
      <c r="L267" s="111">
        <f t="shared" si="162"/>
        <v>48875.920000000013</v>
      </c>
      <c r="M267" s="3">
        <v>531.54999999999995</v>
      </c>
      <c r="N267" s="86">
        <v>540.66</v>
      </c>
      <c r="O267" s="86">
        <v>539.23</v>
      </c>
      <c r="P267" s="63">
        <f t="shared" si="163"/>
        <v>537.14666666666665</v>
      </c>
      <c r="Q267" s="108">
        <f t="shared" si="164"/>
        <v>48880.346666666665</v>
      </c>
      <c r="R267" s="3">
        <v>546.73</v>
      </c>
      <c r="S267" s="86">
        <v>549.54999999999995</v>
      </c>
      <c r="T267" s="89">
        <v>542.33000000000004</v>
      </c>
      <c r="U267" s="63">
        <f t="shared" si="165"/>
        <v>546.20333333333338</v>
      </c>
      <c r="V267" s="111">
        <f t="shared" si="166"/>
        <v>49704.503333333334</v>
      </c>
      <c r="W267" s="64">
        <f t="shared" si="167"/>
        <v>536.6633333333333</v>
      </c>
      <c r="X267" s="65">
        <f t="shared" si="168"/>
        <v>196418.78</v>
      </c>
    </row>
    <row r="268" spans="1:24" ht="16.5" thickBot="1" x14ac:dyDescent="0.3">
      <c r="A268" s="51" t="s">
        <v>284</v>
      </c>
      <c r="B268" s="44" t="s">
        <v>280</v>
      </c>
      <c r="C268" s="4">
        <v>368.7</v>
      </c>
      <c r="D268" s="4">
        <v>389.1</v>
      </c>
      <c r="E268" s="3">
        <v>375.1</v>
      </c>
      <c r="F268" s="63">
        <f t="shared" si="159"/>
        <v>377.63333333333338</v>
      </c>
      <c r="G268" s="108">
        <f t="shared" si="160"/>
        <v>34742.26666666667</v>
      </c>
      <c r="H268" s="3">
        <v>359.84</v>
      </c>
      <c r="I268" s="3">
        <v>370.83</v>
      </c>
      <c r="J268" s="3">
        <v>367.13</v>
      </c>
      <c r="K268" s="63">
        <f t="shared" si="161"/>
        <v>365.93333333333334</v>
      </c>
      <c r="L268" s="108">
        <f t="shared" si="162"/>
        <v>33665.866666666669</v>
      </c>
      <c r="M268" s="3">
        <v>387.26</v>
      </c>
      <c r="N268" s="87">
        <v>370.69</v>
      </c>
      <c r="O268" s="87">
        <v>381.1</v>
      </c>
      <c r="P268" s="63">
        <f t="shared" si="163"/>
        <v>379.68333333333339</v>
      </c>
      <c r="Q268" s="108">
        <f t="shared" si="164"/>
        <v>34551.183333333342</v>
      </c>
      <c r="R268" s="3">
        <v>378.1</v>
      </c>
      <c r="S268" s="87">
        <v>371.32</v>
      </c>
      <c r="T268" s="90">
        <v>369.87</v>
      </c>
      <c r="U268" s="63">
        <f t="shared" si="165"/>
        <v>373.09666666666664</v>
      </c>
      <c r="V268" s="111">
        <f t="shared" si="166"/>
        <v>33951.796666666662</v>
      </c>
      <c r="W268" s="64">
        <f t="shared" si="167"/>
        <v>374.08666666666664</v>
      </c>
      <c r="X268" s="66">
        <f t="shared" si="168"/>
        <v>136915.72</v>
      </c>
    </row>
    <row r="269" spans="1:24" ht="16.5" thickBot="1" x14ac:dyDescent="0.3">
      <c r="A269" s="50" t="s">
        <v>143</v>
      </c>
      <c r="B269" s="44" t="s">
        <v>281</v>
      </c>
      <c r="C269" s="4">
        <v>103.5</v>
      </c>
      <c r="D269" s="4">
        <v>106.61</v>
      </c>
      <c r="E269" s="3">
        <v>112.3</v>
      </c>
      <c r="F269" s="63">
        <f t="shared" si="159"/>
        <v>107.47000000000001</v>
      </c>
      <c r="G269" s="108">
        <f t="shared" si="160"/>
        <v>9887.2400000000016</v>
      </c>
      <c r="H269" s="3">
        <v>104.45</v>
      </c>
      <c r="I269" s="3">
        <v>115.03</v>
      </c>
      <c r="J269" s="3">
        <v>108.74</v>
      </c>
      <c r="K269" s="63">
        <f t="shared" si="161"/>
        <v>109.40666666666668</v>
      </c>
      <c r="L269" s="108">
        <f t="shared" si="162"/>
        <v>10065.413333333334</v>
      </c>
      <c r="M269" s="3">
        <v>105.71</v>
      </c>
      <c r="N269" s="87">
        <v>110.93</v>
      </c>
      <c r="O269" s="87">
        <v>110.61</v>
      </c>
      <c r="P269" s="63">
        <f t="shared" si="163"/>
        <v>109.08333333333333</v>
      </c>
      <c r="Q269" s="108">
        <f t="shared" si="164"/>
        <v>9926.5833333333321</v>
      </c>
      <c r="R269" s="3">
        <v>110.73</v>
      </c>
      <c r="S269" s="87">
        <v>109.84</v>
      </c>
      <c r="T269" s="90">
        <v>111.77</v>
      </c>
      <c r="U269" s="63">
        <f t="shared" si="165"/>
        <v>110.77999999999999</v>
      </c>
      <c r="V269" s="111">
        <f t="shared" si="166"/>
        <v>10080.98</v>
      </c>
      <c r="W269" s="64">
        <f t="shared" si="167"/>
        <v>109.18499999999999</v>
      </c>
      <c r="X269" s="66">
        <f t="shared" si="168"/>
        <v>39961.71</v>
      </c>
    </row>
    <row r="270" spans="1:24" ht="16.5" thickBot="1" x14ac:dyDescent="0.3">
      <c r="A270" s="50" t="s">
        <v>144</v>
      </c>
      <c r="B270" s="34"/>
      <c r="C270" s="4">
        <v>0</v>
      </c>
      <c r="D270" s="4">
        <v>0</v>
      </c>
      <c r="E270" s="18"/>
      <c r="F270" s="67">
        <f t="shared" si="159"/>
        <v>0</v>
      </c>
      <c r="G270" s="108">
        <f t="shared" si="160"/>
        <v>0</v>
      </c>
      <c r="H270" s="18">
        <v>0</v>
      </c>
      <c r="I270" s="18">
        <v>0</v>
      </c>
      <c r="J270" s="18"/>
      <c r="K270" s="67">
        <f t="shared" si="161"/>
        <v>0</v>
      </c>
      <c r="L270" s="108">
        <f t="shared" si="162"/>
        <v>0</v>
      </c>
      <c r="M270" s="18"/>
      <c r="N270" s="4">
        <v>0</v>
      </c>
      <c r="O270" s="87"/>
      <c r="P270" s="67">
        <f t="shared" si="163"/>
        <v>0</v>
      </c>
      <c r="Q270" s="108">
        <f t="shared" si="164"/>
        <v>0</v>
      </c>
      <c r="R270" s="3"/>
      <c r="S270" s="4"/>
      <c r="T270" s="4"/>
      <c r="U270" s="67">
        <f t="shared" si="165"/>
        <v>0</v>
      </c>
      <c r="V270" s="112">
        <f t="shared" si="166"/>
        <v>0</v>
      </c>
      <c r="W270" s="137">
        <f t="shared" si="167"/>
        <v>0</v>
      </c>
      <c r="X270" s="66">
        <f>W270*365</f>
        <v>0</v>
      </c>
    </row>
    <row r="271" spans="1:24" ht="16.5" thickBot="1" x14ac:dyDescent="0.3">
      <c r="A271" s="46" t="s">
        <v>152</v>
      </c>
      <c r="B271" s="35"/>
      <c r="C271" s="80">
        <f>SUM(C257:C270)</f>
        <v>3624.599999999999</v>
      </c>
      <c r="D271" s="80">
        <f>SUM(D257:D270)</f>
        <v>3720.4250000000002</v>
      </c>
      <c r="E271" s="80">
        <f>SUM(E257:E270)</f>
        <v>3717.69</v>
      </c>
      <c r="F271" s="68">
        <f t="shared" si="159"/>
        <v>3687.5716666666667</v>
      </c>
      <c r="G271" s="108">
        <f t="shared" si="160"/>
        <v>339256.59333333332</v>
      </c>
      <c r="H271" s="94">
        <f>SUM(H257:H270)</f>
        <v>3693.3520000000003</v>
      </c>
      <c r="I271" s="80">
        <f>SUM(I257:I270)</f>
        <v>3759.1569999999997</v>
      </c>
      <c r="J271" s="80">
        <f>SUM(J257:J270)</f>
        <v>3718.3159999999998</v>
      </c>
      <c r="K271" s="68">
        <f t="shared" si="161"/>
        <v>3723.6083333333336</v>
      </c>
      <c r="L271" s="119">
        <f t="shared" si="162"/>
        <v>342571.96666666667</v>
      </c>
      <c r="M271" s="9">
        <f>SUM(M257:M270)</f>
        <v>3724.232</v>
      </c>
      <c r="N271" s="80">
        <f>SUM(N257:N270)</f>
        <v>3704.0769999999998</v>
      </c>
      <c r="O271" s="80">
        <f>SUM(O257:O270)</f>
        <v>3720.6910000000003</v>
      </c>
      <c r="P271" s="68">
        <f t="shared" si="163"/>
        <v>3716.3333333333335</v>
      </c>
      <c r="Q271" s="119">
        <f t="shared" si="164"/>
        <v>338186.33333333337</v>
      </c>
      <c r="R271" s="94">
        <f>SUM(R257:R270)</f>
        <v>3704.8599999999997</v>
      </c>
      <c r="S271" s="80">
        <f>SUM(S257:S270)</f>
        <v>3722.0740000000001</v>
      </c>
      <c r="T271" s="81">
        <f>SUM(T257:T270)</f>
        <v>3675.18</v>
      </c>
      <c r="U271" s="68">
        <f t="shared" si="165"/>
        <v>3700.7046666666665</v>
      </c>
      <c r="V271" s="120">
        <f t="shared" si="166"/>
        <v>336764.12466666667</v>
      </c>
      <c r="W271" s="138">
        <f t="shared" si="167"/>
        <v>3707.0545000000002</v>
      </c>
      <c r="X271" s="69">
        <f>SUM(X257:X270)</f>
        <v>1356781.9470000002</v>
      </c>
    </row>
    <row r="272" spans="1:24" ht="16.5" thickBot="1" x14ac:dyDescent="0.3">
      <c r="A272" s="46" t="s">
        <v>153</v>
      </c>
      <c r="B272" s="35"/>
      <c r="C272" s="70"/>
      <c r="D272" s="70"/>
      <c r="E272" s="71"/>
      <c r="F272" s="98"/>
      <c r="G272" s="98"/>
      <c r="H272" s="72"/>
      <c r="I272" s="70" t="s">
        <v>258</v>
      </c>
      <c r="J272" s="71"/>
      <c r="K272" s="97"/>
      <c r="L272" s="97"/>
      <c r="M272" s="72"/>
      <c r="N272" s="70"/>
      <c r="O272" s="71"/>
      <c r="P272" s="97"/>
      <c r="Q272" s="97"/>
      <c r="R272" s="72"/>
      <c r="S272" s="70"/>
      <c r="T272" s="71"/>
      <c r="U272" s="71"/>
      <c r="V272" s="70"/>
      <c r="W272" s="96"/>
      <c r="X272" s="69" t="s">
        <v>0</v>
      </c>
    </row>
    <row r="273" spans="1:24" ht="25.5" customHeight="1" thickBot="1" x14ac:dyDescent="0.3">
      <c r="A273" s="49" t="s">
        <v>145</v>
      </c>
      <c r="B273" s="33"/>
      <c r="C273" s="6">
        <v>546</v>
      </c>
      <c r="D273" s="6">
        <v>550</v>
      </c>
      <c r="E273" s="6">
        <v>604</v>
      </c>
      <c r="F273" s="63">
        <f t="shared" ref="F273:F279" si="169">SUM(C273:E273)/3</f>
        <v>566.66666666666663</v>
      </c>
      <c r="G273" s="108">
        <f t="shared" ref="G273:G279" si="170">F273*92</f>
        <v>52133.333333333328</v>
      </c>
      <c r="H273" s="6">
        <v>624</v>
      </c>
      <c r="I273" s="6">
        <v>648</v>
      </c>
      <c r="J273" s="6">
        <v>622</v>
      </c>
      <c r="K273" s="63">
        <f t="shared" ref="K273:K280" si="171">SUM(H273:J273)/3</f>
        <v>631.33333333333337</v>
      </c>
      <c r="L273" s="108">
        <f t="shared" ref="L273:L279" si="172">K273*92</f>
        <v>58082.666666666672</v>
      </c>
      <c r="M273" s="6">
        <v>637</v>
      </c>
      <c r="N273" s="73">
        <v>647</v>
      </c>
      <c r="O273" s="73">
        <v>630</v>
      </c>
      <c r="P273" s="63">
        <f t="shared" ref="P273:P280" si="173">SUM(M273:O273)/3</f>
        <v>638</v>
      </c>
      <c r="Q273" s="108">
        <f t="shared" ref="Q273:Q279" si="174">P273*91</f>
        <v>58058</v>
      </c>
      <c r="R273" s="6">
        <v>629</v>
      </c>
      <c r="S273" s="73">
        <v>612</v>
      </c>
      <c r="T273" s="74">
        <v>609</v>
      </c>
      <c r="U273" s="63">
        <f t="shared" ref="U273:U280" si="175">SUM(R273:T273)/3</f>
        <v>616.66666666666663</v>
      </c>
      <c r="V273" s="111">
        <f t="shared" ref="V273:V279" si="176">U273*91</f>
        <v>56116.666666666664</v>
      </c>
      <c r="W273" s="64">
        <f t="shared" ref="W273:W278" si="177">SUM(C273+D273+E273+H273+I273+J273+M273+N273+O273+R273+S273+T273)/12</f>
        <v>613.16666666666663</v>
      </c>
      <c r="X273" s="65">
        <f t="shared" ref="X273:X278" si="178">W273*366</f>
        <v>224419</v>
      </c>
    </row>
    <row r="274" spans="1:24" ht="16.5" thickBot="1" x14ac:dyDescent="0.3">
      <c r="A274" s="50" t="s">
        <v>146</v>
      </c>
      <c r="B274" s="34"/>
      <c r="C274" s="5">
        <v>6</v>
      </c>
      <c r="D274" s="5">
        <v>4</v>
      </c>
      <c r="E274" s="5">
        <v>5</v>
      </c>
      <c r="F274" s="63">
        <f t="shared" si="169"/>
        <v>5</v>
      </c>
      <c r="G274" s="108">
        <f t="shared" si="170"/>
        <v>460</v>
      </c>
      <c r="H274" s="5">
        <v>6</v>
      </c>
      <c r="I274" s="5">
        <v>5</v>
      </c>
      <c r="J274" s="5">
        <v>5</v>
      </c>
      <c r="K274" s="63">
        <f t="shared" si="171"/>
        <v>5.333333333333333</v>
      </c>
      <c r="L274" s="108">
        <f t="shared" si="172"/>
        <v>490.66666666666663</v>
      </c>
      <c r="M274" s="5">
        <v>6</v>
      </c>
      <c r="N274" s="75">
        <v>7</v>
      </c>
      <c r="O274" s="75">
        <v>7</v>
      </c>
      <c r="P274" s="63">
        <f t="shared" si="173"/>
        <v>6.666666666666667</v>
      </c>
      <c r="Q274" s="108">
        <f t="shared" si="174"/>
        <v>606.66666666666674</v>
      </c>
      <c r="R274" s="5">
        <v>7</v>
      </c>
      <c r="S274" s="75">
        <v>7</v>
      </c>
      <c r="T274" s="76">
        <v>5</v>
      </c>
      <c r="U274" s="63">
        <f t="shared" si="175"/>
        <v>6.333333333333333</v>
      </c>
      <c r="V274" s="111">
        <f t="shared" si="176"/>
        <v>576.33333333333326</v>
      </c>
      <c r="W274" s="64">
        <f t="shared" si="177"/>
        <v>5.833333333333333</v>
      </c>
      <c r="X274" s="66">
        <f t="shared" si="178"/>
        <v>2135</v>
      </c>
    </row>
    <row r="275" spans="1:24" ht="16.5" thickBot="1" x14ac:dyDescent="0.3">
      <c r="A275" s="50" t="s">
        <v>148</v>
      </c>
      <c r="B275" s="34"/>
      <c r="C275" s="5">
        <v>29</v>
      </c>
      <c r="D275" s="5">
        <v>29</v>
      </c>
      <c r="E275" s="5">
        <v>28</v>
      </c>
      <c r="F275" s="63">
        <f t="shared" si="169"/>
        <v>28.666666666666668</v>
      </c>
      <c r="G275" s="108">
        <f t="shared" si="170"/>
        <v>2637.3333333333335</v>
      </c>
      <c r="H275" s="5">
        <v>32</v>
      </c>
      <c r="I275" s="5">
        <v>32</v>
      </c>
      <c r="J275" s="5">
        <v>33</v>
      </c>
      <c r="K275" s="63">
        <f t="shared" si="171"/>
        <v>32.333333333333336</v>
      </c>
      <c r="L275" s="108">
        <f t="shared" si="172"/>
        <v>2974.666666666667</v>
      </c>
      <c r="M275" s="5">
        <v>32</v>
      </c>
      <c r="N275" s="75">
        <v>32</v>
      </c>
      <c r="O275" s="75">
        <v>32</v>
      </c>
      <c r="P275" s="63">
        <f t="shared" si="173"/>
        <v>32</v>
      </c>
      <c r="Q275" s="108">
        <f t="shared" si="174"/>
        <v>2912</v>
      </c>
      <c r="R275" s="5">
        <v>35</v>
      </c>
      <c r="S275" s="75">
        <v>34</v>
      </c>
      <c r="T275" s="76">
        <v>32</v>
      </c>
      <c r="U275" s="63">
        <f t="shared" si="175"/>
        <v>33.666666666666664</v>
      </c>
      <c r="V275" s="111">
        <f t="shared" si="176"/>
        <v>3063.6666666666665</v>
      </c>
      <c r="W275" s="64">
        <f t="shared" si="177"/>
        <v>31.666666666666668</v>
      </c>
      <c r="X275" s="66">
        <f t="shared" si="178"/>
        <v>11590</v>
      </c>
    </row>
    <row r="276" spans="1:24" ht="16.5" thickBot="1" x14ac:dyDescent="0.3">
      <c r="A276" s="50" t="s">
        <v>147</v>
      </c>
      <c r="B276" s="34"/>
      <c r="C276" s="5">
        <v>144</v>
      </c>
      <c r="D276" s="5">
        <v>146</v>
      </c>
      <c r="E276" s="5">
        <v>146</v>
      </c>
      <c r="F276" s="63">
        <f t="shared" si="169"/>
        <v>145.33333333333334</v>
      </c>
      <c r="G276" s="108">
        <f t="shared" si="170"/>
        <v>13370.666666666668</v>
      </c>
      <c r="H276" s="5">
        <v>153</v>
      </c>
      <c r="I276" s="5">
        <v>159</v>
      </c>
      <c r="J276" s="5">
        <v>147</v>
      </c>
      <c r="K276" s="63">
        <f t="shared" si="171"/>
        <v>153</v>
      </c>
      <c r="L276" s="108">
        <f t="shared" si="172"/>
        <v>14076</v>
      </c>
      <c r="M276" s="5">
        <v>150</v>
      </c>
      <c r="N276" s="75">
        <v>145</v>
      </c>
      <c r="O276" s="75">
        <v>147</v>
      </c>
      <c r="P276" s="63">
        <f t="shared" si="173"/>
        <v>147.33333333333334</v>
      </c>
      <c r="Q276" s="108">
        <f t="shared" si="174"/>
        <v>13407.333333333334</v>
      </c>
      <c r="R276" s="5">
        <v>153</v>
      </c>
      <c r="S276" s="75">
        <v>162</v>
      </c>
      <c r="T276" s="76">
        <v>155</v>
      </c>
      <c r="U276" s="63">
        <f t="shared" si="175"/>
        <v>156.66666666666666</v>
      </c>
      <c r="V276" s="111">
        <f t="shared" si="176"/>
        <v>14256.666666666666</v>
      </c>
      <c r="W276" s="64">
        <f t="shared" si="177"/>
        <v>150.58333333333334</v>
      </c>
      <c r="X276" s="66">
        <f t="shared" si="178"/>
        <v>55113.5</v>
      </c>
    </row>
    <row r="277" spans="1:24" ht="16.5" thickBot="1" x14ac:dyDescent="0.3">
      <c r="A277" s="50" t="s">
        <v>149</v>
      </c>
      <c r="B277" s="34"/>
      <c r="C277" s="5">
        <v>913</v>
      </c>
      <c r="D277" s="5">
        <v>860</v>
      </c>
      <c r="E277" s="5">
        <v>859</v>
      </c>
      <c r="F277" s="63">
        <f t="shared" si="169"/>
        <v>877.33333333333337</v>
      </c>
      <c r="G277" s="108">
        <f t="shared" si="170"/>
        <v>80714.666666666672</v>
      </c>
      <c r="H277" s="5">
        <v>856</v>
      </c>
      <c r="I277" s="5">
        <v>853</v>
      </c>
      <c r="J277" s="5">
        <v>854</v>
      </c>
      <c r="K277" s="63">
        <f t="shared" si="171"/>
        <v>854.33333333333337</v>
      </c>
      <c r="L277" s="108">
        <f t="shared" si="172"/>
        <v>78598.666666666672</v>
      </c>
      <c r="M277" s="5">
        <v>854</v>
      </c>
      <c r="N277" s="75">
        <v>853</v>
      </c>
      <c r="O277" s="75">
        <v>847</v>
      </c>
      <c r="P277" s="63">
        <f t="shared" si="173"/>
        <v>851.33333333333337</v>
      </c>
      <c r="Q277" s="108">
        <f t="shared" si="174"/>
        <v>77471.333333333343</v>
      </c>
      <c r="R277" s="5">
        <v>847</v>
      </c>
      <c r="S277" s="75">
        <v>845</v>
      </c>
      <c r="T277" s="76">
        <v>839</v>
      </c>
      <c r="U277" s="63">
        <f t="shared" si="175"/>
        <v>843.66666666666663</v>
      </c>
      <c r="V277" s="111">
        <f t="shared" si="176"/>
        <v>76773.666666666657</v>
      </c>
      <c r="W277" s="64">
        <f t="shared" si="177"/>
        <v>856.66666666666663</v>
      </c>
      <c r="X277" s="66">
        <f t="shared" si="178"/>
        <v>313540</v>
      </c>
    </row>
    <row r="278" spans="1:24" ht="16.5" thickBot="1" x14ac:dyDescent="0.3">
      <c r="A278" s="50" t="s">
        <v>150</v>
      </c>
      <c r="B278" s="34"/>
      <c r="C278" s="5">
        <v>18</v>
      </c>
      <c r="D278" s="5">
        <v>18</v>
      </c>
      <c r="E278" s="5">
        <v>18</v>
      </c>
      <c r="F278" s="63">
        <f t="shared" si="169"/>
        <v>18</v>
      </c>
      <c r="G278" s="108">
        <f t="shared" si="170"/>
        <v>1656</v>
      </c>
      <c r="H278" s="5">
        <v>18</v>
      </c>
      <c r="I278" s="5">
        <v>18</v>
      </c>
      <c r="J278" s="5">
        <v>18</v>
      </c>
      <c r="K278" s="63">
        <f t="shared" si="171"/>
        <v>18</v>
      </c>
      <c r="L278" s="108">
        <f t="shared" si="172"/>
        <v>1656</v>
      </c>
      <c r="M278" s="5">
        <v>18</v>
      </c>
      <c r="N278" s="75">
        <v>17</v>
      </c>
      <c r="O278" s="75">
        <v>17</v>
      </c>
      <c r="P278" s="63">
        <f t="shared" si="173"/>
        <v>17.333333333333332</v>
      </c>
      <c r="Q278" s="108">
        <f t="shared" si="174"/>
        <v>1577.3333333333333</v>
      </c>
      <c r="R278" s="5">
        <v>17</v>
      </c>
      <c r="S278" s="75">
        <v>17</v>
      </c>
      <c r="T278" s="76">
        <v>17</v>
      </c>
      <c r="U278" s="63">
        <f t="shared" si="175"/>
        <v>17</v>
      </c>
      <c r="V278" s="112">
        <f t="shared" si="176"/>
        <v>1547</v>
      </c>
      <c r="W278" s="64">
        <f t="shared" si="177"/>
        <v>17.583333333333332</v>
      </c>
      <c r="X278" s="66">
        <f t="shared" si="178"/>
        <v>6435.5</v>
      </c>
    </row>
    <row r="279" spans="1:24" ht="16.5" thickBot="1" x14ac:dyDescent="0.3">
      <c r="A279" s="53" t="s">
        <v>154</v>
      </c>
      <c r="B279" s="37"/>
      <c r="C279" s="80">
        <f>SUM(C273:C278)</f>
        <v>1656</v>
      </c>
      <c r="D279" s="80">
        <f>SUM(D273:D278)</f>
        <v>1607</v>
      </c>
      <c r="E279" s="80">
        <f>SUM(E273:E278)</f>
        <v>1660</v>
      </c>
      <c r="F279" s="68">
        <f t="shared" si="169"/>
        <v>1641</v>
      </c>
      <c r="G279" s="108">
        <f t="shared" si="170"/>
        <v>150972</v>
      </c>
      <c r="H279" s="94">
        <f>SUM(H273:H278)</f>
        <v>1689</v>
      </c>
      <c r="I279" s="80">
        <f>SUM(I273:I278)</f>
        <v>1715</v>
      </c>
      <c r="J279" s="80">
        <f>SUM(J273:J278)</f>
        <v>1679</v>
      </c>
      <c r="K279" s="68">
        <f t="shared" si="171"/>
        <v>1694.3333333333333</v>
      </c>
      <c r="L279" s="119">
        <f t="shared" si="172"/>
        <v>155878.66666666666</v>
      </c>
      <c r="M279" s="94">
        <f>SUM(M273:M278)</f>
        <v>1697</v>
      </c>
      <c r="N279" s="80">
        <f>SUM(N273:N278)</f>
        <v>1701</v>
      </c>
      <c r="O279" s="80">
        <f>SUM(O273:O278)</f>
        <v>1680</v>
      </c>
      <c r="P279" s="68">
        <f t="shared" si="173"/>
        <v>1692.6666666666667</v>
      </c>
      <c r="Q279" s="108">
        <f t="shared" si="174"/>
        <v>154032.66666666669</v>
      </c>
      <c r="R279" s="94">
        <f>SUM(R273:R278)</f>
        <v>1688</v>
      </c>
      <c r="S279" s="80">
        <f>SUM(S273:S278)</f>
        <v>1677</v>
      </c>
      <c r="T279" s="81">
        <f>SUM(T273:T278)</f>
        <v>1657</v>
      </c>
      <c r="U279" s="68">
        <f t="shared" si="175"/>
        <v>1674</v>
      </c>
      <c r="V279" s="120">
        <f t="shared" si="176"/>
        <v>152334</v>
      </c>
      <c r="W279" s="69">
        <f>SUM(W273:W278)</f>
        <v>1675.4999999999998</v>
      </c>
      <c r="X279" s="69">
        <f>SUM(X273:X278)</f>
        <v>613233</v>
      </c>
    </row>
    <row r="280" spans="1:24" ht="16.5" thickBot="1" x14ac:dyDescent="0.3">
      <c r="A280" s="54" t="s">
        <v>158</v>
      </c>
      <c r="B280" s="38"/>
      <c r="C280" s="80">
        <f>C271+C279</f>
        <v>5280.5999999999985</v>
      </c>
      <c r="D280" s="80">
        <f>D271+D279</f>
        <v>5327.4250000000002</v>
      </c>
      <c r="E280" s="80">
        <f>E271+E279</f>
        <v>5377.6900000000005</v>
      </c>
      <c r="F280" s="80">
        <f>F271+F279</f>
        <v>5328.5716666666667</v>
      </c>
      <c r="G280" s="68">
        <f>SUM(G271+G279)</f>
        <v>490228.59333333332</v>
      </c>
      <c r="H280" s="80">
        <f>H271+H279</f>
        <v>5382.3520000000008</v>
      </c>
      <c r="I280" s="80">
        <f>I271+I279</f>
        <v>5474.1569999999992</v>
      </c>
      <c r="J280" s="80">
        <f>J271+J279</f>
        <v>5397.3159999999998</v>
      </c>
      <c r="K280" s="120">
        <f t="shared" si="171"/>
        <v>5417.9416666666666</v>
      </c>
      <c r="L280" s="68">
        <f>SUM(L271+L279)</f>
        <v>498450.6333333333</v>
      </c>
      <c r="M280" s="94">
        <f>M271+M279</f>
        <v>5421.232</v>
      </c>
      <c r="N280" s="80">
        <f>N271+N279</f>
        <v>5405.0769999999993</v>
      </c>
      <c r="O280" s="80">
        <f>O271+O279</f>
        <v>5400.6910000000007</v>
      </c>
      <c r="P280" s="99">
        <f t="shared" si="173"/>
        <v>5409</v>
      </c>
      <c r="Q280" s="68">
        <f>SUM(Q271+Q279)</f>
        <v>492219.00000000006</v>
      </c>
      <c r="R280" s="94">
        <f>R271+R279</f>
        <v>5392.86</v>
      </c>
      <c r="S280" s="80">
        <f>S271+S279</f>
        <v>5399.0740000000005</v>
      </c>
      <c r="T280" s="81">
        <f>T271+T279</f>
        <v>5332.18</v>
      </c>
      <c r="U280" s="99">
        <f t="shared" si="175"/>
        <v>5374.7046666666674</v>
      </c>
      <c r="V280" s="68">
        <f>SUM(V271+V279)</f>
        <v>489098.12466666667</v>
      </c>
      <c r="W280" s="80">
        <f>W271+W279</f>
        <v>5382.5545000000002</v>
      </c>
      <c r="X280" s="82">
        <f>X271+X279</f>
        <v>1970014.9470000002</v>
      </c>
    </row>
    <row r="281" spans="1:24" ht="15.75" x14ac:dyDescent="0.25">
      <c r="A281" s="114"/>
      <c r="B281" s="19"/>
      <c r="C281" s="115"/>
      <c r="D281" s="115"/>
      <c r="E281" s="115"/>
      <c r="F281" s="115"/>
      <c r="G281" s="113"/>
      <c r="H281" s="115"/>
      <c r="I281" s="115"/>
      <c r="J281" s="115"/>
      <c r="K281" s="139"/>
      <c r="L281" s="113"/>
      <c r="M281" s="115"/>
      <c r="N281" s="115"/>
      <c r="O281" s="115"/>
      <c r="P281" s="93"/>
      <c r="Q281" s="113"/>
      <c r="R281" s="115"/>
      <c r="S281" s="115"/>
      <c r="T281" s="115"/>
      <c r="U281" s="93"/>
      <c r="V281" s="113"/>
      <c r="W281" s="115"/>
      <c r="X281" s="115"/>
    </row>
    <row r="283" spans="1:24" ht="16.5" thickBot="1" x14ac:dyDescent="0.25">
      <c r="A283" s="45" t="s">
        <v>157</v>
      </c>
      <c r="B283" s="10"/>
      <c r="C283" s="13"/>
      <c r="D283" s="13"/>
      <c r="E283" s="13"/>
      <c r="F283" s="13"/>
      <c r="G283" s="13"/>
      <c r="H283" s="13"/>
      <c r="I283" s="13"/>
      <c r="J283" s="13"/>
      <c r="K283" s="13"/>
      <c r="L283" s="13"/>
      <c r="M283" s="13"/>
      <c r="N283" s="13"/>
      <c r="O283" s="13"/>
      <c r="P283" s="13"/>
      <c r="Q283" s="13"/>
      <c r="R283" s="13"/>
      <c r="S283" s="13"/>
      <c r="T283" s="13"/>
      <c r="U283" s="13"/>
      <c r="V283" s="13"/>
      <c r="W283" s="13"/>
      <c r="X283" s="13"/>
    </row>
    <row r="284" spans="1:24" ht="16.5" thickBot="1" x14ac:dyDescent="0.3">
      <c r="A284" s="32" t="s">
        <v>300</v>
      </c>
      <c r="B284" s="1156" t="s">
        <v>155</v>
      </c>
      <c r="C284" s="1169"/>
      <c r="D284" s="1169"/>
      <c r="E284" s="1169"/>
      <c r="F284" s="1169"/>
      <c r="G284" s="1169"/>
      <c r="H284" s="1169"/>
      <c r="I284" s="1169"/>
      <c r="J284" s="1169"/>
      <c r="K284" s="1169"/>
      <c r="L284" s="1169"/>
      <c r="M284" s="1169"/>
      <c r="N284" s="1169"/>
      <c r="O284" s="1169"/>
      <c r="P284" s="1169"/>
      <c r="Q284" s="1169"/>
      <c r="R284" s="1169"/>
      <c r="S284" s="1169"/>
      <c r="T284" s="1169"/>
      <c r="U284" s="39"/>
      <c r="V284" s="39"/>
      <c r="W284" s="92"/>
      <c r="X284" s="13"/>
    </row>
    <row r="285" spans="1:24" ht="15.75" x14ac:dyDescent="0.25">
      <c r="A285" s="11"/>
      <c r="B285" s="40" t="s">
        <v>268</v>
      </c>
      <c r="C285" s="57"/>
      <c r="D285" s="58"/>
      <c r="E285" s="58"/>
      <c r="F285" s="1158" t="s">
        <v>265</v>
      </c>
      <c r="G285" s="1160" t="s">
        <v>285</v>
      </c>
      <c r="H285" s="58"/>
      <c r="I285" s="58"/>
      <c r="J285" s="58"/>
      <c r="K285" s="1158" t="s">
        <v>265</v>
      </c>
      <c r="L285" s="1160" t="s">
        <v>285</v>
      </c>
      <c r="M285" s="58"/>
      <c r="N285" s="58"/>
      <c r="O285" s="58"/>
      <c r="P285" s="1158" t="s">
        <v>265</v>
      </c>
      <c r="Q285" s="1160" t="s">
        <v>285</v>
      </c>
      <c r="R285" s="58"/>
      <c r="S285" s="58"/>
      <c r="T285" s="59"/>
      <c r="U285" s="1158" t="s">
        <v>265</v>
      </c>
      <c r="V285" s="1160" t="s">
        <v>285</v>
      </c>
      <c r="W285" s="1167" t="s">
        <v>156</v>
      </c>
      <c r="X285" s="1165" t="s">
        <v>157</v>
      </c>
    </row>
    <row r="286" spans="1:24" ht="15.75" customHeight="1" thickBot="1" x14ac:dyDescent="0.3">
      <c r="A286" s="47" t="s">
        <v>56</v>
      </c>
      <c r="B286" s="41" t="s">
        <v>269</v>
      </c>
      <c r="C286" s="60">
        <v>38904</v>
      </c>
      <c r="D286" s="61">
        <v>38935</v>
      </c>
      <c r="E286" s="61">
        <v>38966</v>
      </c>
      <c r="F286" s="1159"/>
      <c r="G286" s="1164"/>
      <c r="H286" s="61">
        <v>38996</v>
      </c>
      <c r="I286" s="61">
        <v>39027</v>
      </c>
      <c r="J286" s="61">
        <v>39057</v>
      </c>
      <c r="K286" s="1164"/>
      <c r="L286" s="1164"/>
      <c r="M286" s="61">
        <v>39083</v>
      </c>
      <c r="N286" s="61">
        <v>39114</v>
      </c>
      <c r="O286" s="61">
        <v>39142</v>
      </c>
      <c r="P286" s="1164"/>
      <c r="Q286" s="1164"/>
      <c r="R286" s="61">
        <v>39179</v>
      </c>
      <c r="S286" s="61">
        <v>39203</v>
      </c>
      <c r="T286" s="62">
        <v>39234</v>
      </c>
      <c r="U286" s="1164"/>
      <c r="V286" s="1164"/>
      <c r="W286" s="1164"/>
      <c r="X286" s="1164"/>
    </row>
    <row r="287" spans="1:24" ht="32.25" customHeight="1" thickBot="1" x14ac:dyDescent="0.3">
      <c r="A287" s="48" t="s">
        <v>298</v>
      </c>
      <c r="B287" s="42" t="s">
        <v>270</v>
      </c>
      <c r="C287" s="125">
        <v>507.61</v>
      </c>
      <c r="D287" s="125">
        <v>517.41999999999996</v>
      </c>
      <c r="E287" s="117">
        <v>502.5</v>
      </c>
      <c r="F287" s="63">
        <f t="shared" ref="F287:F301" si="179">SUM(C287:E287)/3</f>
        <v>509.17666666666668</v>
      </c>
      <c r="G287" s="108">
        <f t="shared" ref="G287:G301" si="180">F287*92</f>
        <v>46844.253333333334</v>
      </c>
      <c r="H287" s="117">
        <v>517.05999999999995</v>
      </c>
      <c r="I287" s="117">
        <v>478.57</v>
      </c>
      <c r="J287" s="117">
        <v>473.52</v>
      </c>
      <c r="K287" s="63">
        <f t="shared" ref="K287:K301" si="181">SUM(H287:J287)/3</f>
        <v>489.71666666666664</v>
      </c>
      <c r="L287" s="108">
        <f t="shared" ref="L287:L301" si="182">K287*92</f>
        <v>45053.933333333334</v>
      </c>
      <c r="M287" s="117">
        <v>492.71</v>
      </c>
      <c r="N287" s="85">
        <v>477.46</v>
      </c>
      <c r="O287" s="85">
        <v>479.58</v>
      </c>
      <c r="P287" s="63">
        <f t="shared" ref="P287:P301" si="183">SUM(M287:O287)/3</f>
        <v>483.25</v>
      </c>
      <c r="Q287" s="108">
        <f t="shared" ref="Q287:Q299" si="184">P287*90</f>
        <v>43492.5</v>
      </c>
      <c r="R287" s="117">
        <v>502.57</v>
      </c>
      <c r="S287" s="85">
        <v>505.87</v>
      </c>
      <c r="T287" s="135">
        <v>514.29999999999995</v>
      </c>
      <c r="U287" s="63">
        <f t="shared" ref="U287:U301" si="185">SUM(R287:T287)/3</f>
        <v>507.58</v>
      </c>
      <c r="V287" s="111">
        <f t="shared" ref="V287:V301" si="186">U287*91</f>
        <v>46189.78</v>
      </c>
      <c r="W287" s="64">
        <f t="shared" ref="W287:W301" si="187">SUM(C287+D287+E287+H287+I287+J287+M287+N287+O287+R287+S287+T287)/12</f>
        <v>497.43083333333334</v>
      </c>
      <c r="X287" s="65">
        <f>W287*365</f>
        <v>181562.25416666668</v>
      </c>
    </row>
    <row r="288" spans="1:24" ht="16.5" thickBot="1" x14ac:dyDescent="0.3">
      <c r="A288" s="49" t="s">
        <v>140</v>
      </c>
      <c r="B288" s="43" t="s">
        <v>271</v>
      </c>
      <c r="C288" s="126">
        <v>92.483999999999995</v>
      </c>
      <c r="D288" s="126">
        <v>96.77</v>
      </c>
      <c r="E288" s="118">
        <v>100.47</v>
      </c>
      <c r="F288" s="63">
        <f t="shared" si="179"/>
        <v>96.574666666666658</v>
      </c>
      <c r="G288" s="108">
        <f t="shared" si="180"/>
        <v>8884.8693333333322</v>
      </c>
      <c r="H288" s="118">
        <v>115.61</v>
      </c>
      <c r="I288" s="118">
        <v>106.2</v>
      </c>
      <c r="J288" s="118">
        <v>105.32</v>
      </c>
      <c r="K288" s="63">
        <f t="shared" si="181"/>
        <v>109.04333333333334</v>
      </c>
      <c r="L288" s="108">
        <f t="shared" si="182"/>
        <v>10031.986666666668</v>
      </c>
      <c r="M288" s="118">
        <v>109.97</v>
      </c>
      <c r="N288" s="86">
        <v>117.71</v>
      </c>
      <c r="O288" s="86">
        <v>109.81</v>
      </c>
      <c r="P288" s="63">
        <f t="shared" si="183"/>
        <v>112.49666666666667</v>
      </c>
      <c r="Q288" s="108">
        <f t="shared" si="184"/>
        <v>10124.700000000001</v>
      </c>
      <c r="R288" s="118">
        <v>115.3</v>
      </c>
      <c r="S288" s="86">
        <v>104.58</v>
      </c>
      <c r="T288" s="89">
        <v>102.43</v>
      </c>
      <c r="U288" s="63">
        <f t="shared" si="185"/>
        <v>107.43666666666667</v>
      </c>
      <c r="V288" s="111">
        <f t="shared" si="186"/>
        <v>9776.7366666666676</v>
      </c>
      <c r="W288" s="64">
        <f t="shared" si="187"/>
        <v>106.38783333333333</v>
      </c>
      <c r="X288" s="65">
        <f>W288*365</f>
        <v>38831.559166666666</v>
      </c>
    </row>
    <row r="289" spans="1:24" ht="16.5" thickBot="1" x14ac:dyDescent="0.3">
      <c r="A289" s="50" t="s">
        <v>299</v>
      </c>
      <c r="B289" s="44" t="s">
        <v>272</v>
      </c>
      <c r="C289" s="4">
        <v>443.39</v>
      </c>
      <c r="D289" s="4">
        <v>463.68</v>
      </c>
      <c r="E289" s="3">
        <v>472.6</v>
      </c>
      <c r="F289" s="63">
        <f t="shared" si="179"/>
        <v>459.89000000000004</v>
      </c>
      <c r="G289" s="108">
        <f t="shared" si="180"/>
        <v>42309.880000000005</v>
      </c>
      <c r="H289" s="3">
        <v>474.42</v>
      </c>
      <c r="I289" s="3">
        <v>468.67</v>
      </c>
      <c r="J289" s="3">
        <v>467.94</v>
      </c>
      <c r="K289" s="63">
        <f t="shared" si="181"/>
        <v>470.34333333333331</v>
      </c>
      <c r="L289" s="108">
        <f t="shared" si="182"/>
        <v>43271.586666666662</v>
      </c>
      <c r="M289" s="3">
        <v>473.52</v>
      </c>
      <c r="N289" s="87">
        <v>467.43</v>
      </c>
      <c r="O289" s="87">
        <v>469.32</v>
      </c>
      <c r="P289" s="63">
        <f t="shared" si="183"/>
        <v>470.09</v>
      </c>
      <c r="Q289" s="108">
        <f t="shared" si="184"/>
        <v>42308.1</v>
      </c>
      <c r="R289" s="3">
        <v>477.13</v>
      </c>
      <c r="S289" s="87">
        <v>481.65</v>
      </c>
      <c r="T289" s="90">
        <v>481.73</v>
      </c>
      <c r="U289" s="63">
        <f t="shared" si="185"/>
        <v>480.17</v>
      </c>
      <c r="V289" s="111">
        <f t="shared" si="186"/>
        <v>43695.47</v>
      </c>
      <c r="W289" s="64">
        <f t="shared" si="187"/>
        <v>470.12333333333328</v>
      </c>
      <c r="X289" s="66">
        <f t="shared" ref="X289:X308" si="188">W289*365</f>
        <v>171595.01666666663</v>
      </c>
    </row>
    <row r="290" spans="1:24" ht="16.5" thickBot="1" x14ac:dyDescent="0.3">
      <c r="A290" s="50" t="s">
        <v>25</v>
      </c>
      <c r="B290" s="44" t="s">
        <v>273</v>
      </c>
      <c r="C290" s="4">
        <v>323.45</v>
      </c>
      <c r="D290" s="4">
        <v>320.61</v>
      </c>
      <c r="E290" s="3">
        <v>305.67</v>
      </c>
      <c r="F290" s="63">
        <f t="shared" si="179"/>
        <v>316.57666666666665</v>
      </c>
      <c r="G290" s="108">
        <f t="shared" si="180"/>
        <v>29125.053333333333</v>
      </c>
      <c r="H290" s="3">
        <v>295</v>
      </c>
      <c r="I290" s="3">
        <v>285.23</v>
      </c>
      <c r="J290" s="3">
        <v>263.48</v>
      </c>
      <c r="K290" s="63">
        <f t="shared" si="181"/>
        <v>281.23666666666668</v>
      </c>
      <c r="L290" s="108">
        <f t="shared" si="182"/>
        <v>25873.773333333334</v>
      </c>
      <c r="M290" s="3">
        <v>263.19</v>
      </c>
      <c r="N290" s="87">
        <v>241.18</v>
      </c>
      <c r="O290" s="87">
        <v>239.06</v>
      </c>
      <c r="P290" s="63">
        <f t="shared" si="183"/>
        <v>247.81000000000003</v>
      </c>
      <c r="Q290" s="108">
        <f t="shared" si="184"/>
        <v>22302.9</v>
      </c>
      <c r="R290" s="3">
        <v>254.13</v>
      </c>
      <c r="S290" s="87">
        <v>265.87</v>
      </c>
      <c r="T290" s="90">
        <v>273</v>
      </c>
      <c r="U290" s="63">
        <f t="shared" si="185"/>
        <v>264.33333333333331</v>
      </c>
      <c r="V290" s="111">
        <f t="shared" si="186"/>
        <v>24054.333333333332</v>
      </c>
      <c r="W290" s="64">
        <f t="shared" si="187"/>
        <v>277.48916666666668</v>
      </c>
      <c r="X290" s="66">
        <f t="shared" si="188"/>
        <v>101283.54583333334</v>
      </c>
    </row>
    <row r="291" spans="1:24" ht="16.5" thickBot="1" x14ac:dyDescent="0.3">
      <c r="A291" s="51" t="s">
        <v>282</v>
      </c>
      <c r="B291" s="44" t="s">
        <v>274</v>
      </c>
      <c r="C291" s="4">
        <v>359.67</v>
      </c>
      <c r="D291" s="4">
        <v>299.35000000000002</v>
      </c>
      <c r="E291" s="3">
        <v>313.17</v>
      </c>
      <c r="F291" s="63">
        <f t="shared" si="179"/>
        <v>324.06333333333333</v>
      </c>
      <c r="G291" s="108">
        <f t="shared" si="180"/>
        <v>29813.826666666668</v>
      </c>
      <c r="H291" s="3">
        <v>306.02999999999997</v>
      </c>
      <c r="I291" s="3">
        <v>314.23</v>
      </c>
      <c r="J291" s="3">
        <v>312.77</v>
      </c>
      <c r="K291" s="63">
        <f t="shared" si="181"/>
        <v>311.01</v>
      </c>
      <c r="L291" s="108">
        <f t="shared" si="182"/>
        <v>28612.92</v>
      </c>
      <c r="M291" s="3">
        <v>320.89999999999998</v>
      </c>
      <c r="N291" s="87">
        <v>318.82</v>
      </c>
      <c r="O291" s="87">
        <v>332.1</v>
      </c>
      <c r="P291" s="63">
        <f t="shared" si="183"/>
        <v>323.94</v>
      </c>
      <c r="Q291" s="108">
        <f t="shared" si="184"/>
        <v>29154.6</v>
      </c>
      <c r="R291" s="3">
        <v>363.8</v>
      </c>
      <c r="S291" s="87">
        <v>365.42</v>
      </c>
      <c r="T291" s="90">
        <v>372.17</v>
      </c>
      <c r="U291" s="63">
        <f t="shared" si="185"/>
        <v>367.13000000000005</v>
      </c>
      <c r="V291" s="111">
        <f t="shared" si="186"/>
        <v>33408.83</v>
      </c>
      <c r="W291" s="64">
        <f t="shared" si="187"/>
        <v>331.53583333333336</v>
      </c>
      <c r="X291" s="66">
        <f t="shared" si="188"/>
        <v>121010.57916666668</v>
      </c>
    </row>
    <row r="292" spans="1:24" ht="16.5" thickBot="1" x14ac:dyDescent="0.3">
      <c r="A292" s="50" t="s">
        <v>16</v>
      </c>
      <c r="B292" s="44" t="s">
        <v>275</v>
      </c>
      <c r="C292" s="4">
        <v>64.483999999999995</v>
      </c>
      <c r="D292" s="4">
        <v>60.548000000000002</v>
      </c>
      <c r="E292" s="3">
        <v>58.366999999999997</v>
      </c>
      <c r="F292" s="63">
        <f t="shared" si="179"/>
        <v>61.133000000000003</v>
      </c>
      <c r="G292" s="108">
        <f t="shared" si="180"/>
        <v>5624.2359999999999</v>
      </c>
      <c r="H292" s="3">
        <v>65.77</v>
      </c>
      <c r="I292" s="3">
        <v>57.567</v>
      </c>
      <c r="J292" s="3">
        <v>57.677</v>
      </c>
      <c r="K292" s="63">
        <f t="shared" si="181"/>
        <v>60.337999999999994</v>
      </c>
      <c r="L292" s="108">
        <f t="shared" si="182"/>
        <v>5551.0959999999995</v>
      </c>
      <c r="M292" s="3">
        <v>61.805999999999997</v>
      </c>
      <c r="N292" s="87">
        <v>65.070999999999998</v>
      </c>
      <c r="O292" s="87">
        <v>55.387</v>
      </c>
      <c r="P292" s="63">
        <f t="shared" si="183"/>
        <v>60.754666666666672</v>
      </c>
      <c r="Q292" s="108">
        <f t="shared" si="184"/>
        <v>5467.92</v>
      </c>
      <c r="R292" s="3">
        <v>56.2</v>
      </c>
      <c r="S292" s="87">
        <v>53.935000000000002</v>
      </c>
      <c r="T292" s="90">
        <v>55.23</v>
      </c>
      <c r="U292" s="63">
        <f t="shared" si="185"/>
        <v>55.12166666666667</v>
      </c>
      <c r="V292" s="111">
        <f t="shared" si="186"/>
        <v>5016.0716666666667</v>
      </c>
      <c r="W292" s="64">
        <f t="shared" si="187"/>
        <v>59.336833333333324</v>
      </c>
      <c r="X292" s="66">
        <f t="shared" si="188"/>
        <v>21657.944166666664</v>
      </c>
    </row>
    <row r="293" spans="1:24" ht="16.5" thickBot="1" x14ac:dyDescent="0.3">
      <c r="A293" s="50" t="s">
        <v>17</v>
      </c>
      <c r="B293" s="44" t="s">
        <v>276</v>
      </c>
      <c r="C293" s="4">
        <v>199.55</v>
      </c>
      <c r="D293" s="4">
        <v>192.71</v>
      </c>
      <c r="E293" s="3">
        <v>183.87</v>
      </c>
      <c r="F293" s="63">
        <f t="shared" si="179"/>
        <v>192.04333333333332</v>
      </c>
      <c r="G293" s="108">
        <f t="shared" si="180"/>
        <v>17667.986666666664</v>
      </c>
      <c r="H293" s="3">
        <v>176.84</v>
      </c>
      <c r="I293" s="3">
        <v>179.1</v>
      </c>
      <c r="J293" s="3">
        <v>194.06</v>
      </c>
      <c r="K293" s="63">
        <f t="shared" si="181"/>
        <v>183.33333333333334</v>
      </c>
      <c r="L293" s="108">
        <f t="shared" si="182"/>
        <v>16866.666666666668</v>
      </c>
      <c r="M293" s="3">
        <v>190.84</v>
      </c>
      <c r="N293" s="87">
        <v>199.21</v>
      </c>
      <c r="O293" s="87">
        <v>197.65</v>
      </c>
      <c r="P293" s="63">
        <f t="shared" si="183"/>
        <v>195.9</v>
      </c>
      <c r="Q293" s="108">
        <f t="shared" si="184"/>
        <v>17631</v>
      </c>
      <c r="R293" s="3">
        <v>201.2</v>
      </c>
      <c r="S293" s="87">
        <v>195.71</v>
      </c>
      <c r="T293" s="90">
        <v>197.03</v>
      </c>
      <c r="U293" s="63">
        <f t="shared" si="185"/>
        <v>197.98</v>
      </c>
      <c r="V293" s="111">
        <f t="shared" si="186"/>
        <v>18016.18</v>
      </c>
      <c r="W293" s="64">
        <f t="shared" si="187"/>
        <v>192.31416666666669</v>
      </c>
      <c r="X293" s="66">
        <f t="shared" si="188"/>
        <v>70194.670833333337</v>
      </c>
    </row>
    <row r="294" spans="1:24" ht="16.5" thickBot="1" x14ac:dyDescent="0.3">
      <c r="A294" s="50" t="s">
        <v>142</v>
      </c>
      <c r="B294" s="44" t="s">
        <v>277</v>
      </c>
      <c r="C294" s="4">
        <v>102.81</v>
      </c>
      <c r="D294" s="4">
        <v>98.903000000000006</v>
      </c>
      <c r="E294" s="3">
        <v>101.5</v>
      </c>
      <c r="F294" s="63">
        <f t="shared" si="179"/>
        <v>101.07100000000001</v>
      </c>
      <c r="G294" s="108">
        <f t="shared" si="180"/>
        <v>9298.5320000000011</v>
      </c>
      <c r="H294" s="3">
        <v>103.55</v>
      </c>
      <c r="I294" s="3">
        <v>106.7</v>
      </c>
      <c r="J294" s="3">
        <v>103.48</v>
      </c>
      <c r="K294" s="63">
        <f t="shared" si="181"/>
        <v>104.57666666666667</v>
      </c>
      <c r="L294" s="108">
        <f t="shared" si="182"/>
        <v>9621.0533333333333</v>
      </c>
      <c r="M294" s="3">
        <v>101.48</v>
      </c>
      <c r="N294" s="87">
        <v>103.5</v>
      </c>
      <c r="O294" s="87">
        <v>100.81</v>
      </c>
      <c r="P294" s="63">
        <f t="shared" si="183"/>
        <v>101.93</v>
      </c>
      <c r="Q294" s="108">
        <f t="shared" si="184"/>
        <v>9173.7000000000007</v>
      </c>
      <c r="R294" s="3">
        <v>109.47</v>
      </c>
      <c r="S294" s="87">
        <v>112.61</v>
      </c>
      <c r="T294" s="90">
        <v>117.97</v>
      </c>
      <c r="U294" s="63">
        <f t="shared" si="185"/>
        <v>113.34999999999998</v>
      </c>
      <c r="V294" s="111">
        <f t="shared" si="186"/>
        <v>10314.849999999999</v>
      </c>
      <c r="W294" s="64">
        <f t="shared" si="187"/>
        <v>105.23191666666668</v>
      </c>
      <c r="X294" s="66">
        <f t="shared" si="188"/>
        <v>38409.649583333339</v>
      </c>
    </row>
    <row r="295" spans="1:24" ht="16.5" thickBot="1" x14ac:dyDescent="0.3">
      <c r="A295" s="51" t="s">
        <v>283</v>
      </c>
      <c r="B295" s="44" t="s">
        <v>278</v>
      </c>
      <c r="C295" s="4">
        <v>405.03</v>
      </c>
      <c r="D295" s="4">
        <v>407.71</v>
      </c>
      <c r="E295" s="3">
        <v>378.97</v>
      </c>
      <c r="F295" s="63">
        <f t="shared" si="179"/>
        <v>397.23666666666668</v>
      </c>
      <c r="G295" s="108">
        <f t="shared" si="180"/>
        <v>36545.773333333331</v>
      </c>
      <c r="H295" s="3">
        <v>400.51</v>
      </c>
      <c r="I295" s="3">
        <v>396.7</v>
      </c>
      <c r="J295" s="3">
        <v>371.91</v>
      </c>
      <c r="K295" s="63">
        <f t="shared" si="181"/>
        <v>389.70666666666671</v>
      </c>
      <c r="L295" s="108">
        <f t="shared" si="182"/>
        <v>35853.013333333336</v>
      </c>
      <c r="M295" s="3">
        <v>371.29</v>
      </c>
      <c r="N295" s="87">
        <v>385.57</v>
      </c>
      <c r="O295" s="87">
        <v>384</v>
      </c>
      <c r="P295" s="63">
        <f t="shared" si="183"/>
        <v>380.28666666666669</v>
      </c>
      <c r="Q295" s="108">
        <f t="shared" si="184"/>
        <v>34225.800000000003</v>
      </c>
      <c r="R295" s="3">
        <v>393.83</v>
      </c>
      <c r="S295" s="87">
        <v>409.32</v>
      </c>
      <c r="T295" s="90">
        <v>404.84</v>
      </c>
      <c r="U295" s="63">
        <f t="shared" si="185"/>
        <v>402.66333333333336</v>
      </c>
      <c r="V295" s="111">
        <f t="shared" si="186"/>
        <v>36642.363333333335</v>
      </c>
      <c r="W295" s="64">
        <f t="shared" si="187"/>
        <v>392.47333333333336</v>
      </c>
      <c r="X295" s="66">
        <f t="shared" si="188"/>
        <v>143252.76666666666</v>
      </c>
    </row>
    <row r="296" spans="1:24" ht="16.5" thickBot="1" x14ac:dyDescent="0.3">
      <c r="A296" s="50" t="s">
        <v>151</v>
      </c>
      <c r="B296" s="121" t="s">
        <v>286</v>
      </c>
      <c r="C296" s="4">
        <v>111.61</v>
      </c>
      <c r="D296" s="4">
        <v>106.68</v>
      </c>
      <c r="E296" s="3">
        <v>104.57</v>
      </c>
      <c r="F296" s="63">
        <f t="shared" si="179"/>
        <v>107.62</v>
      </c>
      <c r="G296" s="108">
        <f t="shared" si="180"/>
        <v>9901.0400000000009</v>
      </c>
      <c r="H296" s="3">
        <v>94.742000000000004</v>
      </c>
      <c r="I296" s="3">
        <v>79.900000000000006</v>
      </c>
      <c r="J296" s="3">
        <v>83.129000000000005</v>
      </c>
      <c r="K296" s="63">
        <f t="shared" si="181"/>
        <v>85.923666666666676</v>
      </c>
      <c r="L296" s="108">
        <f t="shared" si="182"/>
        <v>7904.9773333333342</v>
      </c>
      <c r="M296" s="3">
        <v>110.32</v>
      </c>
      <c r="N296" s="87">
        <v>114.39</v>
      </c>
      <c r="O296" s="87">
        <v>119.9</v>
      </c>
      <c r="P296" s="63">
        <f t="shared" si="183"/>
        <v>114.87</v>
      </c>
      <c r="Q296" s="108">
        <f t="shared" si="184"/>
        <v>10338.300000000001</v>
      </c>
      <c r="R296" s="3">
        <v>121.27</v>
      </c>
      <c r="S296" s="87">
        <v>123.74</v>
      </c>
      <c r="T296" s="90">
        <v>120.17</v>
      </c>
      <c r="U296" s="63">
        <f t="shared" si="185"/>
        <v>121.72666666666667</v>
      </c>
      <c r="V296" s="111">
        <f t="shared" si="186"/>
        <v>11077.126666666667</v>
      </c>
      <c r="W296" s="64">
        <f t="shared" si="187"/>
        <v>107.53508333333333</v>
      </c>
      <c r="X296" s="66">
        <f>W296*365</f>
        <v>39250.30541666667</v>
      </c>
    </row>
    <row r="297" spans="1:24" ht="16.5" thickBot="1" x14ac:dyDescent="0.3">
      <c r="A297" s="49" t="s">
        <v>20</v>
      </c>
      <c r="B297" s="43" t="s">
        <v>279</v>
      </c>
      <c r="C297" s="126">
        <v>496.81</v>
      </c>
      <c r="D297" s="126">
        <v>473.74</v>
      </c>
      <c r="E297" s="118">
        <v>483.67</v>
      </c>
      <c r="F297" s="63">
        <f t="shared" si="179"/>
        <v>484.74</v>
      </c>
      <c r="G297" s="108">
        <f t="shared" si="180"/>
        <v>44596.08</v>
      </c>
      <c r="H297" s="118">
        <v>501.23</v>
      </c>
      <c r="I297" s="3">
        <v>467.27</v>
      </c>
      <c r="J297" s="118">
        <v>470.42</v>
      </c>
      <c r="K297" s="63">
        <f t="shared" si="181"/>
        <v>479.64000000000004</v>
      </c>
      <c r="L297" s="111">
        <f t="shared" si="182"/>
        <v>44126.880000000005</v>
      </c>
      <c r="M297" s="3">
        <v>425.77</v>
      </c>
      <c r="N297" s="86">
        <v>439</v>
      </c>
      <c r="O297" s="86">
        <v>450.68</v>
      </c>
      <c r="P297" s="63">
        <f t="shared" si="183"/>
        <v>438.48333333333335</v>
      </c>
      <c r="Q297" s="108">
        <f t="shared" si="184"/>
        <v>39463.5</v>
      </c>
      <c r="R297" s="3">
        <v>445.43</v>
      </c>
      <c r="S297" s="86">
        <v>503.48</v>
      </c>
      <c r="T297" s="89">
        <v>526.77</v>
      </c>
      <c r="U297" s="63">
        <f t="shared" si="185"/>
        <v>491.89333333333337</v>
      </c>
      <c r="V297" s="111">
        <f t="shared" si="186"/>
        <v>44762.293333333335</v>
      </c>
      <c r="W297" s="64">
        <f t="shared" si="187"/>
        <v>473.68916666666672</v>
      </c>
      <c r="X297" s="65">
        <f t="shared" si="188"/>
        <v>172896.54583333337</v>
      </c>
    </row>
    <row r="298" spans="1:24" ht="16.5" thickBot="1" x14ac:dyDescent="0.3">
      <c r="A298" s="51" t="s">
        <v>284</v>
      </c>
      <c r="B298" s="44" t="s">
        <v>280</v>
      </c>
      <c r="C298" s="4">
        <v>358.87</v>
      </c>
      <c r="D298" s="4">
        <v>369.74</v>
      </c>
      <c r="E298" s="3">
        <v>385.73</v>
      </c>
      <c r="F298" s="63">
        <f t="shared" si="179"/>
        <v>371.44666666666672</v>
      </c>
      <c r="G298" s="108">
        <f t="shared" si="180"/>
        <v>34173.093333333338</v>
      </c>
      <c r="H298" s="3">
        <v>359.39</v>
      </c>
      <c r="I298" s="3">
        <v>372.07</v>
      </c>
      <c r="J298" s="3">
        <v>368.88</v>
      </c>
      <c r="K298" s="63">
        <f t="shared" si="181"/>
        <v>366.78000000000003</v>
      </c>
      <c r="L298" s="108">
        <f t="shared" si="182"/>
        <v>33743.760000000002</v>
      </c>
      <c r="M298" s="3">
        <v>352.51</v>
      </c>
      <c r="N298" s="87">
        <v>360</v>
      </c>
      <c r="O298" s="87">
        <v>362.65</v>
      </c>
      <c r="P298" s="63">
        <f t="shared" si="183"/>
        <v>358.3866666666666</v>
      </c>
      <c r="Q298" s="108">
        <f t="shared" si="184"/>
        <v>32254.799999999996</v>
      </c>
      <c r="R298" s="3">
        <v>369.16</v>
      </c>
      <c r="S298" s="87">
        <v>365.25</v>
      </c>
      <c r="T298" s="90">
        <v>369.67</v>
      </c>
      <c r="U298" s="63">
        <f t="shared" si="185"/>
        <v>368.0266666666667</v>
      </c>
      <c r="V298" s="111">
        <f t="shared" si="186"/>
        <v>33490.426666666666</v>
      </c>
      <c r="W298" s="64">
        <f t="shared" si="187"/>
        <v>366.15999999999991</v>
      </c>
      <c r="X298" s="66">
        <f t="shared" si="188"/>
        <v>133648.39999999997</v>
      </c>
    </row>
    <row r="299" spans="1:24" ht="16.5" thickBot="1" x14ac:dyDescent="0.3">
      <c r="A299" s="50" t="s">
        <v>143</v>
      </c>
      <c r="B299" s="44" t="s">
        <v>281</v>
      </c>
      <c r="C299" s="4">
        <v>117.06</v>
      </c>
      <c r="D299" s="4">
        <v>110.26</v>
      </c>
      <c r="E299" s="3">
        <v>117.97</v>
      </c>
      <c r="F299" s="63">
        <f t="shared" si="179"/>
        <v>115.09666666666665</v>
      </c>
      <c r="G299" s="108">
        <f t="shared" si="180"/>
        <v>10588.893333333332</v>
      </c>
      <c r="H299" s="3">
        <v>108.48</v>
      </c>
      <c r="I299" s="3">
        <v>120.13</v>
      </c>
      <c r="J299" s="3">
        <v>112.84</v>
      </c>
      <c r="K299" s="63">
        <f t="shared" si="181"/>
        <v>113.81666666666668</v>
      </c>
      <c r="L299" s="108">
        <f t="shared" si="182"/>
        <v>10471.133333333335</v>
      </c>
      <c r="M299" s="3">
        <v>107.68</v>
      </c>
      <c r="N299" s="87">
        <v>106.43</v>
      </c>
      <c r="O299" s="87">
        <v>109.71</v>
      </c>
      <c r="P299" s="63">
        <f t="shared" si="183"/>
        <v>107.94</v>
      </c>
      <c r="Q299" s="108">
        <f t="shared" si="184"/>
        <v>9714.6</v>
      </c>
      <c r="R299" s="3">
        <v>113.83</v>
      </c>
      <c r="S299" s="87">
        <v>115.71</v>
      </c>
      <c r="T299" s="90">
        <v>106.6</v>
      </c>
      <c r="U299" s="63">
        <f t="shared" si="185"/>
        <v>112.04666666666667</v>
      </c>
      <c r="V299" s="111">
        <f t="shared" si="186"/>
        <v>10196.246666666666</v>
      </c>
      <c r="W299" s="64">
        <f t="shared" si="187"/>
        <v>112.22500000000001</v>
      </c>
      <c r="X299" s="66">
        <f t="shared" si="188"/>
        <v>40962.125</v>
      </c>
    </row>
    <row r="300" spans="1:24" ht="16.5" thickBot="1" x14ac:dyDescent="0.3">
      <c r="A300" s="50" t="s">
        <v>144</v>
      </c>
      <c r="B300" s="34"/>
      <c r="C300" s="4">
        <v>0</v>
      </c>
      <c r="D300" s="4">
        <v>0</v>
      </c>
      <c r="E300" s="4">
        <v>0</v>
      </c>
      <c r="F300" s="67">
        <f t="shared" si="179"/>
        <v>0</v>
      </c>
      <c r="G300" s="108">
        <f t="shared" si="180"/>
        <v>0</v>
      </c>
      <c r="H300" s="18">
        <v>0</v>
      </c>
      <c r="I300" s="18">
        <v>0</v>
      </c>
      <c r="J300" s="18"/>
      <c r="K300" s="67">
        <f t="shared" si="181"/>
        <v>0</v>
      </c>
      <c r="L300" s="108">
        <f t="shared" si="182"/>
        <v>0</v>
      </c>
      <c r="M300" s="18"/>
      <c r="N300" s="4"/>
      <c r="O300" s="87"/>
      <c r="P300" s="67">
        <f t="shared" si="183"/>
        <v>0</v>
      </c>
      <c r="Q300" s="108">
        <f>P300*91</f>
        <v>0</v>
      </c>
      <c r="R300" s="3"/>
      <c r="S300" s="4"/>
      <c r="T300" s="4"/>
      <c r="U300" s="67">
        <f t="shared" si="185"/>
        <v>0</v>
      </c>
      <c r="V300" s="112">
        <f t="shared" si="186"/>
        <v>0</v>
      </c>
      <c r="W300" s="137">
        <f t="shared" si="187"/>
        <v>0</v>
      </c>
      <c r="X300" s="66">
        <f>W300*365</f>
        <v>0</v>
      </c>
    </row>
    <row r="301" spans="1:24" ht="16.5" thickBot="1" x14ac:dyDescent="0.3">
      <c r="A301" s="46" t="s">
        <v>152</v>
      </c>
      <c r="B301" s="35"/>
      <c r="C301" s="80">
        <f>SUM(C287:C300)</f>
        <v>3582.828</v>
      </c>
      <c r="D301" s="80">
        <f>SUM(D287:D300)</f>
        <v>3518.1210000000001</v>
      </c>
      <c r="E301" s="80">
        <f>SUM(E287:E300)</f>
        <v>3509.0570000000002</v>
      </c>
      <c r="F301" s="68">
        <f t="shared" si="179"/>
        <v>3536.6686666666669</v>
      </c>
      <c r="G301" s="108">
        <f t="shared" si="180"/>
        <v>325373.51733333338</v>
      </c>
      <c r="H301" s="94">
        <f>SUM(H287:H300)</f>
        <v>3518.6320000000001</v>
      </c>
      <c r="I301" s="80">
        <f>SUM(I287:I300)</f>
        <v>3432.3370000000004</v>
      </c>
      <c r="J301" s="80">
        <f>SUM(J287:J300)</f>
        <v>3385.4259999999999</v>
      </c>
      <c r="K301" s="68">
        <f t="shared" si="181"/>
        <v>3445.4650000000001</v>
      </c>
      <c r="L301" s="119">
        <f t="shared" si="182"/>
        <v>316982.78000000003</v>
      </c>
      <c r="M301" s="9">
        <f>SUM(M287:M300)</f>
        <v>3381.9860000000003</v>
      </c>
      <c r="N301" s="80">
        <f>SUM(N287:N300)</f>
        <v>3395.7709999999997</v>
      </c>
      <c r="O301" s="80">
        <f>SUM(O287:O300)</f>
        <v>3410.6569999999997</v>
      </c>
      <c r="P301" s="68">
        <f t="shared" si="183"/>
        <v>3396.1379999999995</v>
      </c>
      <c r="Q301" s="119">
        <f>P301*91</f>
        <v>309048.55799999996</v>
      </c>
      <c r="R301" s="94">
        <f>SUM(R287:R300)</f>
        <v>3523.3199999999997</v>
      </c>
      <c r="S301" s="80">
        <f>SUM(S287:S300)</f>
        <v>3603.145</v>
      </c>
      <c r="T301" s="81">
        <f>SUM(T287:T300)</f>
        <v>3641.9100000000003</v>
      </c>
      <c r="U301" s="68">
        <f t="shared" si="185"/>
        <v>3589.4583333333335</v>
      </c>
      <c r="V301" s="120">
        <f t="shared" si="186"/>
        <v>326640.70833333337</v>
      </c>
      <c r="W301" s="138">
        <f t="shared" si="187"/>
        <v>3491.9325000000003</v>
      </c>
      <c r="X301" s="69">
        <f>SUM(X287:X300)</f>
        <v>1274555.3625</v>
      </c>
    </row>
    <row r="302" spans="1:24" ht="16.5" thickBot="1" x14ac:dyDescent="0.3">
      <c r="A302" s="46" t="s">
        <v>153</v>
      </c>
      <c r="B302" s="35"/>
      <c r="C302" s="70"/>
      <c r="D302" s="70"/>
      <c r="E302" s="71"/>
      <c r="F302" s="98"/>
      <c r="G302" s="98"/>
      <c r="H302" s="72"/>
      <c r="I302" s="70" t="s">
        <v>258</v>
      </c>
      <c r="J302" s="71"/>
      <c r="K302" s="97"/>
      <c r="L302" s="97"/>
      <c r="M302" s="72"/>
      <c r="N302" s="70"/>
      <c r="O302" s="71"/>
      <c r="P302" s="97"/>
      <c r="Q302" s="97"/>
      <c r="R302" s="72"/>
      <c r="S302" s="70"/>
      <c r="T302" s="71"/>
      <c r="U302" s="71"/>
      <c r="V302" s="70"/>
      <c r="W302" s="96"/>
      <c r="X302" s="69" t="s">
        <v>0</v>
      </c>
    </row>
    <row r="303" spans="1:24" ht="25.5" customHeight="1" thickBot="1" x14ac:dyDescent="0.3">
      <c r="A303" s="49" t="s">
        <v>145</v>
      </c>
      <c r="B303" s="33"/>
      <c r="C303" s="6">
        <v>507</v>
      </c>
      <c r="D303" s="6">
        <v>509</v>
      </c>
      <c r="E303" s="6">
        <v>517</v>
      </c>
      <c r="F303" s="63">
        <f t="shared" ref="F303:F309" si="189">SUM(C303:E303)/3</f>
        <v>511</v>
      </c>
      <c r="G303" s="108">
        <f t="shared" ref="G303:G309" si="190">F303*92</f>
        <v>47012</v>
      </c>
      <c r="H303" s="6">
        <v>505</v>
      </c>
      <c r="I303" s="6">
        <v>510</v>
      </c>
      <c r="J303" s="6">
        <v>477</v>
      </c>
      <c r="K303" s="63">
        <f t="shared" ref="K303:K310" si="191">SUM(H303:J303)/3</f>
        <v>497.33333333333331</v>
      </c>
      <c r="L303" s="108">
        <f t="shared" ref="L303:L309" si="192">K303*92</f>
        <v>45754.666666666664</v>
      </c>
      <c r="M303" s="6">
        <v>511</v>
      </c>
      <c r="N303" s="73">
        <v>533</v>
      </c>
      <c r="O303" s="73">
        <v>523</v>
      </c>
      <c r="P303" s="63">
        <f t="shared" ref="P303:P310" si="193">SUM(M303:O303)/3</f>
        <v>522.33333333333337</v>
      </c>
      <c r="Q303" s="108">
        <f t="shared" ref="Q303:Q309" si="194">P303*90</f>
        <v>47010</v>
      </c>
      <c r="R303" s="6">
        <v>536</v>
      </c>
      <c r="S303" s="73">
        <v>531</v>
      </c>
      <c r="T303" s="74">
        <v>531</v>
      </c>
      <c r="U303" s="63">
        <f t="shared" ref="U303:U310" si="195">SUM(R303:T303)/3</f>
        <v>532.66666666666663</v>
      </c>
      <c r="V303" s="111">
        <f t="shared" ref="V303:V309" si="196">U303*91</f>
        <v>48472.666666666664</v>
      </c>
      <c r="W303" s="64">
        <f t="shared" ref="W303:W308" si="197">SUM(C303+D303+E303+H303+I303+J303+M303+N303+O303+R303+S303+T303)/12</f>
        <v>515.83333333333337</v>
      </c>
      <c r="X303" s="65">
        <f t="shared" si="188"/>
        <v>188279.16666666669</v>
      </c>
    </row>
    <row r="304" spans="1:24" ht="16.5" thickBot="1" x14ac:dyDescent="0.3">
      <c r="A304" s="50" t="s">
        <v>146</v>
      </c>
      <c r="B304" s="34"/>
      <c r="C304" s="5">
        <v>2</v>
      </c>
      <c r="D304" s="5">
        <v>2</v>
      </c>
      <c r="E304" s="5">
        <v>3</v>
      </c>
      <c r="F304" s="63">
        <f t="shared" si="189"/>
        <v>2.3333333333333335</v>
      </c>
      <c r="G304" s="108">
        <f t="shared" si="190"/>
        <v>214.66666666666669</v>
      </c>
      <c r="H304" s="5">
        <v>3</v>
      </c>
      <c r="I304" s="5">
        <v>3</v>
      </c>
      <c r="J304" s="5">
        <v>1</v>
      </c>
      <c r="K304" s="63">
        <f t="shared" si="191"/>
        <v>2.3333333333333335</v>
      </c>
      <c r="L304" s="108">
        <f t="shared" si="192"/>
        <v>214.66666666666669</v>
      </c>
      <c r="M304" s="5">
        <v>1</v>
      </c>
      <c r="N304" s="75">
        <v>2</v>
      </c>
      <c r="O304" s="75">
        <v>2</v>
      </c>
      <c r="P304" s="63">
        <f t="shared" si="193"/>
        <v>1.6666666666666667</v>
      </c>
      <c r="Q304" s="108">
        <f t="shared" si="194"/>
        <v>150</v>
      </c>
      <c r="R304" s="5">
        <v>3</v>
      </c>
      <c r="S304" s="75">
        <v>3</v>
      </c>
      <c r="T304" s="76">
        <v>3</v>
      </c>
      <c r="U304" s="63">
        <f t="shared" si="195"/>
        <v>3</v>
      </c>
      <c r="V304" s="111">
        <f t="shared" si="196"/>
        <v>273</v>
      </c>
      <c r="W304" s="64">
        <f t="shared" si="197"/>
        <v>2.3333333333333335</v>
      </c>
      <c r="X304" s="66">
        <f t="shared" si="188"/>
        <v>851.66666666666674</v>
      </c>
    </row>
    <row r="305" spans="1:24" ht="16.5" thickBot="1" x14ac:dyDescent="0.3">
      <c r="A305" s="50" t="s">
        <v>148</v>
      </c>
      <c r="B305" s="34"/>
      <c r="C305" s="5">
        <v>29</v>
      </c>
      <c r="D305" s="5">
        <v>37</v>
      </c>
      <c r="E305" s="5">
        <v>32</v>
      </c>
      <c r="F305" s="63">
        <f t="shared" si="189"/>
        <v>32.666666666666664</v>
      </c>
      <c r="G305" s="108">
        <f t="shared" si="190"/>
        <v>3005.333333333333</v>
      </c>
      <c r="H305" s="5">
        <v>26</v>
      </c>
      <c r="I305" s="5">
        <v>24</v>
      </c>
      <c r="J305" s="5">
        <v>24</v>
      </c>
      <c r="K305" s="63">
        <f t="shared" si="191"/>
        <v>24.666666666666668</v>
      </c>
      <c r="L305" s="108">
        <f t="shared" si="192"/>
        <v>2269.3333333333335</v>
      </c>
      <c r="M305" s="5">
        <v>26</v>
      </c>
      <c r="N305" s="75">
        <v>33</v>
      </c>
      <c r="O305" s="75">
        <v>26</v>
      </c>
      <c r="P305" s="63">
        <f t="shared" si="193"/>
        <v>28.333333333333332</v>
      </c>
      <c r="Q305" s="108">
        <f t="shared" si="194"/>
        <v>2550</v>
      </c>
      <c r="R305" s="5">
        <v>27</v>
      </c>
      <c r="S305" s="75">
        <v>30</v>
      </c>
      <c r="T305" s="76">
        <v>30</v>
      </c>
      <c r="U305" s="63">
        <f t="shared" si="195"/>
        <v>29</v>
      </c>
      <c r="V305" s="111">
        <f t="shared" si="196"/>
        <v>2639</v>
      </c>
      <c r="W305" s="64">
        <f t="shared" si="197"/>
        <v>28.666666666666668</v>
      </c>
      <c r="X305" s="66">
        <f t="shared" si="188"/>
        <v>10463.333333333334</v>
      </c>
    </row>
    <row r="306" spans="1:24" ht="16.5" thickBot="1" x14ac:dyDescent="0.3">
      <c r="A306" s="50" t="s">
        <v>147</v>
      </c>
      <c r="B306" s="34"/>
      <c r="C306" s="5">
        <v>158</v>
      </c>
      <c r="D306" s="5">
        <v>164</v>
      </c>
      <c r="E306" s="5">
        <v>182</v>
      </c>
      <c r="F306" s="63">
        <f t="shared" si="189"/>
        <v>168</v>
      </c>
      <c r="G306" s="108">
        <f t="shared" si="190"/>
        <v>15456</v>
      </c>
      <c r="H306" s="5">
        <v>199</v>
      </c>
      <c r="I306" s="5">
        <v>201</v>
      </c>
      <c r="J306" s="5">
        <v>208</v>
      </c>
      <c r="K306" s="63">
        <f t="shared" si="191"/>
        <v>202.66666666666666</v>
      </c>
      <c r="L306" s="108">
        <f t="shared" si="192"/>
        <v>18645.333333333332</v>
      </c>
      <c r="M306" s="5">
        <v>195</v>
      </c>
      <c r="N306" s="75">
        <v>200</v>
      </c>
      <c r="O306" s="75">
        <v>191</v>
      </c>
      <c r="P306" s="63">
        <f t="shared" si="193"/>
        <v>195.33333333333334</v>
      </c>
      <c r="Q306" s="108">
        <f t="shared" si="194"/>
        <v>17580</v>
      </c>
      <c r="R306" s="5">
        <v>172</v>
      </c>
      <c r="S306" s="75">
        <v>183</v>
      </c>
      <c r="T306" s="76">
        <v>183</v>
      </c>
      <c r="U306" s="63">
        <f t="shared" si="195"/>
        <v>179.33333333333334</v>
      </c>
      <c r="V306" s="111">
        <f t="shared" si="196"/>
        <v>16319.333333333334</v>
      </c>
      <c r="W306" s="64">
        <f t="shared" si="197"/>
        <v>186.33333333333334</v>
      </c>
      <c r="X306" s="66">
        <f>W306*365</f>
        <v>68011.666666666672</v>
      </c>
    </row>
    <row r="307" spans="1:24" ht="16.5" thickBot="1" x14ac:dyDescent="0.3">
      <c r="A307" s="50" t="s">
        <v>149</v>
      </c>
      <c r="B307" s="34"/>
      <c r="C307" s="5">
        <v>811</v>
      </c>
      <c r="D307" s="5">
        <v>907</v>
      </c>
      <c r="E307" s="5">
        <v>924</v>
      </c>
      <c r="F307" s="63">
        <f t="shared" si="189"/>
        <v>880.66666666666663</v>
      </c>
      <c r="G307" s="108">
        <f t="shared" si="190"/>
        <v>81021.333333333328</v>
      </c>
      <c r="H307" s="5">
        <v>923</v>
      </c>
      <c r="I307" s="5">
        <v>981</v>
      </c>
      <c r="J307" s="5">
        <v>994</v>
      </c>
      <c r="K307" s="63">
        <f t="shared" si="191"/>
        <v>966</v>
      </c>
      <c r="L307" s="108">
        <f t="shared" si="192"/>
        <v>88872</v>
      </c>
      <c r="M307" s="5">
        <v>1044</v>
      </c>
      <c r="N307" s="75">
        <v>1060</v>
      </c>
      <c r="O307" s="75">
        <v>1052</v>
      </c>
      <c r="P307" s="63">
        <f t="shared" si="193"/>
        <v>1052</v>
      </c>
      <c r="Q307" s="108">
        <f t="shared" si="194"/>
        <v>94680</v>
      </c>
      <c r="R307" s="5">
        <v>986</v>
      </c>
      <c r="S307" s="75">
        <v>928</v>
      </c>
      <c r="T307" s="76">
        <v>928</v>
      </c>
      <c r="U307" s="63">
        <f t="shared" si="195"/>
        <v>947.33333333333337</v>
      </c>
      <c r="V307" s="111">
        <f t="shared" si="196"/>
        <v>86207.333333333343</v>
      </c>
      <c r="W307" s="64">
        <f t="shared" si="197"/>
        <v>961.5</v>
      </c>
      <c r="X307" s="66">
        <f t="shared" si="188"/>
        <v>350947.5</v>
      </c>
    </row>
    <row r="308" spans="1:24" ht="16.5" thickBot="1" x14ac:dyDescent="0.3">
      <c r="A308" s="50" t="s">
        <v>150</v>
      </c>
      <c r="B308" s="34"/>
      <c r="C308" s="5">
        <v>17</v>
      </c>
      <c r="D308" s="5">
        <v>17</v>
      </c>
      <c r="E308" s="5">
        <v>17</v>
      </c>
      <c r="F308" s="63">
        <f t="shared" si="189"/>
        <v>17</v>
      </c>
      <c r="G308" s="108">
        <f t="shared" si="190"/>
        <v>1564</v>
      </c>
      <c r="H308" s="5">
        <v>16</v>
      </c>
      <c r="I308" s="5">
        <v>16</v>
      </c>
      <c r="J308" s="5">
        <v>17</v>
      </c>
      <c r="K308" s="63">
        <f t="shared" si="191"/>
        <v>16.333333333333332</v>
      </c>
      <c r="L308" s="108">
        <f t="shared" si="192"/>
        <v>1502.6666666666665</v>
      </c>
      <c r="M308" s="5">
        <v>17</v>
      </c>
      <c r="N308" s="75">
        <v>17</v>
      </c>
      <c r="O308" s="75">
        <v>18</v>
      </c>
      <c r="P308" s="63">
        <f t="shared" si="193"/>
        <v>17.333333333333332</v>
      </c>
      <c r="Q308" s="108">
        <f t="shared" si="194"/>
        <v>1560</v>
      </c>
      <c r="R308" s="5">
        <v>18</v>
      </c>
      <c r="S308" s="75">
        <v>18</v>
      </c>
      <c r="T308" s="76">
        <v>18</v>
      </c>
      <c r="U308" s="63">
        <f t="shared" si="195"/>
        <v>18</v>
      </c>
      <c r="V308" s="112">
        <f t="shared" si="196"/>
        <v>1638</v>
      </c>
      <c r="W308" s="64">
        <f t="shared" si="197"/>
        <v>17.166666666666668</v>
      </c>
      <c r="X308" s="66">
        <f t="shared" si="188"/>
        <v>6265.8333333333339</v>
      </c>
    </row>
    <row r="309" spans="1:24" ht="16.5" thickBot="1" x14ac:dyDescent="0.3">
      <c r="A309" s="53" t="s">
        <v>154</v>
      </c>
      <c r="B309" s="37"/>
      <c r="C309" s="80">
        <f>SUM(C303:C308)</f>
        <v>1524</v>
      </c>
      <c r="D309" s="80">
        <f>SUM(D303:D308)</f>
        <v>1636</v>
      </c>
      <c r="E309" s="80">
        <f>SUM(E303:E308)</f>
        <v>1675</v>
      </c>
      <c r="F309" s="68">
        <f t="shared" si="189"/>
        <v>1611.6666666666667</v>
      </c>
      <c r="G309" s="108">
        <f t="shared" si="190"/>
        <v>148273.33333333334</v>
      </c>
      <c r="H309" s="94">
        <f>SUM(H303:H308)</f>
        <v>1672</v>
      </c>
      <c r="I309" s="80">
        <f>SUM(I303:I308)</f>
        <v>1735</v>
      </c>
      <c r="J309" s="80">
        <f>SUM(J303:J308)</f>
        <v>1721</v>
      </c>
      <c r="K309" s="68">
        <f t="shared" si="191"/>
        <v>1709.3333333333333</v>
      </c>
      <c r="L309" s="119">
        <f t="shared" si="192"/>
        <v>157258.66666666666</v>
      </c>
      <c r="M309" s="94">
        <f>SUM(M303:M308)</f>
        <v>1794</v>
      </c>
      <c r="N309" s="80">
        <f>SUM(N303:N308)</f>
        <v>1845</v>
      </c>
      <c r="O309" s="80">
        <f>SUM(O303:O308)</f>
        <v>1812</v>
      </c>
      <c r="P309" s="68">
        <f t="shared" si="193"/>
        <v>1817</v>
      </c>
      <c r="Q309" s="119">
        <f t="shared" si="194"/>
        <v>163530</v>
      </c>
      <c r="R309" s="94">
        <f>SUM(R303:R308)</f>
        <v>1742</v>
      </c>
      <c r="S309" s="80">
        <f>SUM(S303:S308)</f>
        <v>1693</v>
      </c>
      <c r="T309" s="81">
        <f>SUM(T303:T308)</f>
        <v>1693</v>
      </c>
      <c r="U309" s="68">
        <f t="shared" si="195"/>
        <v>1709.3333333333333</v>
      </c>
      <c r="V309" s="120">
        <f t="shared" si="196"/>
        <v>155549.33333333331</v>
      </c>
      <c r="W309" s="69">
        <f>SUM(W303:W308)</f>
        <v>1711.8333333333335</v>
      </c>
      <c r="X309" s="69">
        <f>SUM(X303:X308)</f>
        <v>624819.16666666674</v>
      </c>
    </row>
    <row r="310" spans="1:24" ht="16.5" thickBot="1" x14ac:dyDescent="0.3">
      <c r="A310" s="54" t="s">
        <v>158</v>
      </c>
      <c r="B310" s="38"/>
      <c r="C310" s="80">
        <f>C301+C309</f>
        <v>5106.8279999999995</v>
      </c>
      <c r="D310" s="80">
        <f>D301+D309</f>
        <v>5154.1210000000001</v>
      </c>
      <c r="E310" s="80">
        <f>E301+E309</f>
        <v>5184.0570000000007</v>
      </c>
      <c r="F310" s="80">
        <f>F301+F309</f>
        <v>5148.3353333333334</v>
      </c>
      <c r="G310" s="68">
        <f>SUM(G301+G309)</f>
        <v>473646.85066666675</v>
      </c>
      <c r="H310" s="80">
        <f>H301+H309</f>
        <v>5190.6319999999996</v>
      </c>
      <c r="I310" s="80">
        <f>I301+I309</f>
        <v>5167.3370000000004</v>
      </c>
      <c r="J310" s="80">
        <f>J301+J309</f>
        <v>5106.4259999999995</v>
      </c>
      <c r="K310" s="120">
        <f t="shared" si="191"/>
        <v>5154.7983333333332</v>
      </c>
      <c r="L310" s="68">
        <f>SUM(L301+L309)</f>
        <v>474241.44666666666</v>
      </c>
      <c r="M310" s="94">
        <f>M301+M309</f>
        <v>5175.9860000000008</v>
      </c>
      <c r="N310" s="80">
        <f>N301+N309</f>
        <v>5240.7709999999997</v>
      </c>
      <c r="O310" s="80">
        <f>O301+O309</f>
        <v>5222.6569999999992</v>
      </c>
      <c r="P310" s="99">
        <f t="shared" si="193"/>
        <v>5213.1379999999999</v>
      </c>
      <c r="Q310" s="68">
        <f>SUM(Q301+Q309)</f>
        <v>472578.55799999996</v>
      </c>
      <c r="R310" s="94">
        <f>R301+R309</f>
        <v>5265.32</v>
      </c>
      <c r="S310" s="80">
        <f>S301+S309</f>
        <v>5296.1450000000004</v>
      </c>
      <c r="T310" s="81">
        <f>T301+T309</f>
        <v>5334.91</v>
      </c>
      <c r="U310" s="99">
        <f t="shared" si="195"/>
        <v>5298.791666666667</v>
      </c>
      <c r="V310" s="68">
        <f>SUM(V301+V309)</f>
        <v>482190.04166666669</v>
      </c>
      <c r="W310" s="80">
        <f>W301+W309</f>
        <v>5203.7658333333338</v>
      </c>
      <c r="X310" s="82">
        <f>X301+X309</f>
        <v>1899374.5291666668</v>
      </c>
    </row>
    <row r="311" spans="1:24" ht="15.75" x14ac:dyDescent="0.25">
      <c r="A311" s="114"/>
      <c r="B311" s="19"/>
      <c r="C311" s="115"/>
      <c r="D311" s="115"/>
      <c r="E311" s="115"/>
      <c r="F311" s="115"/>
      <c r="G311" s="113"/>
      <c r="H311" s="115"/>
      <c r="I311" s="115"/>
      <c r="J311" s="115"/>
      <c r="K311" s="139"/>
      <c r="L311" s="113"/>
      <c r="M311" s="115"/>
      <c r="N311" s="115"/>
      <c r="O311" s="115"/>
      <c r="P311" s="93"/>
      <c r="Q311" s="113"/>
      <c r="R311" s="115"/>
      <c r="S311" s="115"/>
      <c r="T311" s="115"/>
      <c r="U311" s="93"/>
      <c r="V311" s="113"/>
      <c r="W311" s="115"/>
      <c r="X311" s="115"/>
    </row>
    <row r="312" spans="1:24" ht="15.75" x14ac:dyDescent="0.25">
      <c r="A312" s="114"/>
      <c r="B312" s="19"/>
      <c r="C312" s="115"/>
      <c r="D312" s="115"/>
      <c r="E312" s="115"/>
      <c r="F312" s="115"/>
      <c r="G312" s="113"/>
      <c r="H312" s="115"/>
      <c r="I312" s="115"/>
      <c r="J312" s="115"/>
      <c r="K312" s="139"/>
      <c r="L312" s="113"/>
      <c r="M312" s="115"/>
      <c r="N312" s="115"/>
      <c r="O312" s="115"/>
      <c r="P312" s="93"/>
      <c r="Q312" s="113"/>
      <c r="R312" s="115"/>
      <c r="S312" s="115"/>
      <c r="T312" s="115"/>
      <c r="U312" s="93"/>
      <c r="V312" s="113"/>
      <c r="W312" s="115"/>
      <c r="X312" s="115"/>
    </row>
    <row r="313" spans="1:24" ht="16.5" thickBot="1" x14ac:dyDescent="0.25">
      <c r="A313" s="45" t="s">
        <v>157</v>
      </c>
      <c r="B313" s="10"/>
      <c r="C313" s="13"/>
      <c r="D313" s="13"/>
      <c r="E313" s="13"/>
      <c r="F313" s="13"/>
      <c r="G313" s="13"/>
      <c r="H313" s="13"/>
      <c r="I313" s="13"/>
      <c r="J313" s="13"/>
      <c r="K313" s="13"/>
      <c r="L313" s="13"/>
      <c r="M313" s="13"/>
      <c r="N313" s="13"/>
      <c r="O313" s="13"/>
      <c r="P313" s="13"/>
      <c r="Q313" s="13"/>
      <c r="R313" s="13"/>
      <c r="S313" s="13"/>
      <c r="T313" s="13"/>
      <c r="U313" s="13"/>
      <c r="V313" s="13"/>
      <c r="W313" s="13"/>
      <c r="X313" s="13"/>
    </row>
    <row r="314" spans="1:24" ht="16.5" thickBot="1" x14ac:dyDescent="0.3">
      <c r="A314" s="32" t="s">
        <v>297</v>
      </c>
      <c r="B314" s="1156" t="s">
        <v>155</v>
      </c>
      <c r="C314" s="1169"/>
      <c r="D314" s="1169"/>
      <c r="E314" s="1169"/>
      <c r="F314" s="1169"/>
      <c r="G314" s="1169"/>
      <c r="H314" s="1169"/>
      <c r="I314" s="1169"/>
      <c r="J314" s="1169"/>
      <c r="K314" s="1169"/>
      <c r="L314" s="1169"/>
      <c r="M314" s="1169"/>
      <c r="N314" s="1169"/>
      <c r="O314" s="1169"/>
      <c r="P314" s="1169"/>
      <c r="Q314" s="1169"/>
      <c r="R314" s="1169"/>
      <c r="S314" s="1169"/>
      <c r="T314" s="1169"/>
      <c r="U314" s="39"/>
      <c r="V314" s="39"/>
      <c r="W314" s="92"/>
      <c r="X314" s="13"/>
    </row>
    <row r="315" spans="1:24" ht="15.75" x14ac:dyDescent="0.25">
      <c r="A315" s="11"/>
      <c r="B315" s="40" t="s">
        <v>268</v>
      </c>
      <c r="C315" s="57"/>
      <c r="D315" s="58"/>
      <c r="E315" s="58"/>
      <c r="F315" s="1158" t="s">
        <v>265</v>
      </c>
      <c r="G315" s="1160" t="s">
        <v>285</v>
      </c>
      <c r="H315" s="58"/>
      <c r="I315" s="58"/>
      <c r="J315" s="58"/>
      <c r="K315" s="1158" t="s">
        <v>265</v>
      </c>
      <c r="L315" s="1160" t="s">
        <v>285</v>
      </c>
      <c r="M315" s="58"/>
      <c r="N315" s="58"/>
      <c r="O315" s="58"/>
      <c r="P315" s="1158" t="s">
        <v>265</v>
      </c>
      <c r="Q315" s="1160" t="s">
        <v>285</v>
      </c>
      <c r="R315" s="58"/>
      <c r="S315" s="58"/>
      <c r="T315" s="59"/>
      <c r="U315" s="1158" t="s">
        <v>265</v>
      </c>
      <c r="V315" s="1160" t="s">
        <v>285</v>
      </c>
      <c r="W315" s="1167" t="s">
        <v>156</v>
      </c>
      <c r="X315" s="1165" t="s">
        <v>157</v>
      </c>
    </row>
    <row r="316" spans="1:24" ht="15.75" customHeight="1" thickBot="1" x14ac:dyDescent="0.3">
      <c r="A316" s="47" t="s">
        <v>56</v>
      </c>
      <c r="B316" s="41" t="s">
        <v>269</v>
      </c>
      <c r="C316" s="60">
        <v>38538</v>
      </c>
      <c r="D316" s="61">
        <v>38569</v>
      </c>
      <c r="E316" s="61">
        <v>38600</v>
      </c>
      <c r="F316" s="1159"/>
      <c r="G316" s="1164"/>
      <c r="H316" s="61">
        <v>38630</v>
      </c>
      <c r="I316" s="61">
        <v>38661</v>
      </c>
      <c r="J316" s="61">
        <v>38691</v>
      </c>
      <c r="K316" s="1164"/>
      <c r="L316" s="1164"/>
      <c r="M316" s="61">
        <v>38718</v>
      </c>
      <c r="N316" s="61">
        <v>38749</v>
      </c>
      <c r="O316" s="61">
        <v>38777</v>
      </c>
      <c r="P316" s="1164"/>
      <c r="Q316" s="1164"/>
      <c r="R316" s="61">
        <v>38808</v>
      </c>
      <c r="S316" s="61">
        <v>38838</v>
      </c>
      <c r="T316" s="62">
        <v>38869</v>
      </c>
      <c r="U316" s="1164"/>
      <c r="V316" s="1164"/>
      <c r="W316" s="1164"/>
      <c r="X316" s="1164"/>
    </row>
    <row r="317" spans="1:24" ht="32.25" customHeight="1" thickBot="1" x14ac:dyDescent="0.3">
      <c r="A317" s="48" t="s">
        <v>298</v>
      </c>
      <c r="B317" s="42" t="s">
        <v>270</v>
      </c>
      <c r="C317" s="125">
        <v>456.77</v>
      </c>
      <c r="D317" s="125">
        <v>441.45</v>
      </c>
      <c r="E317" s="117">
        <v>460.2</v>
      </c>
      <c r="F317" s="63">
        <f t="shared" ref="F317:F331" si="198">SUM(C317:E317)/3</f>
        <v>452.80666666666667</v>
      </c>
      <c r="G317" s="108">
        <f t="shared" ref="G317:G331" si="199">F317*92</f>
        <v>41658.213333333333</v>
      </c>
      <c r="H317" s="117">
        <v>449.61</v>
      </c>
      <c r="I317" s="117">
        <v>436.43</v>
      </c>
      <c r="J317" s="117">
        <v>435.55</v>
      </c>
      <c r="K317" s="63">
        <f t="shared" ref="K317:K331" si="200">SUM(H317:J317)/3</f>
        <v>440.53</v>
      </c>
      <c r="L317" s="108">
        <f t="shared" ref="L317:L331" si="201">K317*92</f>
        <v>40528.759999999995</v>
      </c>
      <c r="M317" s="117">
        <v>446.52</v>
      </c>
      <c r="N317" s="85">
        <v>447.57</v>
      </c>
      <c r="O317" s="85">
        <v>483.19</v>
      </c>
      <c r="P317" s="63">
        <f t="shared" ref="P317:P331" si="202">SUM(M317:O317)/3</f>
        <v>459.09333333333331</v>
      </c>
      <c r="Q317" s="108">
        <f t="shared" ref="Q317:Q329" si="203">P317*90</f>
        <v>41318.399999999994</v>
      </c>
      <c r="R317" s="117">
        <v>476.97</v>
      </c>
      <c r="S317" s="85">
        <v>477.42</v>
      </c>
      <c r="T317" s="135">
        <v>493.7</v>
      </c>
      <c r="U317" s="63">
        <f t="shared" ref="U317:U331" si="204">SUM(R317:T317)/3</f>
        <v>482.69666666666672</v>
      </c>
      <c r="V317" s="111">
        <f t="shared" ref="V317:V331" si="205">U317*91</f>
        <v>43925.396666666667</v>
      </c>
      <c r="W317" s="64">
        <f t="shared" ref="W317:W331" si="206">SUM(C317+D317+E317+H317+I317+J317+M317+N317+O317+R317+S317+T317)/12</f>
        <v>458.78166666666669</v>
      </c>
      <c r="X317" s="65">
        <f>W317*365</f>
        <v>167455.30833333335</v>
      </c>
    </row>
    <row r="318" spans="1:24" ht="16.5" thickBot="1" x14ac:dyDescent="0.3">
      <c r="A318" s="49" t="s">
        <v>140</v>
      </c>
      <c r="B318" s="43" t="s">
        <v>271</v>
      </c>
      <c r="C318" s="126">
        <v>128.41999999999999</v>
      </c>
      <c r="D318" s="126">
        <v>140.13</v>
      </c>
      <c r="E318" s="118">
        <v>126.17</v>
      </c>
      <c r="F318" s="63">
        <f t="shared" si="198"/>
        <v>131.57333333333332</v>
      </c>
      <c r="G318" s="108">
        <f t="shared" si="199"/>
        <v>12104.746666666666</v>
      </c>
      <c r="H318" s="118">
        <v>127.16</v>
      </c>
      <c r="I318" s="118">
        <v>113.43</v>
      </c>
      <c r="J318" s="118">
        <v>111.16</v>
      </c>
      <c r="K318" s="63">
        <f t="shared" si="200"/>
        <v>117.25</v>
      </c>
      <c r="L318" s="108">
        <f t="shared" si="201"/>
        <v>10787</v>
      </c>
      <c r="M318" s="118">
        <v>138.1</v>
      </c>
      <c r="N318" s="86">
        <v>109.79</v>
      </c>
      <c r="O318" s="86">
        <v>99.064999999999998</v>
      </c>
      <c r="P318" s="63">
        <f t="shared" si="202"/>
        <v>115.65166666666666</v>
      </c>
      <c r="Q318" s="108">
        <f t="shared" si="203"/>
        <v>10408.65</v>
      </c>
      <c r="R318" s="118">
        <v>103</v>
      </c>
      <c r="S318" s="86">
        <v>98.451999999999998</v>
      </c>
      <c r="T318" s="89">
        <v>97.867000000000004</v>
      </c>
      <c r="U318" s="63">
        <f t="shared" si="204"/>
        <v>99.77300000000001</v>
      </c>
      <c r="V318" s="111">
        <f t="shared" si="205"/>
        <v>9079.3430000000008</v>
      </c>
      <c r="W318" s="64">
        <f t="shared" si="206"/>
        <v>116.062</v>
      </c>
      <c r="X318" s="65">
        <f>W318*365</f>
        <v>42362.63</v>
      </c>
    </row>
    <row r="319" spans="1:24" ht="16.5" thickBot="1" x14ac:dyDescent="0.3">
      <c r="A319" s="50" t="s">
        <v>299</v>
      </c>
      <c r="B319" s="44" t="s">
        <v>272</v>
      </c>
      <c r="C319" s="4">
        <v>375.45</v>
      </c>
      <c r="D319" s="4">
        <v>374.35</v>
      </c>
      <c r="E319" s="3">
        <v>385.1</v>
      </c>
      <c r="F319" s="63">
        <f t="shared" si="198"/>
        <v>378.3</v>
      </c>
      <c r="G319" s="108">
        <f t="shared" si="199"/>
        <v>34803.599999999999</v>
      </c>
      <c r="H319" s="3">
        <v>414.74</v>
      </c>
      <c r="I319" s="3">
        <v>411.3</v>
      </c>
      <c r="J319" s="3">
        <v>412.13</v>
      </c>
      <c r="K319" s="63">
        <f t="shared" si="200"/>
        <v>412.72333333333336</v>
      </c>
      <c r="L319" s="108">
        <f t="shared" si="201"/>
        <v>37970.546666666669</v>
      </c>
      <c r="M319" s="3">
        <v>420.9</v>
      </c>
      <c r="N319" s="87">
        <v>421.75</v>
      </c>
      <c r="O319" s="87">
        <v>437.58</v>
      </c>
      <c r="P319" s="63">
        <f t="shared" si="202"/>
        <v>426.74333333333334</v>
      </c>
      <c r="Q319" s="108">
        <f t="shared" si="203"/>
        <v>38406.9</v>
      </c>
      <c r="R319" s="3">
        <v>440.5</v>
      </c>
      <c r="S319" s="87">
        <v>438.9</v>
      </c>
      <c r="T319" s="90">
        <v>441.4</v>
      </c>
      <c r="U319" s="63">
        <f t="shared" si="204"/>
        <v>440.26666666666665</v>
      </c>
      <c r="V319" s="111">
        <f t="shared" si="205"/>
        <v>40064.266666666663</v>
      </c>
      <c r="W319" s="64">
        <f t="shared" si="206"/>
        <v>414.50833333333327</v>
      </c>
      <c r="X319" s="66">
        <f t="shared" ref="X319:X338" si="207">W319*365</f>
        <v>151295.54166666666</v>
      </c>
    </row>
    <row r="320" spans="1:24" ht="16.5" thickBot="1" x14ac:dyDescent="0.3">
      <c r="A320" s="50" t="s">
        <v>25</v>
      </c>
      <c r="B320" s="44" t="s">
        <v>273</v>
      </c>
      <c r="C320" s="4">
        <v>244</v>
      </c>
      <c r="D320" s="4">
        <v>249.16</v>
      </c>
      <c r="E320" s="3">
        <v>264.77</v>
      </c>
      <c r="F320" s="63">
        <f t="shared" si="198"/>
        <v>252.64333333333332</v>
      </c>
      <c r="G320" s="108">
        <f t="shared" si="199"/>
        <v>23243.186666666665</v>
      </c>
      <c r="H320" s="3">
        <v>278.77</v>
      </c>
      <c r="I320" s="3">
        <v>295.2</v>
      </c>
      <c r="J320" s="3">
        <v>281.81</v>
      </c>
      <c r="K320" s="63">
        <f t="shared" si="200"/>
        <v>285.26</v>
      </c>
      <c r="L320" s="108">
        <f t="shared" si="201"/>
        <v>26243.919999999998</v>
      </c>
      <c r="M320" s="3">
        <v>290.26</v>
      </c>
      <c r="N320" s="87">
        <v>295.75</v>
      </c>
      <c r="O320" s="87">
        <v>279.64999999999998</v>
      </c>
      <c r="P320" s="63">
        <f t="shared" si="202"/>
        <v>288.55333333333334</v>
      </c>
      <c r="Q320" s="108">
        <f t="shared" si="203"/>
        <v>25969.8</v>
      </c>
      <c r="R320" s="3">
        <v>307.7</v>
      </c>
      <c r="S320" s="87">
        <v>309.39</v>
      </c>
      <c r="T320" s="90">
        <v>309.57</v>
      </c>
      <c r="U320" s="63">
        <f t="shared" si="204"/>
        <v>308.8866666666666</v>
      </c>
      <c r="V320" s="111">
        <f t="shared" si="205"/>
        <v>28108.686666666661</v>
      </c>
      <c r="W320" s="64">
        <f t="shared" si="206"/>
        <v>283.83583333333331</v>
      </c>
      <c r="X320" s="66">
        <f t="shared" si="207"/>
        <v>103600.07916666666</v>
      </c>
    </row>
    <row r="321" spans="1:24" ht="16.5" thickBot="1" x14ac:dyDescent="0.3">
      <c r="A321" s="51" t="s">
        <v>282</v>
      </c>
      <c r="B321" s="44" t="s">
        <v>274</v>
      </c>
      <c r="C321" s="4">
        <v>331.84</v>
      </c>
      <c r="D321" s="4">
        <v>327.96</v>
      </c>
      <c r="E321" s="3">
        <v>326.39999999999998</v>
      </c>
      <c r="F321" s="63">
        <f t="shared" si="198"/>
        <v>328.73333333333329</v>
      </c>
      <c r="G321" s="108">
        <f t="shared" si="199"/>
        <v>30243.466666666664</v>
      </c>
      <c r="H321" s="3">
        <v>327.93</v>
      </c>
      <c r="I321" s="3">
        <v>323.43</v>
      </c>
      <c r="J321" s="3">
        <v>319.51</v>
      </c>
      <c r="K321" s="63">
        <f t="shared" si="200"/>
        <v>323.62333333333333</v>
      </c>
      <c r="L321" s="108">
        <f t="shared" si="201"/>
        <v>29773.346666666668</v>
      </c>
      <c r="M321" s="3">
        <v>328.09</v>
      </c>
      <c r="N321" s="87">
        <v>333.71</v>
      </c>
      <c r="O321" s="87">
        <v>340.322</v>
      </c>
      <c r="P321" s="63">
        <f t="shared" si="202"/>
        <v>334.04066666666665</v>
      </c>
      <c r="Q321" s="108">
        <f t="shared" si="203"/>
        <v>30063.66</v>
      </c>
      <c r="R321" s="3">
        <v>343.7</v>
      </c>
      <c r="S321" s="87">
        <v>353.16300000000001</v>
      </c>
      <c r="T321" s="90">
        <v>361.37</v>
      </c>
      <c r="U321" s="63">
        <f t="shared" si="204"/>
        <v>352.74433333333337</v>
      </c>
      <c r="V321" s="111">
        <f t="shared" si="205"/>
        <v>32099.734333333337</v>
      </c>
      <c r="W321" s="64">
        <f t="shared" si="206"/>
        <v>334.78541666666666</v>
      </c>
      <c r="X321" s="66">
        <f t="shared" si="207"/>
        <v>122196.67708333333</v>
      </c>
    </row>
    <row r="322" spans="1:24" ht="16.5" thickBot="1" x14ac:dyDescent="0.3">
      <c r="A322" s="50" t="s">
        <v>16</v>
      </c>
      <c r="B322" s="44" t="s">
        <v>275</v>
      </c>
      <c r="C322" s="4">
        <v>69.55</v>
      </c>
      <c r="D322" s="4">
        <v>66.322999999999993</v>
      </c>
      <c r="E322" s="3">
        <v>68.900000000000006</v>
      </c>
      <c r="F322" s="63">
        <f t="shared" si="198"/>
        <v>68.257666666666665</v>
      </c>
      <c r="G322" s="108">
        <f t="shared" si="199"/>
        <v>6279.7053333333333</v>
      </c>
      <c r="H322" s="3">
        <v>70.225999999999999</v>
      </c>
      <c r="I322" s="3">
        <v>66.966999999999999</v>
      </c>
      <c r="J322" s="3">
        <v>66.709999999999994</v>
      </c>
      <c r="K322" s="63">
        <f t="shared" si="200"/>
        <v>67.967666666666659</v>
      </c>
      <c r="L322" s="108">
        <f t="shared" si="201"/>
        <v>6253.025333333333</v>
      </c>
      <c r="M322" s="3">
        <v>62.22</v>
      </c>
      <c r="N322" s="87">
        <v>59.893000000000001</v>
      </c>
      <c r="O322" s="87">
        <v>61.194000000000003</v>
      </c>
      <c r="P322" s="63">
        <f t="shared" si="202"/>
        <v>61.102333333333341</v>
      </c>
      <c r="Q322" s="108">
        <f t="shared" si="203"/>
        <v>5499.2100000000009</v>
      </c>
      <c r="R322" s="3">
        <v>61.13</v>
      </c>
      <c r="S322" s="87">
        <v>60.128999999999998</v>
      </c>
      <c r="T322" s="90">
        <v>61.067</v>
      </c>
      <c r="U322" s="63">
        <f t="shared" si="204"/>
        <v>60.775333333333329</v>
      </c>
      <c r="V322" s="111">
        <f t="shared" si="205"/>
        <v>5530.5553333333328</v>
      </c>
      <c r="W322" s="64">
        <f t="shared" si="206"/>
        <v>64.525750000000002</v>
      </c>
      <c r="X322" s="66">
        <f t="shared" si="207"/>
        <v>23551.89875</v>
      </c>
    </row>
    <row r="323" spans="1:24" ht="16.5" thickBot="1" x14ac:dyDescent="0.3">
      <c r="A323" s="50" t="s">
        <v>17</v>
      </c>
      <c r="B323" s="44" t="s">
        <v>276</v>
      </c>
      <c r="C323" s="4">
        <v>185.06</v>
      </c>
      <c r="D323" s="4">
        <v>195.19</v>
      </c>
      <c r="E323" s="3">
        <v>198.4</v>
      </c>
      <c r="F323" s="63">
        <f t="shared" si="198"/>
        <v>192.88333333333333</v>
      </c>
      <c r="G323" s="108">
        <f t="shared" si="199"/>
        <v>17745.266666666666</v>
      </c>
      <c r="H323" s="3">
        <v>193.42</v>
      </c>
      <c r="I323" s="3">
        <v>188.8</v>
      </c>
      <c r="J323" s="3">
        <v>196.68</v>
      </c>
      <c r="K323" s="63">
        <f t="shared" si="200"/>
        <v>192.9666666666667</v>
      </c>
      <c r="L323" s="108">
        <f t="shared" si="201"/>
        <v>17752.933333333334</v>
      </c>
      <c r="M323" s="3">
        <v>206.1</v>
      </c>
      <c r="N323" s="87">
        <v>206.46</v>
      </c>
      <c r="O323" s="87">
        <v>204.74</v>
      </c>
      <c r="P323" s="63">
        <f t="shared" si="202"/>
        <v>205.76666666666665</v>
      </c>
      <c r="Q323" s="108">
        <f t="shared" si="203"/>
        <v>18519</v>
      </c>
      <c r="R323" s="3">
        <v>197</v>
      </c>
      <c r="S323" s="87">
        <v>198.81</v>
      </c>
      <c r="T323" s="90">
        <v>198.73</v>
      </c>
      <c r="U323" s="63">
        <f t="shared" si="204"/>
        <v>198.17999999999998</v>
      </c>
      <c r="V323" s="111">
        <f t="shared" si="205"/>
        <v>18034.379999999997</v>
      </c>
      <c r="W323" s="64">
        <f t="shared" si="206"/>
        <v>197.44916666666666</v>
      </c>
      <c r="X323" s="66">
        <f t="shared" si="207"/>
        <v>72068.945833333331</v>
      </c>
    </row>
    <row r="324" spans="1:24" ht="16.5" thickBot="1" x14ac:dyDescent="0.3">
      <c r="A324" s="50" t="s">
        <v>142</v>
      </c>
      <c r="B324" s="44" t="s">
        <v>277</v>
      </c>
      <c r="C324" s="4">
        <v>100.87</v>
      </c>
      <c r="D324" s="4">
        <v>100.74</v>
      </c>
      <c r="E324" s="3">
        <v>98.5</v>
      </c>
      <c r="F324" s="63">
        <f t="shared" si="198"/>
        <v>100.03666666666668</v>
      </c>
      <c r="G324" s="108">
        <f t="shared" si="199"/>
        <v>9203.3733333333348</v>
      </c>
      <c r="H324" s="3">
        <v>91.903000000000006</v>
      </c>
      <c r="I324" s="3">
        <v>93.266999999999996</v>
      </c>
      <c r="J324" s="3">
        <v>105.23</v>
      </c>
      <c r="K324" s="63">
        <f t="shared" si="200"/>
        <v>96.800000000000011</v>
      </c>
      <c r="L324" s="108">
        <f t="shared" si="201"/>
        <v>8905.6</v>
      </c>
      <c r="M324" s="3">
        <v>99.45</v>
      </c>
      <c r="N324" s="87">
        <v>99.820999999999998</v>
      </c>
      <c r="O324" s="87">
        <v>102.81</v>
      </c>
      <c r="P324" s="63">
        <f t="shared" si="202"/>
        <v>100.69366666666667</v>
      </c>
      <c r="Q324" s="108">
        <f t="shared" si="203"/>
        <v>9062.43</v>
      </c>
      <c r="R324" s="3">
        <v>102.67</v>
      </c>
      <c r="S324" s="87">
        <v>103</v>
      </c>
      <c r="T324" s="90">
        <v>99.966999999999999</v>
      </c>
      <c r="U324" s="63">
        <f t="shared" si="204"/>
        <v>101.879</v>
      </c>
      <c r="V324" s="111">
        <f t="shared" si="205"/>
        <v>9270.9889999999996</v>
      </c>
      <c r="W324" s="64">
        <f t="shared" si="206"/>
        <v>99.852333333333334</v>
      </c>
      <c r="X324" s="66">
        <f t="shared" si="207"/>
        <v>36446.101666666669</v>
      </c>
    </row>
    <row r="325" spans="1:24" ht="16.5" thickBot="1" x14ac:dyDescent="0.3">
      <c r="A325" s="51" t="s">
        <v>283</v>
      </c>
      <c r="B325" s="44" t="s">
        <v>278</v>
      </c>
      <c r="C325" s="4">
        <v>414.78</v>
      </c>
      <c r="D325" s="4">
        <v>402.87</v>
      </c>
      <c r="E325" s="3">
        <v>398.3</v>
      </c>
      <c r="F325" s="63">
        <f t="shared" si="198"/>
        <v>405.31666666666666</v>
      </c>
      <c r="G325" s="108">
        <f t="shared" si="199"/>
        <v>37289.133333333331</v>
      </c>
      <c r="H325" s="3">
        <v>411.68</v>
      </c>
      <c r="I325" s="3">
        <v>394.64</v>
      </c>
      <c r="J325" s="3">
        <v>402.13</v>
      </c>
      <c r="K325" s="63">
        <f t="shared" si="200"/>
        <v>402.81666666666661</v>
      </c>
      <c r="L325" s="108">
        <f t="shared" si="201"/>
        <v>37059.133333333331</v>
      </c>
      <c r="M325" s="3">
        <v>414.39</v>
      </c>
      <c r="N325" s="87">
        <v>407.47</v>
      </c>
      <c r="O325" s="87">
        <v>414.74</v>
      </c>
      <c r="P325" s="63">
        <f t="shared" si="202"/>
        <v>412.2</v>
      </c>
      <c r="Q325" s="108">
        <f t="shared" si="203"/>
        <v>37098</v>
      </c>
      <c r="R325" s="3">
        <v>414.5</v>
      </c>
      <c r="S325" s="87">
        <v>394.93</v>
      </c>
      <c r="T325" s="90">
        <v>405.17</v>
      </c>
      <c r="U325" s="63">
        <f t="shared" si="204"/>
        <v>404.86666666666673</v>
      </c>
      <c r="V325" s="111">
        <f t="shared" si="205"/>
        <v>36842.866666666676</v>
      </c>
      <c r="W325" s="64">
        <f t="shared" si="206"/>
        <v>406.3</v>
      </c>
      <c r="X325" s="66">
        <f t="shared" si="207"/>
        <v>148299.5</v>
      </c>
    </row>
    <row r="326" spans="1:24" ht="16.5" thickBot="1" x14ac:dyDescent="0.3">
      <c r="A326" s="50" t="s">
        <v>151</v>
      </c>
      <c r="B326" s="121" t="s">
        <v>286</v>
      </c>
      <c r="C326" s="4">
        <v>101.87</v>
      </c>
      <c r="D326" s="4">
        <v>105.81</v>
      </c>
      <c r="E326" s="3">
        <v>108.63</v>
      </c>
      <c r="F326" s="63">
        <f t="shared" si="198"/>
        <v>105.43666666666667</v>
      </c>
      <c r="G326" s="108">
        <f t="shared" si="199"/>
        <v>9700.1733333333341</v>
      </c>
      <c r="H326" s="3">
        <v>106.13</v>
      </c>
      <c r="I326" s="3">
        <v>97</v>
      </c>
      <c r="J326" s="3">
        <v>94.61</v>
      </c>
      <c r="K326" s="63">
        <f t="shared" si="200"/>
        <v>99.24666666666667</v>
      </c>
      <c r="L326" s="108">
        <f t="shared" si="201"/>
        <v>9130.6933333333327</v>
      </c>
      <c r="M326" s="3">
        <v>87.93</v>
      </c>
      <c r="N326" s="87">
        <v>91.929000000000002</v>
      </c>
      <c r="O326" s="87">
        <v>91.129000000000005</v>
      </c>
      <c r="P326" s="63">
        <f t="shared" si="202"/>
        <v>90.329333333333338</v>
      </c>
      <c r="Q326" s="108">
        <f t="shared" si="203"/>
        <v>8129.64</v>
      </c>
      <c r="R326" s="3">
        <v>99.23</v>
      </c>
      <c r="S326" s="87">
        <v>98.064999999999998</v>
      </c>
      <c r="T326" s="90">
        <v>92.533000000000001</v>
      </c>
      <c r="U326" s="63">
        <f t="shared" si="204"/>
        <v>96.609333333333339</v>
      </c>
      <c r="V326" s="111">
        <f t="shared" si="205"/>
        <v>8791.4493333333339</v>
      </c>
      <c r="W326" s="64">
        <f t="shared" si="206"/>
        <v>97.905500000000004</v>
      </c>
      <c r="X326" s="66">
        <f>W326*365</f>
        <v>35735.5075</v>
      </c>
    </row>
    <row r="327" spans="1:24" ht="16.5" thickBot="1" x14ac:dyDescent="0.3">
      <c r="A327" s="49" t="s">
        <v>20</v>
      </c>
      <c r="B327" s="43" t="s">
        <v>279</v>
      </c>
      <c r="C327" s="126">
        <v>477.52</v>
      </c>
      <c r="D327" s="126">
        <v>476.94</v>
      </c>
      <c r="E327" s="118">
        <v>467.93</v>
      </c>
      <c r="F327" s="63">
        <f t="shared" si="198"/>
        <v>474.13000000000005</v>
      </c>
      <c r="G327" s="108">
        <f t="shared" si="199"/>
        <v>43619.960000000006</v>
      </c>
      <c r="H327" s="118">
        <v>497.16</v>
      </c>
      <c r="I327" s="3">
        <v>492.83</v>
      </c>
      <c r="J327" s="118">
        <v>491.39</v>
      </c>
      <c r="K327" s="63">
        <f t="shared" si="200"/>
        <v>493.79333333333335</v>
      </c>
      <c r="L327" s="111">
        <f t="shared" si="201"/>
        <v>45428.986666666671</v>
      </c>
      <c r="M327" s="3">
        <v>497.29</v>
      </c>
      <c r="N327" s="86">
        <v>479.11</v>
      </c>
      <c r="O327" s="86">
        <v>489.26</v>
      </c>
      <c r="P327" s="63">
        <f t="shared" si="202"/>
        <v>488.55333333333334</v>
      </c>
      <c r="Q327" s="108">
        <f t="shared" si="203"/>
        <v>43969.8</v>
      </c>
      <c r="R327" s="3">
        <v>496.13</v>
      </c>
      <c r="S327" s="86">
        <v>487.29</v>
      </c>
      <c r="T327" s="89">
        <v>488.6</v>
      </c>
      <c r="U327" s="63">
        <f t="shared" si="204"/>
        <v>490.67333333333335</v>
      </c>
      <c r="V327" s="111">
        <f t="shared" si="205"/>
        <v>44651.273333333338</v>
      </c>
      <c r="W327" s="64">
        <f t="shared" si="206"/>
        <v>486.78750000000008</v>
      </c>
      <c r="X327" s="65">
        <f t="shared" si="207"/>
        <v>177677.43750000003</v>
      </c>
    </row>
    <row r="328" spans="1:24" ht="16.5" thickBot="1" x14ac:dyDescent="0.3">
      <c r="A328" s="51" t="s">
        <v>284</v>
      </c>
      <c r="B328" s="44" t="s">
        <v>280</v>
      </c>
      <c r="C328" s="4">
        <v>337.23</v>
      </c>
      <c r="D328" s="4">
        <v>370.58</v>
      </c>
      <c r="E328" s="3">
        <v>393.5</v>
      </c>
      <c r="F328" s="63">
        <f t="shared" si="198"/>
        <v>367.1033333333333</v>
      </c>
      <c r="G328" s="108">
        <f t="shared" si="199"/>
        <v>33773.506666666661</v>
      </c>
      <c r="H328" s="3">
        <v>378.03</v>
      </c>
      <c r="I328" s="3">
        <v>365.43</v>
      </c>
      <c r="J328" s="3">
        <v>366.61</v>
      </c>
      <c r="K328" s="63">
        <f t="shared" si="200"/>
        <v>370.02333333333337</v>
      </c>
      <c r="L328" s="108">
        <f t="shared" si="201"/>
        <v>34042.146666666667</v>
      </c>
      <c r="M328" s="3">
        <v>382.2</v>
      </c>
      <c r="N328" s="87">
        <v>384.83</v>
      </c>
      <c r="O328" s="87">
        <v>379.42</v>
      </c>
      <c r="P328" s="63">
        <f t="shared" si="202"/>
        <v>382.15000000000003</v>
      </c>
      <c r="Q328" s="108">
        <f t="shared" si="203"/>
        <v>34393.5</v>
      </c>
      <c r="R328" s="3">
        <v>351.93</v>
      </c>
      <c r="S328" s="87">
        <v>353.35</v>
      </c>
      <c r="T328" s="90">
        <v>357.8</v>
      </c>
      <c r="U328" s="63">
        <f t="shared" si="204"/>
        <v>354.35999999999996</v>
      </c>
      <c r="V328" s="111">
        <f t="shared" si="205"/>
        <v>32246.759999999995</v>
      </c>
      <c r="W328" s="64">
        <f t="shared" si="206"/>
        <v>368.40916666666664</v>
      </c>
      <c r="X328" s="66">
        <f t="shared" si="207"/>
        <v>134469.34583333333</v>
      </c>
    </row>
    <row r="329" spans="1:24" ht="16.5" thickBot="1" x14ac:dyDescent="0.3">
      <c r="A329" s="50" t="s">
        <v>143</v>
      </c>
      <c r="B329" s="44" t="s">
        <v>281</v>
      </c>
      <c r="C329" s="4">
        <v>133.87</v>
      </c>
      <c r="D329" s="4">
        <v>134.9</v>
      </c>
      <c r="E329" s="3">
        <v>132.47</v>
      </c>
      <c r="F329" s="63">
        <f t="shared" si="198"/>
        <v>133.74666666666667</v>
      </c>
      <c r="G329" s="108">
        <f t="shared" si="199"/>
        <v>12304.693333333333</v>
      </c>
      <c r="H329" s="3">
        <v>122.52</v>
      </c>
      <c r="I329" s="3">
        <v>99.7</v>
      </c>
      <c r="J329" s="3">
        <v>99.74</v>
      </c>
      <c r="K329" s="63">
        <f t="shared" si="200"/>
        <v>107.32</v>
      </c>
      <c r="L329" s="108">
        <f t="shared" si="201"/>
        <v>9873.4399999999987</v>
      </c>
      <c r="M329" s="3">
        <v>105.26</v>
      </c>
      <c r="N329" s="87">
        <v>108.18</v>
      </c>
      <c r="O329" s="87">
        <v>115.29</v>
      </c>
      <c r="P329" s="63">
        <f t="shared" si="202"/>
        <v>109.57666666666667</v>
      </c>
      <c r="Q329" s="108">
        <f t="shared" si="203"/>
        <v>9861.9</v>
      </c>
      <c r="R329" s="3">
        <v>112.07</v>
      </c>
      <c r="S329" s="87">
        <v>121.84</v>
      </c>
      <c r="T329" s="90">
        <v>119.1</v>
      </c>
      <c r="U329" s="63">
        <f t="shared" si="204"/>
        <v>117.67</v>
      </c>
      <c r="V329" s="111">
        <f t="shared" si="205"/>
        <v>10707.97</v>
      </c>
      <c r="W329" s="64">
        <f t="shared" si="206"/>
        <v>117.07833333333332</v>
      </c>
      <c r="X329" s="66">
        <f t="shared" si="207"/>
        <v>42733.59166666666</v>
      </c>
    </row>
    <row r="330" spans="1:24" ht="16.5" thickBot="1" x14ac:dyDescent="0.3">
      <c r="A330" s="50" t="s">
        <v>144</v>
      </c>
      <c r="B330" s="34"/>
      <c r="C330" s="4">
        <v>0</v>
      </c>
      <c r="D330" s="4">
        <v>0</v>
      </c>
      <c r="E330" s="4">
        <v>0</v>
      </c>
      <c r="F330" s="67">
        <f t="shared" si="198"/>
        <v>0</v>
      </c>
      <c r="G330" s="108">
        <f t="shared" si="199"/>
        <v>0</v>
      </c>
      <c r="H330" s="18"/>
      <c r="I330" s="4">
        <v>0</v>
      </c>
      <c r="J330" s="18"/>
      <c r="K330" s="67">
        <f t="shared" si="200"/>
        <v>0</v>
      </c>
      <c r="L330" s="108">
        <f t="shared" si="201"/>
        <v>0</v>
      </c>
      <c r="M330" s="18"/>
      <c r="N330" s="4">
        <v>0</v>
      </c>
      <c r="O330" s="4">
        <v>0</v>
      </c>
      <c r="P330" s="67">
        <f t="shared" si="202"/>
        <v>0</v>
      </c>
      <c r="Q330" s="108">
        <f>P330*91</f>
        <v>0</v>
      </c>
      <c r="R330" s="3"/>
      <c r="S330" s="4"/>
      <c r="T330" s="4"/>
      <c r="U330" s="67">
        <f t="shared" si="204"/>
        <v>0</v>
      </c>
      <c r="V330" s="112">
        <f t="shared" si="205"/>
        <v>0</v>
      </c>
      <c r="W330" s="137">
        <f t="shared" si="206"/>
        <v>0</v>
      </c>
      <c r="X330" s="66">
        <f>W330*365</f>
        <v>0</v>
      </c>
    </row>
    <row r="331" spans="1:24" ht="16.5" thickBot="1" x14ac:dyDescent="0.3">
      <c r="A331" s="46" t="s">
        <v>152</v>
      </c>
      <c r="B331" s="35"/>
      <c r="C331" s="80">
        <f>SUM(C317:C330)</f>
        <v>3357.2299999999996</v>
      </c>
      <c r="D331" s="80">
        <f>SUM(D317:D330)</f>
        <v>3386.4030000000002</v>
      </c>
      <c r="E331" s="80">
        <f>SUM(E317:E330)</f>
        <v>3429.27</v>
      </c>
      <c r="F331" s="68">
        <f t="shared" si="198"/>
        <v>3390.9676666666669</v>
      </c>
      <c r="G331" s="108">
        <f t="shared" si="199"/>
        <v>311969.02533333335</v>
      </c>
      <c r="H331" s="94">
        <f>SUM(H317:H330)</f>
        <v>3469.279</v>
      </c>
      <c r="I331" s="80">
        <f>SUM(I317:I330)</f>
        <v>3378.424</v>
      </c>
      <c r="J331" s="80">
        <f>SUM(J317:J330)</f>
        <v>3383.26</v>
      </c>
      <c r="K331" s="68">
        <f t="shared" si="200"/>
        <v>3410.3209999999999</v>
      </c>
      <c r="L331" s="119">
        <f t="shared" si="201"/>
        <v>313749.53200000001</v>
      </c>
      <c r="M331" s="9">
        <f>SUM(M317:M330)</f>
        <v>3478.7099999999996</v>
      </c>
      <c r="N331" s="80">
        <f>SUM(N317:N330)</f>
        <v>3446.2629999999999</v>
      </c>
      <c r="O331" s="80">
        <f>SUM(O317:O330)</f>
        <v>3498.3900000000003</v>
      </c>
      <c r="P331" s="68">
        <f t="shared" si="202"/>
        <v>3474.4543333333336</v>
      </c>
      <c r="Q331" s="119">
        <f>P331*91</f>
        <v>316175.34433333337</v>
      </c>
      <c r="R331" s="94">
        <f>SUM(R317:R330)</f>
        <v>3506.53</v>
      </c>
      <c r="S331" s="80">
        <f>SUM(S317:S330)</f>
        <v>3494.739</v>
      </c>
      <c r="T331" s="81">
        <f>SUM(T317:T330)</f>
        <v>3526.8740000000003</v>
      </c>
      <c r="U331" s="68">
        <f t="shared" si="204"/>
        <v>3509.3809999999999</v>
      </c>
      <c r="V331" s="120">
        <f t="shared" si="205"/>
        <v>319353.67099999997</v>
      </c>
      <c r="W331" s="138">
        <f t="shared" si="206"/>
        <v>3446.2810000000004</v>
      </c>
      <c r="X331" s="69">
        <f>SUM(X317:X330)</f>
        <v>1257892.5649999997</v>
      </c>
    </row>
    <row r="332" spans="1:24" ht="16.5" thickBot="1" x14ac:dyDescent="0.3">
      <c r="A332" s="46" t="s">
        <v>153</v>
      </c>
      <c r="B332" s="35"/>
      <c r="C332" s="70"/>
      <c r="D332" s="70"/>
      <c r="E332" s="71"/>
      <c r="F332" s="98"/>
      <c r="G332" s="98"/>
      <c r="H332" s="72"/>
      <c r="I332" s="70" t="s">
        <v>258</v>
      </c>
      <c r="J332" s="71"/>
      <c r="K332" s="97"/>
      <c r="L332" s="97"/>
      <c r="M332" s="72"/>
      <c r="N332" s="70"/>
      <c r="O332" s="71"/>
      <c r="P332" s="97"/>
      <c r="Q332" s="97"/>
      <c r="R332" s="72"/>
      <c r="S332" s="70"/>
      <c r="T332" s="71"/>
      <c r="U332" s="71"/>
      <c r="V332" s="70"/>
      <c r="W332" s="96"/>
      <c r="X332" s="69" t="s">
        <v>0</v>
      </c>
    </row>
    <row r="333" spans="1:24" ht="25.5" customHeight="1" thickBot="1" x14ac:dyDescent="0.3">
      <c r="A333" s="49" t="s">
        <v>145</v>
      </c>
      <c r="B333" s="33"/>
      <c r="C333" s="6">
        <v>615</v>
      </c>
      <c r="D333" s="6">
        <v>614</v>
      </c>
      <c r="E333" s="6">
        <v>622</v>
      </c>
      <c r="F333" s="63">
        <f t="shared" ref="F333:F339" si="208">SUM(C333:E333)/3</f>
        <v>617</v>
      </c>
      <c r="G333" s="108">
        <f t="shared" ref="G333:G339" si="209">F333*92</f>
        <v>56764</v>
      </c>
      <c r="H333" s="6">
        <v>671</v>
      </c>
      <c r="I333" s="6">
        <v>640</v>
      </c>
      <c r="J333" s="6">
        <v>580</v>
      </c>
      <c r="K333" s="63">
        <f t="shared" ref="K333:K340" si="210">SUM(H333:J333)/3</f>
        <v>630.33333333333337</v>
      </c>
      <c r="L333" s="108">
        <f t="shared" ref="L333:L339" si="211">K333*92</f>
        <v>57990.666666666672</v>
      </c>
      <c r="M333" s="6">
        <v>607</v>
      </c>
      <c r="N333" s="73">
        <v>617</v>
      </c>
      <c r="O333" s="73">
        <v>610</v>
      </c>
      <c r="P333" s="63">
        <f t="shared" ref="P333:P340" si="212">SUM(M333:O333)/3</f>
        <v>611.33333333333337</v>
      </c>
      <c r="Q333" s="108">
        <f t="shared" ref="Q333:Q339" si="213">P333*90</f>
        <v>55020</v>
      </c>
      <c r="R333" s="6">
        <v>639</v>
      </c>
      <c r="S333" s="73">
        <v>636</v>
      </c>
      <c r="T333" s="74">
        <v>543</v>
      </c>
      <c r="U333" s="63">
        <f t="shared" ref="U333:U340" si="214">SUM(R333:T333)/3</f>
        <v>606</v>
      </c>
      <c r="V333" s="111">
        <f t="shared" ref="V333:V339" si="215">U333*91</f>
        <v>55146</v>
      </c>
      <c r="W333" s="64">
        <f t="shared" ref="W333:W338" si="216">SUM(C333+D333+E333+H333+I333+J333+M333+N333+O333+R333+S333+T333)/12</f>
        <v>616.16666666666663</v>
      </c>
      <c r="X333" s="65">
        <f t="shared" si="207"/>
        <v>224900.83333333331</v>
      </c>
    </row>
    <row r="334" spans="1:24" ht="16.5" thickBot="1" x14ac:dyDescent="0.3">
      <c r="A334" s="50" t="s">
        <v>146</v>
      </c>
      <c r="B334" s="34"/>
      <c r="C334" s="5">
        <v>9</v>
      </c>
      <c r="D334" s="5">
        <v>6</v>
      </c>
      <c r="E334" s="5">
        <v>8</v>
      </c>
      <c r="F334" s="63">
        <f t="shared" si="208"/>
        <v>7.666666666666667</v>
      </c>
      <c r="G334" s="108">
        <f t="shared" si="209"/>
        <v>705.33333333333337</v>
      </c>
      <c r="H334" s="5">
        <v>7</v>
      </c>
      <c r="I334" s="5">
        <v>6</v>
      </c>
      <c r="J334" s="5">
        <v>6</v>
      </c>
      <c r="K334" s="63">
        <f t="shared" si="210"/>
        <v>6.333333333333333</v>
      </c>
      <c r="L334" s="108">
        <f t="shared" si="211"/>
        <v>582.66666666666663</v>
      </c>
      <c r="M334" s="5">
        <v>4</v>
      </c>
      <c r="N334" s="75">
        <v>3</v>
      </c>
      <c r="O334" s="75">
        <v>5</v>
      </c>
      <c r="P334" s="63">
        <f t="shared" si="212"/>
        <v>4</v>
      </c>
      <c r="Q334" s="108">
        <f t="shared" si="213"/>
        <v>360</v>
      </c>
      <c r="R334" s="5">
        <v>3</v>
      </c>
      <c r="S334" s="75">
        <v>3</v>
      </c>
      <c r="T334" s="76">
        <v>2</v>
      </c>
      <c r="U334" s="63">
        <f t="shared" si="214"/>
        <v>2.6666666666666665</v>
      </c>
      <c r="V334" s="111">
        <f t="shared" si="215"/>
        <v>242.66666666666666</v>
      </c>
      <c r="W334" s="64">
        <f t="shared" si="216"/>
        <v>5.166666666666667</v>
      </c>
      <c r="X334" s="66">
        <f>W334*122</f>
        <v>630.33333333333337</v>
      </c>
    </row>
    <row r="335" spans="1:24" ht="16.5" thickBot="1" x14ac:dyDescent="0.3">
      <c r="A335" s="50" t="s">
        <v>148</v>
      </c>
      <c r="B335" s="34"/>
      <c r="C335" s="5">
        <v>27</v>
      </c>
      <c r="D335" s="5">
        <v>28</v>
      </c>
      <c r="E335" s="5">
        <v>30</v>
      </c>
      <c r="F335" s="63">
        <f t="shared" si="208"/>
        <v>28.333333333333332</v>
      </c>
      <c r="G335" s="108">
        <f t="shared" si="209"/>
        <v>2606.6666666666665</v>
      </c>
      <c r="H335" s="5">
        <v>26</v>
      </c>
      <c r="I335" s="5">
        <v>25</v>
      </c>
      <c r="J335" s="5">
        <v>29</v>
      </c>
      <c r="K335" s="63">
        <f t="shared" si="210"/>
        <v>26.666666666666668</v>
      </c>
      <c r="L335" s="108">
        <f t="shared" si="211"/>
        <v>2453.3333333333335</v>
      </c>
      <c r="M335" s="5">
        <v>30</v>
      </c>
      <c r="N335" s="75">
        <v>30</v>
      </c>
      <c r="O335" s="75">
        <v>32</v>
      </c>
      <c r="P335" s="63">
        <f t="shared" si="212"/>
        <v>30.666666666666668</v>
      </c>
      <c r="Q335" s="108">
        <f t="shared" si="213"/>
        <v>2760</v>
      </c>
      <c r="R335" s="5">
        <v>26</v>
      </c>
      <c r="S335" s="75">
        <v>27</v>
      </c>
      <c r="T335" s="76">
        <v>25</v>
      </c>
      <c r="U335" s="63">
        <f t="shared" si="214"/>
        <v>26</v>
      </c>
      <c r="V335" s="111">
        <f t="shared" si="215"/>
        <v>2366</v>
      </c>
      <c r="W335" s="64">
        <f t="shared" si="216"/>
        <v>27.916666666666668</v>
      </c>
      <c r="X335" s="66">
        <f t="shared" si="207"/>
        <v>10189.583333333334</v>
      </c>
    </row>
    <row r="336" spans="1:24" ht="16.5" thickBot="1" x14ac:dyDescent="0.3">
      <c r="A336" s="50" t="s">
        <v>147</v>
      </c>
      <c r="B336" s="34"/>
      <c r="C336" s="5">
        <v>113</v>
      </c>
      <c r="D336" s="5">
        <v>107</v>
      </c>
      <c r="E336" s="5">
        <v>107</v>
      </c>
      <c r="F336" s="63">
        <f t="shared" si="208"/>
        <v>109</v>
      </c>
      <c r="G336" s="108">
        <f t="shared" si="209"/>
        <v>10028</v>
      </c>
      <c r="H336" s="5">
        <v>107</v>
      </c>
      <c r="I336" s="5">
        <v>122</v>
      </c>
      <c r="J336" s="5">
        <v>118</v>
      </c>
      <c r="K336" s="63">
        <f t="shared" si="210"/>
        <v>115.66666666666667</v>
      </c>
      <c r="L336" s="108">
        <f t="shared" si="211"/>
        <v>10641.333333333334</v>
      </c>
      <c r="M336" s="5">
        <v>99</v>
      </c>
      <c r="N336" s="75">
        <v>113</v>
      </c>
      <c r="O336" s="75">
        <v>103</v>
      </c>
      <c r="P336" s="63">
        <f t="shared" si="212"/>
        <v>105</v>
      </c>
      <c r="Q336" s="108">
        <f t="shared" si="213"/>
        <v>9450</v>
      </c>
      <c r="R336" s="5">
        <v>102</v>
      </c>
      <c r="S336" s="75">
        <v>111</v>
      </c>
      <c r="T336" s="76">
        <v>151</v>
      </c>
      <c r="U336" s="63">
        <f t="shared" si="214"/>
        <v>121.33333333333333</v>
      </c>
      <c r="V336" s="111">
        <f t="shared" si="215"/>
        <v>11041.333333333332</v>
      </c>
      <c r="W336" s="64">
        <f t="shared" si="216"/>
        <v>112.75</v>
      </c>
      <c r="X336" s="66">
        <f>W336*61</f>
        <v>6877.75</v>
      </c>
    </row>
    <row r="337" spans="1:24" ht="16.5" thickBot="1" x14ac:dyDescent="0.3">
      <c r="A337" s="50" t="s">
        <v>149</v>
      </c>
      <c r="B337" s="34"/>
      <c r="C337" s="5">
        <v>754</v>
      </c>
      <c r="D337" s="5">
        <v>753</v>
      </c>
      <c r="E337" s="5">
        <v>764</v>
      </c>
      <c r="F337" s="63">
        <f t="shared" si="208"/>
        <v>757</v>
      </c>
      <c r="G337" s="108">
        <f t="shared" si="209"/>
        <v>69644</v>
      </c>
      <c r="H337" s="5">
        <v>768</v>
      </c>
      <c r="I337" s="5">
        <v>769</v>
      </c>
      <c r="J337" s="5">
        <v>766</v>
      </c>
      <c r="K337" s="63">
        <f t="shared" si="210"/>
        <v>767.66666666666663</v>
      </c>
      <c r="L337" s="108">
        <f t="shared" si="211"/>
        <v>70625.333333333328</v>
      </c>
      <c r="M337" s="5">
        <v>766</v>
      </c>
      <c r="N337" s="75">
        <v>775</v>
      </c>
      <c r="O337" s="75">
        <v>759</v>
      </c>
      <c r="P337" s="63">
        <f t="shared" si="212"/>
        <v>766.66666666666663</v>
      </c>
      <c r="Q337" s="108">
        <f t="shared" si="213"/>
        <v>69000</v>
      </c>
      <c r="R337" s="5">
        <v>780</v>
      </c>
      <c r="S337" s="75">
        <v>828</v>
      </c>
      <c r="T337" s="76">
        <v>778</v>
      </c>
      <c r="U337" s="63">
        <f t="shared" si="214"/>
        <v>795.33333333333337</v>
      </c>
      <c r="V337" s="111">
        <f t="shared" si="215"/>
        <v>72375.333333333343</v>
      </c>
      <c r="W337" s="64">
        <f t="shared" si="216"/>
        <v>771.66666666666663</v>
      </c>
      <c r="X337" s="66">
        <f t="shared" si="207"/>
        <v>281658.33333333331</v>
      </c>
    </row>
    <row r="338" spans="1:24" ht="16.5" thickBot="1" x14ac:dyDescent="0.3">
      <c r="A338" s="50" t="s">
        <v>150</v>
      </c>
      <c r="B338" s="34"/>
      <c r="C338" s="5">
        <v>17</v>
      </c>
      <c r="D338" s="5">
        <v>17</v>
      </c>
      <c r="E338" s="5">
        <v>17</v>
      </c>
      <c r="F338" s="63">
        <f t="shared" si="208"/>
        <v>17</v>
      </c>
      <c r="G338" s="108">
        <f t="shared" si="209"/>
        <v>1564</v>
      </c>
      <c r="H338" s="5">
        <v>17</v>
      </c>
      <c r="I338" s="5">
        <v>17</v>
      </c>
      <c r="J338" s="5">
        <v>17</v>
      </c>
      <c r="K338" s="63">
        <f t="shared" si="210"/>
        <v>17</v>
      </c>
      <c r="L338" s="108">
        <f t="shared" si="211"/>
        <v>1564</v>
      </c>
      <c r="M338" s="5">
        <v>17</v>
      </c>
      <c r="N338" s="75">
        <v>17</v>
      </c>
      <c r="O338" s="75">
        <v>17</v>
      </c>
      <c r="P338" s="63">
        <f t="shared" si="212"/>
        <v>17</v>
      </c>
      <c r="Q338" s="108">
        <f t="shared" si="213"/>
        <v>1530</v>
      </c>
      <c r="R338" s="5">
        <v>16</v>
      </c>
      <c r="S338" s="75">
        <v>17</v>
      </c>
      <c r="T338" s="76">
        <v>48</v>
      </c>
      <c r="U338" s="63">
        <f t="shared" si="214"/>
        <v>27</v>
      </c>
      <c r="V338" s="112">
        <f t="shared" si="215"/>
        <v>2457</v>
      </c>
      <c r="W338" s="64">
        <f t="shared" si="216"/>
        <v>19.5</v>
      </c>
      <c r="X338" s="66">
        <f t="shared" si="207"/>
        <v>7117.5</v>
      </c>
    </row>
    <row r="339" spans="1:24" ht="16.5" thickBot="1" x14ac:dyDescent="0.3">
      <c r="A339" s="53" t="s">
        <v>154</v>
      </c>
      <c r="B339" s="37"/>
      <c r="C339" s="80">
        <f>SUM(C333:C338)</f>
        <v>1535</v>
      </c>
      <c r="D339" s="80">
        <f>SUM(D333:D338)</f>
        <v>1525</v>
      </c>
      <c r="E339" s="80">
        <f>SUM(E333:E338)</f>
        <v>1548</v>
      </c>
      <c r="F339" s="68">
        <f t="shared" si="208"/>
        <v>1536</v>
      </c>
      <c r="G339" s="108">
        <f t="shared" si="209"/>
        <v>141312</v>
      </c>
      <c r="H339" s="94">
        <f>SUM(H333:H338)</f>
        <v>1596</v>
      </c>
      <c r="I339" s="80">
        <f>SUM(I333:I338)</f>
        <v>1579</v>
      </c>
      <c r="J339" s="80">
        <f>SUM(J333:J338)</f>
        <v>1516</v>
      </c>
      <c r="K339" s="68">
        <f t="shared" si="210"/>
        <v>1563.6666666666667</v>
      </c>
      <c r="L339" s="119">
        <f t="shared" si="211"/>
        <v>143857.33333333334</v>
      </c>
      <c r="M339" s="94">
        <f>SUM(M333:M338)</f>
        <v>1523</v>
      </c>
      <c r="N339" s="80">
        <f>SUM(N333:N338)</f>
        <v>1555</v>
      </c>
      <c r="O339" s="80">
        <f>SUM(O333:O338)</f>
        <v>1526</v>
      </c>
      <c r="P339" s="68">
        <f t="shared" si="212"/>
        <v>1534.6666666666667</v>
      </c>
      <c r="Q339" s="119">
        <f t="shared" si="213"/>
        <v>138120</v>
      </c>
      <c r="R339" s="94">
        <f>SUM(R333:R338)</f>
        <v>1566</v>
      </c>
      <c r="S339" s="80">
        <f>SUM(S333:S338)</f>
        <v>1622</v>
      </c>
      <c r="T339" s="81">
        <f>SUM(T333:T338)</f>
        <v>1547</v>
      </c>
      <c r="U339" s="68">
        <f t="shared" si="214"/>
        <v>1578.3333333333333</v>
      </c>
      <c r="V339" s="120">
        <f t="shared" si="215"/>
        <v>143628.33333333331</v>
      </c>
      <c r="W339" s="69">
        <f>SUM(W333:W338)</f>
        <v>1553.1666666666665</v>
      </c>
      <c r="X339" s="69">
        <f>SUM(X333:X338)</f>
        <v>531374.33333333326</v>
      </c>
    </row>
    <row r="340" spans="1:24" ht="16.5" thickBot="1" x14ac:dyDescent="0.3">
      <c r="A340" s="54" t="s">
        <v>158</v>
      </c>
      <c r="B340" s="38"/>
      <c r="C340" s="80">
        <f>C331+C339</f>
        <v>4892.2299999999996</v>
      </c>
      <c r="D340" s="80">
        <f>D331+D339</f>
        <v>4911.4030000000002</v>
      </c>
      <c r="E340" s="80">
        <f>E331+E339</f>
        <v>4977.2700000000004</v>
      </c>
      <c r="F340" s="80">
        <f>F331+F339</f>
        <v>4926.9676666666674</v>
      </c>
      <c r="G340" s="68">
        <f>SUM(G331+G339)</f>
        <v>453281.02533333335</v>
      </c>
      <c r="H340" s="80">
        <f>H331+H339</f>
        <v>5065.2790000000005</v>
      </c>
      <c r="I340" s="80">
        <f>I331+I339</f>
        <v>4957.424</v>
      </c>
      <c r="J340" s="80">
        <f>J331+J339</f>
        <v>4899.26</v>
      </c>
      <c r="K340" s="120">
        <f t="shared" si="210"/>
        <v>4973.9876666666669</v>
      </c>
      <c r="L340" s="68">
        <f>SUM(L331+L339)</f>
        <v>457606.86533333338</v>
      </c>
      <c r="M340" s="94">
        <f>M331+M339</f>
        <v>5001.7099999999991</v>
      </c>
      <c r="N340" s="80">
        <f>N331+N339</f>
        <v>5001.2629999999999</v>
      </c>
      <c r="O340" s="80">
        <f>O331+O339</f>
        <v>5024.3900000000003</v>
      </c>
      <c r="P340" s="99">
        <f t="shared" si="212"/>
        <v>5009.1209999999992</v>
      </c>
      <c r="Q340" s="68">
        <f>SUM(Q331+Q339)</f>
        <v>454295.34433333337</v>
      </c>
      <c r="R340" s="94">
        <f>R331+R339</f>
        <v>5072.5300000000007</v>
      </c>
      <c r="S340" s="80">
        <f>S331+S339</f>
        <v>5116.7389999999996</v>
      </c>
      <c r="T340" s="81">
        <f>T331+T339</f>
        <v>5073.8739999999998</v>
      </c>
      <c r="U340" s="99">
        <f t="shared" si="214"/>
        <v>5087.7143333333333</v>
      </c>
      <c r="V340" s="68">
        <f>SUM(V331+V339)</f>
        <v>462982.00433333329</v>
      </c>
      <c r="W340" s="80">
        <f>W331+W339</f>
        <v>4999.4476666666669</v>
      </c>
      <c r="X340" s="82">
        <f>X331+X339</f>
        <v>1789266.898333333</v>
      </c>
    </row>
    <row r="341" spans="1:24" ht="15.75" x14ac:dyDescent="0.25">
      <c r="A341" s="114"/>
      <c r="B341" s="19"/>
      <c r="C341" s="115"/>
      <c r="D341" s="115"/>
      <c r="E341" s="115"/>
      <c r="F341" s="113"/>
      <c r="G341" s="93"/>
      <c r="H341" s="115"/>
      <c r="I341" s="115"/>
      <c r="J341" s="115"/>
      <c r="K341" s="113"/>
      <c r="L341" s="93"/>
      <c r="M341" s="115"/>
      <c r="N341" s="115"/>
      <c r="O341" s="115"/>
      <c r="P341" s="113"/>
      <c r="Q341" s="93"/>
      <c r="R341" s="115"/>
      <c r="S341" s="115"/>
      <c r="T341" s="115"/>
      <c r="U341" s="113"/>
      <c r="V341" s="93"/>
      <c r="W341" s="115"/>
      <c r="X341" s="115"/>
    </row>
    <row r="343" spans="1:24" ht="16.5" thickBot="1" x14ac:dyDescent="0.25">
      <c r="A343" s="45" t="s">
        <v>157</v>
      </c>
      <c r="B343" s="10"/>
      <c r="C343" s="13"/>
      <c r="D343" s="13"/>
      <c r="E343" s="13"/>
      <c r="F343" s="13"/>
      <c r="G343" s="13"/>
      <c r="H343" s="13"/>
      <c r="I343" s="13"/>
      <c r="J343" s="13"/>
      <c r="K343" s="13"/>
      <c r="L343" s="13"/>
      <c r="M343" s="13"/>
      <c r="N343" s="13"/>
      <c r="O343" s="13"/>
      <c r="P343" s="13"/>
      <c r="Q343" s="13"/>
      <c r="R343" s="13"/>
      <c r="S343" s="13"/>
      <c r="T343" s="13"/>
      <c r="U343" s="13"/>
      <c r="V343" s="13"/>
      <c r="W343" s="13"/>
      <c r="X343" s="13"/>
    </row>
    <row r="344" spans="1:24" ht="16.5" thickBot="1" x14ac:dyDescent="0.3">
      <c r="A344" s="32" t="s">
        <v>287</v>
      </c>
      <c r="B344" s="1156" t="s">
        <v>155</v>
      </c>
      <c r="C344" s="1169"/>
      <c r="D344" s="1169"/>
      <c r="E344" s="1169"/>
      <c r="F344" s="1169"/>
      <c r="G344" s="1169"/>
      <c r="H344" s="1169"/>
      <c r="I344" s="1169"/>
      <c r="J344" s="1169"/>
      <c r="K344" s="1169"/>
      <c r="L344" s="1169"/>
      <c r="M344" s="1169"/>
      <c r="N344" s="1169"/>
      <c r="O344" s="1169"/>
      <c r="P344" s="1169"/>
      <c r="Q344" s="1169"/>
      <c r="R344" s="1169"/>
      <c r="S344" s="1169"/>
      <c r="T344" s="1169"/>
      <c r="U344" s="39"/>
      <c r="V344" s="39"/>
      <c r="W344" s="92"/>
      <c r="X344" s="13"/>
    </row>
    <row r="345" spans="1:24" ht="15.75" x14ac:dyDescent="0.25">
      <c r="A345" s="11"/>
      <c r="B345" s="40" t="s">
        <v>268</v>
      </c>
      <c r="C345" s="57"/>
      <c r="D345" s="58"/>
      <c r="E345" s="58"/>
      <c r="F345" s="1158" t="s">
        <v>265</v>
      </c>
      <c r="G345" s="1160" t="s">
        <v>285</v>
      </c>
      <c r="H345" s="58"/>
      <c r="I345" s="58"/>
      <c r="J345" s="58"/>
      <c r="K345" s="1158" t="s">
        <v>265</v>
      </c>
      <c r="L345" s="1160" t="s">
        <v>285</v>
      </c>
      <c r="M345" s="58"/>
      <c r="N345" s="58"/>
      <c r="O345" s="58"/>
      <c r="P345" s="1158" t="s">
        <v>265</v>
      </c>
      <c r="Q345" s="1160" t="s">
        <v>285</v>
      </c>
      <c r="R345" s="58"/>
      <c r="S345" s="58"/>
      <c r="T345" s="59"/>
      <c r="U345" s="1158" t="s">
        <v>265</v>
      </c>
      <c r="V345" s="1160" t="s">
        <v>285</v>
      </c>
      <c r="W345" s="1167" t="s">
        <v>156</v>
      </c>
      <c r="X345" s="1165" t="s">
        <v>157</v>
      </c>
    </row>
    <row r="346" spans="1:24" ht="21" customHeight="1" thickBot="1" x14ac:dyDescent="0.3">
      <c r="A346" s="47" t="s">
        <v>56</v>
      </c>
      <c r="B346" s="41" t="s">
        <v>269</v>
      </c>
      <c r="C346" s="60">
        <v>38169</v>
      </c>
      <c r="D346" s="61">
        <v>38200</v>
      </c>
      <c r="E346" s="61">
        <v>38231</v>
      </c>
      <c r="F346" s="1159"/>
      <c r="G346" s="1164"/>
      <c r="H346" s="61">
        <v>38261</v>
      </c>
      <c r="I346" s="61">
        <v>38292</v>
      </c>
      <c r="J346" s="61">
        <v>38322</v>
      </c>
      <c r="K346" s="1164"/>
      <c r="L346" s="1164"/>
      <c r="M346" s="61">
        <v>38353</v>
      </c>
      <c r="N346" s="61">
        <v>38388</v>
      </c>
      <c r="O346" s="61">
        <v>38416</v>
      </c>
      <c r="P346" s="1164"/>
      <c r="Q346" s="1164"/>
      <c r="R346" s="61">
        <v>38447</v>
      </c>
      <c r="S346" s="61">
        <v>38477</v>
      </c>
      <c r="T346" s="62">
        <v>38508</v>
      </c>
      <c r="U346" s="1164"/>
      <c r="V346" s="1164"/>
      <c r="W346" s="1164"/>
      <c r="X346" s="1164"/>
    </row>
    <row r="347" spans="1:24" ht="16.5" hidden="1" customHeight="1" thickBot="1" x14ac:dyDescent="0.3">
      <c r="A347" s="48" t="s">
        <v>249</v>
      </c>
      <c r="B347" s="42" t="s">
        <v>270</v>
      </c>
      <c r="C347" s="125">
        <v>403.1</v>
      </c>
      <c r="D347" s="125">
        <v>421.16</v>
      </c>
      <c r="E347" s="117">
        <v>461</v>
      </c>
      <c r="F347" s="63">
        <f t="shared" ref="F347:F355" si="217">SUM(C347:E347)/3</f>
        <v>428.42</v>
      </c>
      <c r="G347" s="108">
        <f t="shared" ref="G347:G361" si="218">F347*92</f>
        <v>39414.639999999999</v>
      </c>
      <c r="H347" s="117">
        <v>429</v>
      </c>
      <c r="I347" s="117">
        <v>410.8</v>
      </c>
      <c r="J347" s="117">
        <v>412.13</v>
      </c>
      <c r="K347" s="63">
        <f t="shared" ref="K347:K355" si="219">SUM(H347:J347)/3</f>
        <v>417.30999999999995</v>
      </c>
      <c r="L347" s="108">
        <f t="shared" ref="L347:L361" si="220">K347*92</f>
        <v>38392.519999999997</v>
      </c>
      <c r="M347" s="117">
        <v>414.77</v>
      </c>
      <c r="N347" s="85">
        <v>430.57</v>
      </c>
      <c r="O347" s="85">
        <v>437.48</v>
      </c>
      <c r="P347" s="63">
        <f t="shared" ref="P347:P355" si="221">SUM(M347:O347)/3</f>
        <v>427.60666666666663</v>
      </c>
      <c r="Q347" s="108">
        <f t="shared" ref="Q347:Q359" si="222">P347*90</f>
        <v>38484.6</v>
      </c>
      <c r="R347" s="117">
        <v>432.97</v>
      </c>
      <c r="S347" s="85">
        <v>433.84</v>
      </c>
      <c r="T347" s="135">
        <v>424.43</v>
      </c>
      <c r="U347" s="63">
        <f t="shared" ref="U347:U355" si="223">SUM(R347:T347)/3</f>
        <v>430.41333333333336</v>
      </c>
      <c r="V347" s="111">
        <f>U347*92</f>
        <v>39598.026666666672</v>
      </c>
      <c r="W347" s="64">
        <f t="shared" ref="W347:W361" si="224">SUM(C347+D347+E347+H347+I347+J347+M347+N347+O347+R347+S347+T347)/12</f>
        <v>425.93750000000006</v>
      </c>
      <c r="X347" s="65">
        <f>W347*365</f>
        <v>155467.18750000003</v>
      </c>
    </row>
    <row r="348" spans="1:24" ht="16.5" hidden="1" thickBot="1" x14ac:dyDescent="0.3">
      <c r="A348" s="49" t="s">
        <v>140</v>
      </c>
      <c r="B348" s="43" t="s">
        <v>271</v>
      </c>
      <c r="C348" s="126">
        <v>119.26</v>
      </c>
      <c r="D348" s="126">
        <v>107.35</v>
      </c>
      <c r="E348" s="118">
        <v>113</v>
      </c>
      <c r="F348" s="63">
        <f t="shared" si="217"/>
        <v>113.20333333333333</v>
      </c>
      <c r="G348" s="108">
        <f t="shared" si="218"/>
        <v>10414.706666666667</v>
      </c>
      <c r="H348" s="118">
        <v>108</v>
      </c>
      <c r="I348" s="118">
        <v>103.67</v>
      </c>
      <c r="J348" s="118">
        <v>105.61</v>
      </c>
      <c r="K348" s="63">
        <f t="shared" si="219"/>
        <v>105.76</v>
      </c>
      <c r="L348" s="108">
        <f t="shared" si="220"/>
        <v>9729.92</v>
      </c>
      <c r="M348" s="118">
        <v>107.9</v>
      </c>
      <c r="N348" s="86">
        <v>110.64</v>
      </c>
      <c r="O348" s="86">
        <v>111.32</v>
      </c>
      <c r="P348" s="63">
        <f t="shared" si="221"/>
        <v>109.95333333333333</v>
      </c>
      <c r="Q348" s="108">
        <f t="shared" si="222"/>
        <v>9895.7999999999993</v>
      </c>
      <c r="R348" s="118">
        <v>122.27</v>
      </c>
      <c r="S348" s="86">
        <v>112.23</v>
      </c>
      <c r="T348" s="89">
        <v>105.27</v>
      </c>
      <c r="U348" s="63">
        <f t="shared" si="223"/>
        <v>113.25666666666666</v>
      </c>
      <c r="V348" s="111">
        <f t="shared" ref="V348:V361" si="225">U348*91</f>
        <v>10306.356666666667</v>
      </c>
      <c r="W348" s="64">
        <f t="shared" si="224"/>
        <v>110.54333333333334</v>
      </c>
      <c r="X348" s="65">
        <f>W348*365</f>
        <v>40348.316666666666</v>
      </c>
    </row>
    <row r="349" spans="1:24" ht="16.5" hidden="1" thickBot="1" x14ac:dyDescent="0.3">
      <c r="A349" s="50" t="s">
        <v>141</v>
      </c>
      <c r="B349" s="44" t="s">
        <v>272</v>
      </c>
      <c r="C349" s="4">
        <v>399.1</v>
      </c>
      <c r="D349" s="4">
        <v>405.87</v>
      </c>
      <c r="E349" s="3">
        <v>436</v>
      </c>
      <c r="F349" s="63">
        <f t="shared" si="217"/>
        <v>413.65666666666669</v>
      </c>
      <c r="G349" s="108">
        <f t="shared" si="218"/>
        <v>38056.413333333338</v>
      </c>
      <c r="H349" s="3">
        <v>415</v>
      </c>
      <c r="I349" s="3">
        <v>406.77</v>
      </c>
      <c r="J349" s="3">
        <v>405.81</v>
      </c>
      <c r="K349" s="63">
        <f t="shared" si="219"/>
        <v>409.19333333333333</v>
      </c>
      <c r="L349" s="108">
        <f t="shared" si="220"/>
        <v>37645.786666666667</v>
      </c>
      <c r="M349" s="3">
        <v>412.16</v>
      </c>
      <c r="N349" s="87">
        <v>416.32</v>
      </c>
      <c r="O349" s="87">
        <v>418.9</v>
      </c>
      <c r="P349" s="63">
        <f t="shared" si="221"/>
        <v>415.79333333333335</v>
      </c>
      <c r="Q349" s="108">
        <f t="shared" si="222"/>
        <v>37421.4</v>
      </c>
      <c r="R349" s="3">
        <v>412.6</v>
      </c>
      <c r="S349" s="87">
        <v>410.19</v>
      </c>
      <c r="T349" s="90">
        <v>377.67</v>
      </c>
      <c r="U349" s="63">
        <f t="shared" si="223"/>
        <v>400.15333333333336</v>
      </c>
      <c r="V349" s="111">
        <f t="shared" si="225"/>
        <v>36413.953333333338</v>
      </c>
      <c r="W349" s="64">
        <f t="shared" si="224"/>
        <v>409.6991666666666</v>
      </c>
      <c r="X349" s="66">
        <f t="shared" ref="X349:X368" si="226">W349*365</f>
        <v>149540.1958333333</v>
      </c>
    </row>
    <row r="350" spans="1:24" ht="15" customHeight="1" thickBot="1" x14ac:dyDescent="0.3">
      <c r="A350" s="50" t="s">
        <v>25</v>
      </c>
      <c r="B350" s="44" t="s">
        <v>273</v>
      </c>
      <c r="C350" s="4">
        <v>214.29</v>
      </c>
      <c r="D350" s="4">
        <v>220.71</v>
      </c>
      <c r="E350" s="3">
        <v>223</v>
      </c>
      <c r="F350" s="63">
        <f t="shared" si="217"/>
        <v>219.33333333333334</v>
      </c>
      <c r="G350" s="108">
        <f t="shared" si="218"/>
        <v>20178.666666666668</v>
      </c>
      <c r="H350" s="3">
        <v>225</v>
      </c>
      <c r="I350" s="3">
        <v>219.67</v>
      </c>
      <c r="J350" s="3">
        <v>205.97</v>
      </c>
      <c r="K350" s="63">
        <f t="shared" si="219"/>
        <v>216.88</v>
      </c>
      <c r="L350" s="108">
        <f t="shared" si="220"/>
        <v>19952.96</v>
      </c>
      <c r="M350" s="3">
        <v>227.74</v>
      </c>
      <c r="N350" s="87">
        <v>224</v>
      </c>
      <c r="O350" s="87">
        <v>235.77</v>
      </c>
      <c r="P350" s="63">
        <f t="shared" si="221"/>
        <v>229.17</v>
      </c>
      <c r="Q350" s="108">
        <f t="shared" si="222"/>
        <v>20625.3</v>
      </c>
      <c r="R350" s="3">
        <v>232.5</v>
      </c>
      <c r="S350" s="87">
        <v>227.23</v>
      </c>
      <c r="T350" s="90">
        <v>234.4</v>
      </c>
      <c r="U350" s="63">
        <f t="shared" si="223"/>
        <v>231.37666666666667</v>
      </c>
      <c r="V350" s="111">
        <f t="shared" si="225"/>
        <v>21055.276666666665</v>
      </c>
      <c r="W350" s="64">
        <f t="shared" si="224"/>
        <v>224.19000000000003</v>
      </c>
      <c r="X350" s="66">
        <f t="shared" si="226"/>
        <v>81829.350000000006</v>
      </c>
    </row>
    <row r="351" spans="1:24" ht="32.25" customHeight="1" thickBot="1" x14ac:dyDescent="0.3">
      <c r="A351" s="51" t="s">
        <v>282</v>
      </c>
      <c r="B351" s="44" t="s">
        <v>274</v>
      </c>
      <c r="C351" s="4">
        <v>311.67</v>
      </c>
      <c r="D351" s="4">
        <v>315.77</v>
      </c>
      <c r="E351" s="3">
        <v>321</v>
      </c>
      <c r="F351" s="63">
        <f t="shared" si="217"/>
        <v>316.1466666666667</v>
      </c>
      <c r="G351" s="108">
        <f t="shared" si="218"/>
        <v>29085.493333333336</v>
      </c>
      <c r="H351" s="3">
        <v>310</v>
      </c>
      <c r="I351" s="3">
        <v>315.95999999999998</v>
      </c>
      <c r="J351" s="3">
        <v>289.77</v>
      </c>
      <c r="K351" s="63">
        <f t="shared" si="219"/>
        <v>305.24333333333334</v>
      </c>
      <c r="L351" s="108">
        <f t="shared" si="220"/>
        <v>28082.386666666665</v>
      </c>
      <c r="M351" s="3">
        <v>296</v>
      </c>
      <c r="N351" s="87">
        <v>313.18</v>
      </c>
      <c r="O351" s="87">
        <v>311.02999999999997</v>
      </c>
      <c r="P351" s="63">
        <f t="shared" si="221"/>
        <v>306.73666666666668</v>
      </c>
      <c r="Q351" s="108">
        <f t="shared" si="222"/>
        <v>27606.300000000003</v>
      </c>
      <c r="R351" s="3">
        <v>318.07</v>
      </c>
      <c r="S351" s="87">
        <v>312.17</v>
      </c>
      <c r="T351" s="90">
        <v>323.06700000000001</v>
      </c>
      <c r="U351" s="63">
        <f t="shared" si="223"/>
        <v>317.76900000000001</v>
      </c>
      <c r="V351" s="111">
        <f t="shared" si="225"/>
        <v>28916.978999999999</v>
      </c>
      <c r="W351" s="64">
        <f t="shared" si="224"/>
        <v>311.4739166666667</v>
      </c>
      <c r="X351" s="66">
        <f t="shared" si="226"/>
        <v>113687.97958333335</v>
      </c>
    </row>
    <row r="352" spans="1:24" ht="16.5" thickBot="1" x14ac:dyDescent="0.3">
      <c r="A352" s="50" t="s">
        <v>16</v>
      </c>
      <c r="B352" s="44" t="s">
        <v>275</v>
      </c>
      <c r="C352" s="4">
        <v>61.097000000000001</v>
      </c>
      <c r="D352" s="4">
        <v>64.677000000000007</v>
      </c>
      <c r="E352" s="3">
        <v>69</v>
      </c>
      <c r="F352" s="63">
        <f t="shared" si="217"/>
        <v>64.924666666666667</v>
      </c>
      <c r="G352" s="108">
        <f t="shared" si="218"/>
        <v>5973.0693333333329</v>
      </c>
      <c r="H352" s="3">
        <v>69</v>
      </c>
      <c r="I352" s="3">
        <v>64</v>
      </c>
      <c r="J352" s="3">
        <v>67</v>
      </c>
      <c r="K352" s="63">
        <f t="shared" si="219"/>
        <v>66.666666666666671</v>
      </c>
      <c r="L352" s="108">
        <f t="shared" si="220"/>
        <v>6133.3333333333339</v>
      </c>
      <c r="M352" s="3">
        <v>66.87</v>
      </c>
      <c r="N352" s="87">
        <v>58.28</v>
      </c>
      <c r="O352" s="87">
        <v>57.935000000000002</v>
      </c>
      <c r="P352" s="63">
        <f t="shared" si="221"/>
        <v>61.028333333333336</v>
      </c>
      <c r="Q352" s="108">
        <f t="shared" si="222"/>
        <v>5492.55</v>
      </c>
      <c r="R352" s="3">
        <v>58.2</v>
      </c>
      <c r="S352" s="87">
        <v>57.968000000000004</v>
      </c>
      <c r="T352" s="90">
        <v>65</v>
      </c>
      <c r="U352" s="63">
        <f t="shared" si="223"/>
        <v>60.389333333333333</v>
      </c>
      <c r="V352" s="111">
        <f t="shared" si="225"/>
        <v>5495.4293333333335</v>
      </c>
      <c r="W352" s="64">
        <f t="shared" si="224"/>
        <v>63.252249999999997</v>
      </c>
      <c r="X352" s="66">
        <f t="shared" si="226"/>
        <v>23087.071249999997</v>
      </c>
    </row>
    <row r="353" spans="1:24" ht="16.5" thickBot="1" x14ac:dyDescent="0.3">
      <c r="A353" s="50" t="s">
        <v>17</v>
      </c>
      <c r="B353" s="44" t="s">
        <v>276</v>
      </c>
      <c r="C353" s="4">
        <v>180.32</v>
      </c>
      <c r="D353" s="4">
        <v>175.48</v>
      </c>
      <c r="E353" s="3">
        <v>194</v>
      </c>
      <c r="F353" s="63">
        <f t="shared" si="217"/>
        <v>183.26666666666665</v>
      </c>
      <c r="G353" s="108">
        <f t="shared" si="218"/>
        <v>16860.533333333333</v>
      </c>
      <c r="H353" s="3">
        <v>203</v>
      </c>
      <c r="I353" s="3">
        <v>190.37</v>
      </c>
      <c r="J353" s="3">
        <v>178.03</v>
      </c>
      <c r="K353" s="63">
        <f t="shared" si="219"/>
        <v>190.46666666666667</v>
      </c>
      <c r="L353" s="108">
        <f t="shared" si="220"/>
        <v>17522.933333333334</v>
      </c>
      <c r="M353" s="3">
        <v>183.94</v>
      </c>
      <c r="N353" s="87">
        <v>168.86</v>
      </c>
      <c r="O353" s="87">
        <v>160</v>
      </c>
      <c r="P353" s="63">
        <f t="shared" si="221"/>
        <v>170.93333333333331</v>
      </c>
      <c r="Q353" s="108">
        <f t="shared" si="222"/>
        <v>15383.999999999998</v>
      </c>
      <c r="R353" s="3">
        <v>170.07</v>
      </c>
      <c r="S353" s="87">
        <v>164.32</v>
      </c>
      <c r="T353" s="90">
        <v>170.6</v>
      </c>
      <c r="U353" s="63">
        <f t="shared" si="223"/>
        <v>168.33</v>
      </c>
      <c r="V353" s="111">
        <f t="shared" si="225"/>
        <v>15318.03</v>
      </c>
      <c r="W353" s="64">
        <f t="shared" si="224"/>
        <v>178.24916666666664</v>
      </c>
      <c r="X353" s="66">
        <f t="shared" si="226"/>
        <v>65060.945833333324</v>
      </c>
    </row>
    <row r="354" spans="1:24" ht="16.5" thickBot="1" x14ac:dyDescent="0.3">
      <c r="A354" s="50" t="s">
        <v>142</v>
      </c>
      <c r="B354" s="44" t="s">
        <v>277</v>
      </c>
      <c r="C354" s="4">
        <v>85.129000000000005</v>
      </c>
      <c r="D354" s="4">
        <v>93</v>
      </c>
      <c r="E354" s="3">
        <v>96</v>
      </c>
      <c r="F354" s="63">
        <f t="shared" si="217"/>
        <v>91.376333333333335</v>
      </c>
      <c r="G354" s="108">
        <f t="shared" si="218"/>
        <v>8406.6226666666662</v>
      </c>
      <c r="H354" s="3">
        <v>93</v>
      </c>
      <c r="I354" s="3">
        <v>96.6</v>
      </c>
      <c r="J354" s="3">
        <v>88.48</v>
      </c>
      <c r="K354" s="63">
        <f t="shared" si="219"/>
        <v>92.693333333333328</v>
      </c>
      <c r="L354" s="108">
        <f t="shared" si="220"/>
        <v>8527.7866666666669</v>
      </c>
      <c r="M354" s="3">
        <v>94.49</v>
      </c>
      <c r="N354" s="87">
        <v>100.89</v>
      </c>
      <c r="O354" s="87">
        <v>101</v>
      </c>
      <c r="P354" s="63">
        <f t="shared" si="221"/>
        <v>98.793333333333337</v>
      </c>
      <c r="Q354" s="108">
        <f t="shared" si="222"/>
        <v>8891.4</v>
      </c>
      <c r="R354" s="3">
        <v>98.53</v>
      </c>
      <c r="S354" s="87">
        <v>97.903000000000006</v>
      </c>
      <c r="T354" s="90">
        <v>99.3</v>
      </c>
      <c r="U354" s="63">
        <f t="shared" si="223"/>
        <v>98.577666666666673</v>
      </c>
      <c r="V354" s="111">
        <f t="shared" si="225"/>
        <v>8970.5676666666677</v>
      </c>
      <c r="W354" s="64">
        <f t="shared" si="224"/>
        <v>95.360166666666657</v>
      </c>
      <c r="X354" s="66">
        <f t="shared" si="226"/>
        <v>34806.460833333331</v>
      </c>
    </row>
    <row r="355" spans="1:24" ht="16.5" thickBot="1" x14ac:dyDescent="0.3">
      <c r="A355" s="51" t="s">
        <v>283</v>
      </c>
      <c r="B355" s="44" t="s">
        <v>278</v>
      </c>
      <c r="C355" s="4">
        <v>379.58</v>
      </c>
      <c r="D355" s="4">
        <v>386.13</v>
      </c>
      <c r="E355" s="3">
        <v>401</v>
      </c>
      <c r="F355" s="63">
        <f t="shared" si="217"/>
        <v>388.90333333333336</v>
      </c>
      <c r="G355" s="108">
        <f t="shared" si="218"/>
        <v>35779.106666666667</v>
      </c>
      <c r="H355" s="3">
        <v>387</v>
      </c>
      <c r="I355" s="3">
        <v>388.8</v>
      </c>
      <c r="J355" s="3">
        <v>378.39</v>
      </c>
      <c r="K355" s="63">
        <f t="shared" si="219"/>
        <v>384.73</v>
      </c>
      <c r="L355" s="108">
        <f t="shared" si="220"/>
        <v>35395.160000000003</v>
      </c>
      <c r="M355" s="3">
        <v>383.52</v>
      </c>
      <c r="N355" s="87">
        <v>405.36</v>
      </c>
      <c r="O355" s="87">
        <v>411.19</v>
      </c>
      <c r="P355" s="63">
        <f t="shared" si="221"/>
        <v>400.02333333333331</v>
      </c>
      <c r="Q355" s="108">
        <f t="shared" si="222"/>
        <v>36002.1</v>
      </c>
      <c r="R355" s="3">
        <v>397.26</v>
      </c>
      <c r="S355" s="87">
        <v>398.19</v>
      </c>
      <c r="T355" s="90">
        <v>406.9</v>
      </c>
      <c r="U355" s="63">
        <f t="shared" si="223"/>
        <v>400.7833333333333</v>
      </c>
      <c r="V355" s="111">
        <f t="shared" si="225"/>
        <v>36471.283333333333</v>
      </c>
      <c r="W355" s="64">
        <f t="shared" si="224"/>
        <v>393.60999999999996</v>
      </c>
      <c r="X355" s="66">
        <f t="shared" si="226"/>
        <v>143667.65</v>
      </c>
    </row>
    <row r="356" spans="1:24" ht="16.5" thickBot="1" x14ac:dyDescent="0.3">
      <c r="A356" s="50" t="s">
        <v>151</v>
      </c>
      <c r="B356" s="121" t="s">
        <v>286</v>
      </c>
      <c r="C356" s="4">
        <v>89.322999999999993</v>
      </c>
      <c r="D356" s="4">
        <v>89.031999999999996</v>
      </c>
      <c r="E356" s="3">
        <v>94</v>
      </c>
      <c r="F356" s="63">
        <f t="shared" ref="F356:F361" si="227">SUM(C356:E356)/3</f>
        <v>90.785000000000011</v>
      </c>
      <c r="G356" s="108">
        <f t="shared" si="218"/>
        <v>8352.2200000000012</v>
      </c>
      <c r="H356" s="3">
        <v>97</v>
      </c>
      <c r="I356" s="3">
        <v>108.13</v>
      </c>
      <c r="J356" s="3">
        <v>98.77</v>
      </c>
      <c r="K356" s="63">
        <f t="shared" ref="K356:K361" si="228">SUM(H356:J356)/3</f>
        <v>101.3</v>
      </c>
      <c r="L356" s="108">
        <f t="shared" si="220"/>
        <v>9319.6</v>
      </c>
      <c r="M356" s="3">
        <v>94.42</v>
      </c>
      <c r="N356" s="87">
        <v>95.17</v>
      </c>
      <c r="O356" s="87">
        <v>94.51</v>
      </c>
      <c r="P356" s="63">
        <f t="shared" ref="P356:P361" si="229">SUM(M356:O356)/3</f>
        <v>94.7</v>
      </c>
      <c r="Q356" s="108">
        <f t="shared" si="222"/>
        <v>8523</v>
      </c>
      <c r="R356" s="3">
        <v>107.2</v>
      </c>
      <c r="S356" s="87">
        <v>110.32</v>
      </c>
      <c r="T356" s="90">
        <v>102.3</v>
      </c>
      <c r="U356" s="63">
        <f t="shared" ref="U356:U361" si="230">SUM(R356:T356)/3</f>
        <v>106.60666666666667</v>
      </c>
      <c r="V356" s="111">
        <f t="shared" si="225"/>
        <v>9701.2066666666669</v>
      </c>
      <c r="W356" s="64">
        <f t="shared" si="224"/>
        <v>98.347916666666663</v>
      </c>
      <c r="X356" s="66">
        <f>W356*365</f>
        <v>35896.989583333328</v>
      </c>
    </row>
    <row r="357" spans="1:24" ht="16.5" thickBot="1" x14ac:dyDescent="0.3">
      <c r="A357" s="49" t="s">
        <v>20</v>
      </c>
      <c r="B357" s="43" t="s">
        <v>279</v>
      </c>
      <c r="C357" s="126">
        <v>485</v>
      </c>
      <c r="D357" s="126">
        <v>465.65</v>
      </c>
      <c r="E357" s="118">
        <v>441</v>
      </c>
      <c r="F357" s="63">
        <f t="shared" si="227"/>
        <v>463.88333333333338</v>
      </c>
      <c r="G357" s="108">
        <f t="shared" si="218"/>
        <v>42677.26666666667</v>
      </c>
      <c r="H357" s="118">
        <v>466</v>
      </c>
      <c r="I357" s="3">
        <v>483.03</v>
      </c>
      <c r="J357" s="118">
        <v>481</v>
      </c>
      <c r="K357" s="63">
        <f t="shared" si="228"/>
        <v>476.67666666666668</v>
      </c>
      <c r="L357" s="111">
        <f t="shared" si="220"/>
        <v>43854.253333333334</v>
      </c>
      <c r="M357" s="3">
        <v>485.84</v>
      </c>
      <c r="N357" s="86">
        <v>489.79</v>
      </c>
      <c r="O357" s="86">
        <v>476.68</v>
      </c>
      <c r="P357" s="63">
        <f t="shared" si="229"/>
        <v>484.1033333333333</v>
      </c>
      <c r="Q357" s="108">
        <f t="shared" si="222"/>
        <v>43569.299999999996</v>
      </c>
      <c r="R357" s="3">
        <v>480.03</v>
      </c>
      <c r="S357" s="86">
        <v>477.45</v>
      </c>
      <c r="T357" s="89">
        <v>480.4</v>
      </c>
      <c r="U357" s="63">
        <f t="shared" si="230"/>
        <v>479.29333333333335</v>
      </c>
      <c r="V357" s="111">
        <f t="shared" si="225"/>
        <v>43615.693333333336</v>
      </c>
      <c r="W357" s="64">
        <f t="shared" si="224"/>
        <v>475.98916666666668</v>
      </c>
      <c r="X357" s="65">
        <f t="shared" si="226"/>
        <v>173736.04583333334</v>
      </c>
    </row>
    <row r="358" spans="1:24" ht="16.5" thickBot="1" x14ac:dyDescent="0.3">
      <c r="A358" s="51" t="s">
        <v>284</v>
      </c>
      <c r="B358" s="44" t="s">
        <v>280</v>
      </c>
      <c r="C358" s="4">
        <v>325.89999999999998</v>
      </c>
      <c r="D358" s="4">
        <v>339.58</v>
      </c>
      <c r="E358" s="3">
        <v>352</v>
      </c>
      <c r="F358" s="63">
        <f t="shared" si="227"/>
        <v>339.16</v>
      </c>
      <c r="G358" s="108">
        <f t="shared" si="218"/>
        <v>31202.720000000001</v>
      </c>
      <c r="H358" s="3">
        <v>368</v>
      </c>
      <c r="I358" s="3">
        <v>367.04</v>
      </c>
      <c r="J358" s="3">
        <v>346.33</v>
      </c>
      <c r="K358" s="63">
        <f t="shared" si="228"/>
        <v>360.45666666666665</v>
      </c>
      <c r="L358" s="108">
        <f t="shared" si="220"/>
        <v>33162.013333333329</v>
      </c>
      <c r="M358" s="3">
        <v>348.81</v>
      </c>
      <c r="N358" s="87">
        <v>360.07</v>
      </c>
      <c r="O358" s="87">
        <v>364.74</v>
      </c>
      <c r="P358" s="63">
        <f t="shared" si="229"/>
        <v>357.87333333333328</v>
      </c>
      <c r="Q358" s="108">
        <f t="shared" si="222"/>
        <v>32208.599999999995</v>
      </c>
      <c r="R358" s="3">
        <v>353.1</v>
      </c>
      <c r="S358" s="87">
        <v>367.36</v>
      </c>
      <c r="T358" s="90">
        <v>356.83</v>
      </c>
      <c r="U358" s="63">
        <f t="shared" si="230"/>
        <v>359.09666666666664</v>
      </c>
      <c r="V358" s="111">
        <f t="shared" si="225"/>
        <v>32677.796666666665</v>
      </c>
      <c r="W358" s="64">
        <f t="shared" si="224"/>
        <v>354.1466666666667</v>
      </c>
      <c r="X358" s="66">
        <f t="shared" si="226"/>
        <v>129263.53333333334</v>
      </c>
    </row>
    <row r="359" spans="1:24" ht="16.5" thickBot="1" x14ac:dyDescent="0.3">
      <c r="A359" s="50" t="s">
        <v>143</v>
      </c>
      <c r="B359" s="44" t="s">
        <v>281</v>
      </c>
      <c r="C359" s="4">
        <v>115.581</v>
      </c>
      <c r="D359" s="4">
        <v>120.74</v>
      </c>
      <c r="E359" s="3">
        <v>109</v>
      </c>
      <c r="F359" s="63">
        <f t="shared" si="227"/>
        <v>115.10700000000001</v>
      </c>
      <c r="G359" s="108">
        <f t="shared" si="218"/>
        <v>10589.844000000001</v>
      </c>
      <c r="H359" s="3">
        <v>107</v>
      </c>
      <c r="I359" s="3">
        <v>113.4</v>
      </c>
      <c r="J359" s="3">
        <v>119.16</v>
      </c>
      <c r="K359" s="63">
        <f t="shared" si="228"/>
        <v>113.18666666666667</v>
      </c>
      <c r="L359" s="108">
        <f t="shared" si="220"/>
        <v>10413.173333333334</v>
      </c>
      <c r="M359" s="3">
        <v>113.42</v>
      </c>
      <c r="N359" s="87">
        <v>104.43</v>
      </c>
      <c r="O359" s="87">
        <v>116.55</v>
      </c>
      <c r="P359" s="63">
        <f t="shared" si="229"/>
        <v>111.46666666666668</v>
      </c>
      <c r="Q359" s="108">
        <f t="shared" si="222"/>
        <v>10032.000000000002</v>
      </c>
      <c r="R359" s="3">
        <v>110.2</v>
      </c>
      <c r="S359" s="87">
        <v>107.32</v>
      </c>
      <c r="T359" s="90">
        <v>116.43</v>
      </c>
      <c r="U359" s="63">
        <f t="shared" si="230"/>
        <v>111.31666666666666</v>
      </c>
      <c r="V359" s="111">
        <f t="shared" si="225"/>
        <v>10129.816666666666</v>
      </c>
      <c r="W359" s="64">
        <f t="shared" si="224"/>
        <v>112.76925</v>
      </c>
      <c r="X359" s="66">
        <f t="shared" si="226"/>
        <v>41160.776250000003</v>
      </c>
    </row>
    <row r="360" spans="1:24" ht="16.5" thickBot="1" x14ac:dyDescent="0.3">
      <c r="A360" s="50" t="s">
        <v>144</v>
      </c>
      <c r="B360" s="34"/>
      <c r="C360" s="4">
        <v>0</v>
      </c>
      <c r="D360" s="4">
        <v>0</v>
      </c>
      <c r="E360" s="4">
        <v>0</v>
      </c>
      <c r="F360" s="67">
        <f t="shared" si="227"/>
        <v>0</v>
      </c>
      <c r="G360" s="108">
        <f t="shared" si="218"/>
        <v>0</v>
      </c>
      <c r="H360" s="4">
        <v>0</v>
      </c>
      <c r="I360" s="4">
        <v>0</v>
      </c>
      <c r="J360" s="4">
        <v>0</v>
      </c>
      <c r="K360" s="67">
        <f t="shared" si="228"/>
        <v>0</v>
      </c>
      <c r="L360" s="108">
        <f t="shared" si="220"/>
        <v>0</v>
      </c>
      <c r="M360" s="18"/>
      <c r="N360" s="4">
        <v>0</v>
      </c>
      <c r="O360" s="4">
        <v>0</v>
      </c>
      <c r="P360" s="67">
        <f t="shared" si="229"/>
        <v>0</v>
      </c>
      <c r="Q360" s="108">
        <f>P360*91</f>
        <v>0</v>
      </c>
      <c r="R360" s="4">
        <v>0</v>
      </c>
      <c r="S360" s="4">
        <v>0</v>
      </c>
      <c r="T360" s="4">
        <v>0</v>
      </c>
      <c r="U360" s="67">
        <f t="shared" si="230"/>
        <v>0</v>
      </c>
      <c r="V360" s="112">
        <f t="shared" si="225"/>
        <v>0</v>
      </c>
      <c r="W360" s="137">
        <f t="shared" si="224"/>
        <v>0</v>
      </c>
      <c r="X360" s="66">
        <f>W360*365</f>
        <v>0</v>
      </c>
    </row>
    <row r="361" spans="1:24" ht="16.5" thickBot="1" x14ac:dyDescent="0.3">
      <c r="A361" s="46" t="s">
        <v>152</v>
      </c>
      <c r="B361" s="35"/>
      <c r="C361" s="80">
        <f>SUM(C347:C360)</f>
        <v>3169.35</v>
      </c>
      <c r="D361" s="80">
        <v>3206</v>
      </c>
      <c r="E361" s="80">
        <f>SUM(E347:E360)</f>
        <v>3310</v>
      </c>
      <c r="F361" s="68">
        <f t="shared" si="227"/>
        <v>3228.4500000000003</v>
      </c>
      <c r="G361" s="108">
        <f t="shared" si="218"/>
        <v>297017.40000000002</v>
      </c>
      <c r="H361" s="94">
        <f>SUM(H347:H360)</f>
        <v>3277</v>
      </c>
      <c r="I361" s="80">
        <f>SUM(I347:I360)</f>
        <v>3268.2400000000002</v>
      </c>
      <c r="J361" s="80">
        <f>SUM(J347:J360)</f>
        <v>3176.45</v>
      </c>
      <c r="K361" s="68">
        <f t="shared" si="228"/>
        <v>3240.563333333333</v>
      </c>
      <c r="L361" s="119">
        <f t="shared" si="220"/>
        <v>298131.82666666666</v>
      </c>
      <c r="M361" s="9">
        <f>SUM(M347:M360)</f>
        <v>3229.8800000000006</v>
      </c>
      <c r="N361" s="80">
        <f>SUM(N347:N360)</f>
        <v>3277.56</v>
      </c>
      <c r="O361" s="80">
        <f>SUM(O347:O360)</f>
        <v>3297.1050000000005</v>
      </c>
      <c r="P361" s="68">
        <f t="shared" si="229"/>
        <v>3268.1816666666673</v>
      </c>
      <c r="Q361" s="119">
        <f>P361*91</f>
        <v>297404.53166666673</v>
      </c>
      <c r="R361" s="94">
        <f>SUM(R347:R360)</f>
        <v>3292.9999999999995</v>
      </c>
      <c r="S361" s="80">
        <f>SUM(S347:S360)</f>
        <v>3276.4910000000004</v>
      </c>
      <c r="T361" s="81">
        <f>SUM(T347:T360)</f>
        <v>3262.5970000000002</v>
      </c>
      <c r="U361" s="68">
        <f t="shared" si="230"/>
        <v>3277.3626666666664</v>
      </c>
      <c r="V361" s="120">
        <f t="shared" si="225"/>
        <v>298240.00266666664</v>
      </c>
      <c r="W361" s="138">
        <f t="shared" si="224"/>
        <v>3253.6394166666669</v>
      </c>
      <c r="X361" s="69">
        <f>SUM(X347:X360)</f>
        <v>1187552.5025000004</v>
      </c>
    </row>
    <row r="362" spans="1:24" ht="16.5" thickBot="1" x14ac:dyDescent="0.3">
      <c r="A362" s="46" t="s">
        <v>153</v>
      </c>
      <c r="B362" s="35"/>
      <c r="C362" s="70"/>
      <c r="D362" s="70"/>
      <c r="E362" s="71"/>
      <c r="F362" s="98"/>
      <c r="G362" s="98"/>
      <c r="H362" s="72"/>
      <c r="I362" s="70" t="s">
        <v>258</v>
      </c>
      <c r="J362" s="71"/>
      <c r="K362" s="97"/>
      <c r="L362" s="97"/>
      <c r="M362" s="72"/>
      <c r="N362" s="70"/>
      <c r="O362" s="71"/>
      <c r="P362" s="97"/>
      <c r="Q362" s="97"/>
      <c r="R362" s="72"/>
      <c r="S362" s="70"/>
      <c r="T362" s="71"/>
      <c r="U362" s="71"/>
      <c r="V362" s="70"/>
      <c r="W362" s="96"/>
      <c r="X362" s="69" t="s">
        <v>0</v>
      </c>
    </row>
    <row r="363" spans="1:24" ht="16.5" thickBot="1" x14ac:dyDescent="0.3">
      <c r="A363" s="49" t="s">
        <v>145</v>
      </c>
      <c r="B363" s="33"/>
      <c r="C363" s="6">
        <v>636</v>
      </c>
      <c r="D363" s="6">
        <v>646</v>
      </c>
      <c r="E363" s="6">
        <v>644</v>
      </c>
      <c r="F363" s="63">
        <f t="shared" ref="F363:F369" si="231">SUM(C363:E363)/3</f>
        <v>642</v>
      </c>
      <c r="G363" s="108">
        <f>SUM(670*92)</f>
        <v>61640</v>
      </c>
      <c r="H363" s="6">
        <v>674</v>
      </c>
      <c r="I363" s="6">
        <v>652</v>
      </c>
      <c r="J363" s="6">
        <v>631</v>
      </c>
      <c r="K363" s="63">
        <f t="shared" ref="K363:K370" si="232">SUM(H363:J363)/3</f>
        <v>652.33333333333337</v>
      </c>
      <c r="L363" s="108">
        <f t="shared" ref="L363:L369" si="233">K363*92</f>
        <v>60014.666666666672</v>
      </c>
      <c r="M363" s="6">
        <v>641</v>
      </c>
      <c r="N363" s="73">
        <v>685</v>
      </c>
      <c r="O363" s="73">
        <v>653</v>
      </c>
      <c r="P363" s="63">
        <f t="shared" ref="P363:P370" si="234">SUM(M363:O363)/3</f>
        <v>659.66666666666663</v>
      </c>
      <c r="Q363" s="108">
        <f t="shared" ref="Q363:Q369" si="235">P363*90</f>
        <v>59370</v>
      </c>
      <c r="R363" s="6">
        <v>622</v>
      </c>
      <c r="S363" s="73">
        <v>612</v>
      </c>
      <c r="T363" s="74">
        <v>617</v>
      </c>
      <c r="U363" s="63">
        <f t="shared" ref="U363:U370" si="236">SUM(R363:T363)/3</f>
        <v>617</v>
      </c>
      <c r="V363" s="111">
        <f t="shared" ref="V363:V369" si="237">U363*91</f>
        <v>56147</v>
      </c>
      <c r="W363" s="64">
        <f t="shared" ref="W363:W368" si="238">SUM(C363+D363+E363+H363+I363+J363+M363+N363+O363+R363+S363+T363)/12</f>
        <v>642.75</v>
      </c>
      <c r="X363" s="65">
        <f t="shared" si="226"/>
        <v>234603.75</v>
      </c>
    </row>
    <row r="364" spans="1:24" ht="16.5" thickBot="1" x14ac:dyDescent="0.3">
      <c r="A364" s="50" t="s">
        <v>146</v>
      </c>
      <c r="B364" s="34"/>
      <c r="C364" s="5">
        <v>20</v>
      </c>
      <c r="D364" s="5">
        <v>19</v>
      </c>
      <c r="E364" s="5">
        <v>17</v>
      </c>
      <c r="F364" s="63">
        <f t="shared" si="231"/>
        <v>18.666666666666668</v>
      </c>
      <c r="G364" s="109">
        <f>SUM(31*92)</f>
        <v>2852</v>
      </c>
      <c r="H364" s="5">
        <v>13</v>
      </c>
      <c r="I364" s="5">
        <v>12</v>
      </c>
      <c r="J364" s="5">
        <v>15</v>
      </c>
      <c r="K364" s="63">
        <f t="shared" si="232"/>
        <v>13.333333333333334</v>
      </c>
      <c r="L364" s="108">
        <f t="shared" si="233"/>
        <v>1226.6666666666667</v>
      </c>
      <c r="M364" s="5">
        <v>16</v>
      </c>
      <c r="N364" s="75">
        <v>14</v>
      </c>
      <c r="O364" s="75">
        <v>13</v>
      </c>
      <c r="P364" s="63">
        <f t="shared" si="234"/>
        <v>14.333333333333334</v>
      </c>
      <c r="Q364" s="108">
        <f t="shared" si="235"/>
        <v>1290</v>
      </c>
      <c r="R364" s="5">
        <v>14</v>
      </c>
      <c r="S364" s="75">
        <v>11</v>
      </c>
      <c r="T364" s="76">
        <v>10</v>
      </c>
      <c r="U364" s="63">
        <f t="shared" si="236"/>
        <v>11.666666666666666</v>
      </c>
      <c r="V364" s="111">
        <f t="shared" si="237"/>
        <v>1061.6666666666665</v>
      </c>
      <c r="W364" s="64">
        <f t="shared" si="238"/>
        <v>14.5</v>
      </c>
      <c r="X364" s="66">
        <f>W364*122</f>
        <v>1769</v>
      </c>
    </row>
    <row r="365" spans="1:24" ht="16.5" thickBot="1" x14ac:dyDescent="0.3">
      <c r="A365" s="50" t="s">
        <v>148</v>
      </c>
      <c r="B365" s="34"/>
      <c r="C365" s="5">
        <v>24</v>
      </c>
      <c r="D365" s="5">
        <v>24</v>
      </c>
      <c r="E365" s="5">
        <v>23</v>
      </c>
      <c r="F365" s="63">
        <f t="shared" si="231"/>
        <v>23.666666666666668</v>
      </c>
      <c r="G365" s="109">
        <f>SUM(35*92)</f>
        <v>3220</v>
      </c>
      <c r="H365" s="5">
        <v>23</v>
      </c>
      <c r="I365" s="5">
        <v>24</v>
      </c>
      <c r="J365" s="5">
        <v>27</v>
      </c>
      <c r="K365" s="63">
        <f t="shared" si="232"/>
        <v>24.666666666666668</v>
      </c>
      <c r="L365" s="108">
        <f t="shared" si="233"/>
        <v>2269.3333333333335</v>
      </c>
      <c r="M365" s="5">
        <v>27</v>
      </c>
      <c r="N365" s="75">
        <v>29</v>
      </c>
      <c r="O365" s="75">
        <v>29</v>
      </c>
      <c r="P365" s="63">
        <f t="shared" si="234"/>
        <v>28.333333333333332</v>
      </c>
      <c r="Q365" s="108">
        <f t="shared" si="235"/>
        <v>2550</v>
      </c>
      <c r="R365" s="5">
        <v>30</v>
      </c>
      <c r="S365" s="75">
        <v>31</v>
      </c>
      <c r="T365" s="76">
        <v>27</v>
      </c>
      <c r="U365" s="63">
        <f t="shared" si="236"/>
        <v>29.333333333333332</v>
      </c>
      <c r="V365" s="111">
        <f t="shared" si="237"/>
        <v>2669.333333333333</v>
      </c>
      <c r="W365" s="64">
        <f t="shared" si="238"/>
        <v>26.5</v>
      </c>
      <c r="X365" s="66">
        <f t="shared" si="226"/>
        <v>9672.5</v>
      </c>
    </row>
    <row r="366" spans="1:24" ht="25.5" customHeight="1" thickBot="1" x14ac:dyDescent="0.3">
      <c r="A366" s="50" t="s">
        <v>147</v>
      </c>
      <c r="B366" s="34"/>
      <c r="C366" s="5">
        <v>121</v>
      </c>
      <c r="D366" s="5">
        <v>119</v>
      </c>
      <c r="E366" s="5">
        <v>116</v>
      </c>
      <c r="F366" s="63">
        <f t="shared" si="231"/>
        <v>118.66666666666667</v>
      </c>
      <c r="G366" s="109">
        <f>SUM(155*92)</f>
        <v>14260</v>
      </c>
      <c r="H366" s="5">
        <v>119</v>
      </c>
      <c r="I366" s="5">
        <v>113</v>
      </c>
      <c r="J366" s="5">
        <v>109</v>
      </c>
      <c r="K366" s="63">
        <f t="shared" si="232"/>
        <v>113.66666666666667</v>
      </c>
      <c r="L366" s="108">
        <f t="shared" si="233"/>
        <v>10457.333333333334</v>
      </c>
      <c r="M366" s="5">
        <v>108</v>
      </c>
      <c r="N366" s="75">
        <v>111</v>
      </c>
      <c r="O366" s="75">
        <v>107</v>
      </c>
      <c r="P366" s="63">
        <f t="shared" si="234"/>
        <v>108.66666666666667</v>
      </c>
      <c r="Q366" s="108">
        <f t="shared" si="235"/>
        <v>9780</v>
      </c>
      <c r="R366" s="5">
        <v>107</v>
      </c>
      <c r="S366" s="75">
        <v>117</v>
      </c>
      <c r="T366" s="76">
        <v>115</v>
      </c>
      <c r="U366" s="63">
        <f t="shared" si="236"/>
        <v>113</v>
      </c>
      <c r="V366" s="111">
        <f t="shared" si="237"/>
        <v>10283</v>
      </c>
      <c r="W366" s="64">
        <f t="shared" si="238"/>
        <v>113.5</v>
      </c>
      <c r="X366" s="66">
        <f>W366*61</f>
        <v>6923.5</v>
      </c>
    </row>
    <row r="367" spans="1:24" ht="16.5" thickBot="1" x14ac:dyDescent="0.3">
      <c r="A367" s="50" t="s">
        <v>149</v>
      </c>
      <c r="B367" s="34"/>
      <c r="C367" s="5">
        <v>683</v>
      </c>
      <c r="D367" s="5">
        <v>679</v>
      </c>
      <c r="E367" s="5">
        <v>672</v>
      </c>
      <c r="F367" s="63">
        <f t="shared" si="231"/>
        <v>678</v>
      </c>
      <c r="G367" s="109">
        <f>SUM(651*92)</f>
        <v>59892</v>
      </c>
      <c r="H367" s="5">
        <v>755</v>
      </c>
      <c r="I367" s="5">
        <v>760</v>
      </c>
      <c r="J367" s="5">
        <v>755</v>
      </c>
      <c r="K367" s="63">
        <f t="shared" si="232"/>
        <v>756.66666666666663</v>
      </c>
      <c r="L367" s="108">
        <f t="shared" si="233"/>
        <v>69613.333333333328</v>
      </c>
      <c r="M367" s="5">
        <v>750</v>
      </c>
      <c r="N367" s="75">
        <v>746</v>
      </c>
      <c r="O367" s="75">
        <v>751</v>
      </c>
      <c r="P367" s="63">
        <f t="shared" si="234"/>
        <v>749</v>
      </c>
      <c r="Q367" s="108">
        <f t="shared" si="235"/>
        <v>67410</v>
      </c>
      <c r="R367" s="5">
        <v>760</v>
      </c>
      <c r="S367" s="75">
        <v>758</v>
      </c>
      <c r="T367" s="76">
        <v>757</v>
      </c>
      <c r="U367" s="63">
        <f t="shared" si="236"/>
        <v>758.33333333333337</v>
      </c>
      <c r="V367" s="111">
        <f t="shared" si="237"/>
        <v>69008.333333333343</v>
      </c>
      <c r="W367" s="64">
        <f t="shared" si="238"/>
        <v>735.5</v>
      </c>
      <c r="X367" s="66">
        <f t="shared" si="226"/>
        <v>268457.5</v>
      </c>
    </row>
    <row r="368" spans="1:24" ht="16.5" thickBot="1" x14ac:dyDescent="0.3">
      <c r="A368" s="50" t="s">
        <v>150</v>
      </c>
      <c r="B368" s="34"/>
      <c r="C368" s="5">
        <v>21</v>
      </c>
      <c r="D368" s="5">
        <v>20</v>
      </c>
      <c r="E368" s="5">
        <v>19</v>
      </c>
      <c r="F368" s="63">
        <f t="shared" si="231"/>
        <v>20</v>
      </c>
      <c r="G368" s="109">
        <f>SUM(22*92)</f>
        <v>2024</v>
      </c>
      <c r="H368" s="5">
        <v>20</v>
      </c>
      <c r="I368" s="5">
        <v>20</v>
      </c>
      <c r="J368" s="5">
        <v>20</v>
      </c>
      <c r="K368" s="63">
        <f t="shared" si="232"/>
        <v>20</v>
      </c>
      <c r="L368" s="108">
        <f t="shared" si="233"/>
        <v>1840</v>
      </c>
      <c r="M368" s="5">
        <v>19</v>
      </c>
      <c r="N368" s="75">
        <v>18</v>
      </c>
      <c r="O368" s="75">
        <v>18</v>
      </c>
      <c r="P368" s="63">
        <f t="shared" si="234"/>
        <v>18.333333333333332</v>
      </c>
      <c r="Q368" s="108">
        <f t="shared" si="235"/>
        <v>1650</v>
      </c>
      <c r="R368" s="5">
        <v>18</v>
      </c>
      <c r="S368" s="75">
        <v>17</v>
      </c>
      <c r="T368" s="76">
        <v>17</v>
      </c>
      <c r="U368" s="63">
        <f t="shared" si="236"/>
        <v>17.333333333333332</v>
      </c>
      <c r="V368" s="112">
        <f t="shared" si="237"/>
        <v>1577.3333333333333</v>
      </c>
      <c r="W368" s="64">
        <f t="shared" si="238"/>
        <v>18.916666666666668</v>
      </c>
      <c r="X368" s="66">
        <f t="shared" si="226"/>
        <v>6904.5833333333339</v>
      </c>
    </row>
    <row r="369" spans="1:25" ht="16.5" thickBot="1" x14ac:dyDescent="0.3">
      <c r="A369" s="53" t="s">
        <v>154</v>
      </c>
      <c r="B369" s="37"/>
      <c r="C369" s="80">
        <f>SUM(C363:C368)</f>
        <v>1505</v>
      </c>
      <c r="D369" s="80">
        <f>SUM(D363:D368)</f>
        <v>1507</v>
      </c>
      <c r="E369" s="80">
        <f>SUM(E363:E368)</f>
        <v>1491</v>
      </c>
      <c r="F369" s="68">
        <f t="shared" si="231"/>
        <v>1501</v>
      </c>
      <c r="G369" s="95">
        <f>SUM(1660*92)</f>
        <v>152720</v>
      </c>
      <c r="H369" s="94">
        <f>SUM(H363:H368)</f>
        <v>1604</v>
      </c>
      <c r="I369" s="80">
        <f>SUM(I363:I368)</f>
        <v>1581</v>
      </c>
      <c r="J369" s="80">
        <f>SUM(J363:J368)</f>
        <v>1557</v>
      </c>
      <c r="K369" s="68">
        <f t="shared" si="232"/>
        <v>1580.6666666666667</v>
      </c>
      <c r="L369" s="119">
        <f t="shared" si="233"/>
        <v>145421.33333333334</v>
      </c>
      <c r="M369" s="94">
        <f>SUM(M363:M368)</f>
        <v>1561</v>
      </c>
      <c r="N369" s="80">
        <f>SUM(N363:N368)</f>
        <v>1603</v>
      </c>
      <c r="O369" s="80">
        <f>SUM(O363:O368)</f>
        <v>1571</v>
      </c>
      <c r="P369" s="68">
        <f t="shared" si="234"/>
        <v>1578.3333333333333</v>
      </c>
      <c r="Q369" s="119">
        <f t="shared" si="235"/>
        <v>142050</v>
      </c>
      <c r="R369" s="94">
        <f>SUM(R363:R368)</f>
        <v>1551</v>
      </c>
      <c r="S369" s="80">
        <f>SUM(S363:S368)</f>
        <v>1546</v>
      </c>
      <c r="T369" s="81">
        <f>SUM(T363:T368)</f>
        <v>1543</v>
      </c>
      <c r="U369" s="68">
        <f t="shared" si="236"/>
        <v>1546.6666666666667</v>
      </c>
      <c r="V369" s="120">
        <f t="shared" si="237"/>
        <v>140746.66666666669</v>
      </c>
      <c r="W369" s="69">
        <f>SUM(W363:W368)</f>
        <v>1551.6666666666667</v>
      </c>
      <c r="X369" s="69">
        <f>SUM(X363:X368)</f>
        <v>528330.83333333337</v>
      </c>
    </row>
    <row r="370" spans="1:25" ht="16.5" thickBot="1" x14ac:dyDescent="0.3">
      <c r="A370" s="54" t="s">
        <v>158</v>
      </c>
      <c r="B370" s="38"/>
      <c r="C370" s="80">
        <f>C361+C369</f>
        <v>4674.3500000000004</v>
      </c>
      <c r="D370" s="80">
        <f>D361+D369</f>
        <v>4713</v>
      </c>
      <c r="E370" s="80">
        <f>E361+E369</f>
        <v>4801</v>
      </c>
      <c r="F370" s="80">
        <f>F361+F369</f>
        <v>4729.4500000000007</v>
      </c>
      <c r="G370" s="68">
        <f>SUM(G361+G369)</f>
        <v>449737.4</v>
      </c>
      <c r="H370" s="80">
        <f>H361+H369</f>
        <v>4881</v>
      </c>
      <c r="I370" s="80">
        <f>I361+I369</f>
        <v>4849.24</v>
      </c>
      <c r="J370" s="80">
        <f>J361+J369</f>
        <v>4733.45</v>
      </c>
      <c r="K370" s="120">
        <f t="shared" si="232"/>
        <v>4821.2299999999996</v>
      </c>
      <c r="L370" s="68">
        <f>SUM(L361+L369)</f>
        <v>443553.16000000003</v>
      </c>
      <c r="M370" s="94">
        <f>M361+M369</f>
        <v>4790.880000000001</v>
      </c>
      <c r="N370" s="80">
        <f>N361+N369</f>
        <v>4880.5599999999995</v>
      </c>
      <c r="O370" s="80">
        <f>O361+O369</f>
        <v>4868.1050000000005</v>
      </c>
      <c r="P370" s="99">
        <f t="shared" si="234"/>
        <v>4846.5150000000003</v>
      </c>
      <c r="Q370" s="68">
        <f>SUM(Q361+Q369)</f>
        <v>439454.53166666673</v>
      </c>
      <c r="R370" s="94">
        <f>R361+R369</f>
        <v>4844</v>
      </c>
      <c r="S370" s="80">
        <f>S361+S369</f>
        <v>4822.491</v>
      </c>
      <c r="T370" s="81">
        <f>T361+T369</f>
        <v>4805.5969999999998</v>
      </c>
      <c r="U370" s="99">
        <f t="shared" si="236"/>
        <v>4824.0293333333329</v>
      </c>
      <c r="V370" s="68">
        <f>SUM(V361+V369)</f>
        <v>438986.66933333332</v>
      </c>
      <c r="W370" s="80">
        <f>W361+W369</f>
        <v>4805.3060833333338</v>
      </c>
      <c r="X370" s="82">
        <f>X361+X369</f>
        <v>1715883.3358333339</v>
      </c>
    </row>
    <row r="371" spans="1:25" ht="15.75" x14ac:dyDescent="0.25">
      <c r="A371" s="114"/>
      <c r="B371" s="19"/>
      <c r="C371" s="115"/>
      <c r="D371" s="115"/>
      <c r="E371" s="115"/>
      <c r="F371" s="113"/>
      <c r="G371" s="93"/>
      <c r="H371" s="115"/>
      <c r="I371" s="115"/>
      <c r="J371" s="115"/>
      <c r="K371" s="113"/>
      <c r="L371" s="93"/>
      <c r="M371" s="115"/>
      <c r="N371" s="115"/>
      <c r="O371" s="115"/>
      <c r="P371" s="113"/>
      <c r="Q371" s="93"/>
      <c r="R371" s="115"/>
      <c r="S371" s="115"/>
      <c r="T371" s="115"/>
      <c r="U371" s="113"/>
      <c r="V371" s="93"/>
      <c r="W371" s="115"/>
      <c r="X371" s="115"/>
    </row>
    <row r="372" spans="1:25" ht="15.75" x14ac:dyDescent="0.25">
      <c r="A372" s="114"/>
      <c r="B372" s="19"/>
      <c r="C372" s="115"/>
      <c r="D372" s="115"/>
      <c r="E372" s="115"/>
      <c r="F372" s="113"/>
      <c r="G372" s="93"/>
      <c r="H372" s="115"/>
      <c r="I372" s="115"/>
      <c r="J372" s="115"/>
      <c r="K372" s="113"/>
      <c r="L372" s="93"/>
      <c r="M372" s="115"/>
      <c r="N372" s="115"/>
      <c r="O372" s="115"/>
      <c r="P372" s="113"/>
      <c r="Q372" s="93"/>
      <c r="R372" s="115"/>
      <c r="S372" s="115"/>
      <c r="T372" s="115"/>
      <c r="U372" s="113"/>
      <c r="V372" s="93"/>
      <c r="W372" s="115"/>
      <c r="X372" s="115"/>
    </row>
    <row r="374" spans="1:25" ht="16.5" thickBot="1" x14ac:dyDescent="0.25">
      <c r="A374" s="45" t="s">
        <v>157</v>
      </c>
      <c r="B374" s="10"/>
      <c r="C374" s="13"/>
      <c r="D374" s="13"/>
      <c r="E374" s="13"/>
      <c r="F374" s="13"/>
      <c r="G374" s="13"/>
      <c r="H374" s="13"/>
      <c r="I374" s="13"/>
      <c r="J374" s="13"/>
      <c r="K374" s="13"/>
      <c r="L374" s="13"/>
      <c r="M374" s="13"/>
      <c r="N374" s="13"/>
      <c r="O374" s="13"/>
      <c r="P374" s="13"/>
      <c r="Q374" s="13"/>
      <c r="R374" s="13"/>
      <c r="S374" s="13"/>
      <c r="T374" s="13"/>
      <c r="U374" s="13"/>
      <c r="V374" s="13"/>
      <c r="W374" s="13"/>
      <c r="X374" s="13"/>
      <c r="Y374" s="116"/>
    </row>
    <row r="375" spans="1:25" ht="16.5" thickBot="1" x14ac:dyDescent="0.3">
      <c r="A375" s="32" t="s">
        <v>266</v>
      </c>
      <c r="B375" s="1156" t="s">
        <v>155</v>
      </c>
      <c r="C375" s="1169"/>
      <c r="D375" s="1169"/>
      <c r="E375" s="1169"/>
      <c r="F375" s="1169"/>
      <c r="G375" s="1169"/>
      <c r="H375" s="1169"/>
      <c r="I375" s="1169"/>
      <c r="J375" s="1169"/>
      <c r="K375" s="1169"/>
      <c r="L375" s="1169"/>
      <c r="M375" s="1169"/>
      <c r="N375" s="1169"/>
      <c r="O375" s="1169"/>
      <c r="P375" s="1169"/>
      <c r="Q375" s="1169"/>
      <c r="R375" s="1169"/>
      <c r="S375" s="1169"/>
      <c r="T375" s="1169"/>
      <c r="U375" s="39"/>
      <c r="V375" s="39"/>
      <c r="W375" s="92"/>
      <c r="X375" s="13"/>
    </row>
    <row r="376" spans="1:25" ht="15.75" x14ac:dyDescent="0.25">
      <c r="A376" s="11"/>
      <c r="B376" s="40" t="s">
        <v>268</v>
      </c>
      <c r="C376" s="57"/>
      <c r="D376" s="58"/>
      <c r="E376" s="58"/>
      <c r="F376" s="1158" t="s">
        <v>265</v>
      </c>
      <c r="G376" s="127" t="s">
        <v>285</v>
      </c>
      <c r="H376" s="58"/>
      <c r="I376" s="58"/>
      <c r="J376" s="58"/>
      <c r="K376" s="129" t="s">
        <v>265</v>
      </c>
      <c r="L376" s="127" t="s">
        <v>285</v>
      </c>
      <c r="M376" s="58"/>
      <c r="N376" s="58"/>
      <c r="O376" s="58"/>
      <c r="P376" s="129" t="s">
        <v>265</v>
      </c>
      <c r="Q376" s="127" t="s">
        <v>285</v>
      </c>
      <c r="R376" s="58"/>
      <c r="S376" s="58"/>
      <c r="T376" s="59"/>
      <c r="U376" s="129" t="s">
        <v>265</v>
      </c>
      <c r="V376" s="127" t="s">
        <v>285</v>
      </c>
      <c r="W376" s="131" t="s">
        <v>156</v>
      </c>
      <c r="X376" s="133" t="s">
        <v>157</v>
      </c>
    </row>
    <row r="377" spans="1:25" ht="15.75" thickBot="1" x14ac:dyDescent="0.3">
      <c r="A377" s="47" t="s">
        <v>56</v>
      </c>
      <c r="B377" s="41" t="s">
        <v>269</v>
      </c>
      <c r="C377" s="60">
        <v>38538</v>
      </c>
      <c r="D377" s="61">
        <v>38569</v>
      </c>
      <c r="E377" s="61">
        <v>38600</v>
      </c>
      <c r="F377" s="1159"/>
      <c r="G377" s="128"/>
      <c r="H377" s="61">
        <v>38630</v>
      </c>
      <c r="I377" s="61">
        <v>38661</v>
      </c>
      <c r="J377" s="61">
        <v>38691</v>
      </c>
      <c r="K377" s="130"/>
      <c r="L377" s="128"/>
      <c r="M377" s="61">
        <v>38718</v>
      </c>
      <c r="N377" s="61">
        <v>38749</v>
      </c>
      <c r="O377" s="61">
        <v>38777</v>
      </c>
      <c r="P377" s="130"/>
      <c r="Q377" s="128"/>
      <c r="R377" s="61">
        <v>38808</v>
      </c>
      <c r="S377" s="61">
        <v>38838</v>
      </c>
      <c r="T377" s="62">
        <v>38869</v>
      </c>
      <c r="U377" s="130"/>
      <c r="V377" s="128"/>
      <c r="W377" s="132"/>
      <c r="X377" s="134"/>
    </row>
    <row r="378" spans="1:25" ht="33" customHeight="1" thickBot="1" x14ac:dyDescent="0.25">
      <c r="A378" s="45"/>
    </row>
    <row r="379" spans="1:25" ht="15.75" x14ac:dyDescent="0.25">
      <c r="A379" s="11"/>
      <c r="B379" s="40" t="s">
        <v>268</v>
      </c>
      <c r="C379" s="57"/>
      <c r="D379" s="58"/>
      <c r="E379" s="58"/>
      <c r="F379" s="1158" t="s">
        <v>265</v>
      </c>
      <c r="G379" s="1160" t="s">
        <v>285</v>
      </c>
      <c r="H379" s="58"/>
      <c r="I379" s="58"/>
      <c r="J379" s="58"/>
      <c r="K379" s="1158" t="s">
        <v>265</v>
      </c>
      <c r="L379" s="1160" t="s">
        <v>285</v>
      </c>
      <c r="M379" s="58"/>
      <c r="N379" s="58"/>
      <c r="O379" s="58"/>
      <c r="P379" s="1158" t="s">
        <v>265</v>
      </c>
      <c r="Q379" s="1160" t="s">
        <v>285</v>
      </c>
      <c r="R379" s="58"/>
      <c r="S379" s="58"/>
      <c r="T379" s="59"/>
      <c r="U379" s="1158" t="s">
        <v>265</v>
      </c>
      <c r="V379" s="1160" t="s">
        <v>285</v>
      </c>
      <c r="W379" s="1167" t="s">
        <v>156</v>
      </c>
      <c r="X379" s="1165" t="s">
        <v>157</v>
      </c>
    </row>
    <row r="380" spans="1:25" ht="15.75" thickBot="1" x14ac:dyDescent="0.3">
      <c r="A380" s="47" t="s">
        <v>56</v>
      </c>
      <c r="B380" s="41" t="s">
        <v>269</v>
      </c>
      <c r="C380" s="60">
        <v>37805</v>
      </c>
      <c r="D380" s="61">
        <v>37836</v>
      </c>
      <c r="E380" s="61">
        <v>37867</v>
      </c>
      <c r="F380" s="1159"/>
      <c r="G380" s="1161"/>
      <c r="H380" s="61">
        <v>37897</v>
      </c>
      <c r="I380" s="61">
        <v>37928</v>
      </c>
      <c r="J380" s="61">
        <v>37958</v>
      </c>
      <c r="K380" s="1159"/>
      <c r="L380" s="1161"/>
      <c r="M380" s="61">
        <v>37987</v>
      </c>
      <c r="N380" s="61">
        <v>38018</v>
      </c>
      <c r="O380" s="61">
        <v>38047</v>
      </c>
      <c r="P380" s="1159"/>
      <c r="Q380" s="1161"/>
      <c r="R380" s="61">
        <v>38078</v>
      </c>
      <c r="S380" s="61">
        <v>38108</v>
      </c>
      <c r="T380" s="62">
        <v>38139</v>
      </c>
      <c r="U380" s="1159"/>
      <c r="V380" s="1161"/>
      <c r="W380" s="1168"/>
      <c r="X380" s="1166"/>
    </row>
    <row r="381" spans="1:25" ht="16.5" thickBot="1" x14ac:dyDescent="0.3">
      <c r="A381" s="48" t="s">
        <v>249</v>
      </c>
      <c r="B381" s="42" t="s">
        <v>270</v>
      </c>
      <c r="C381" s="117">
        <v>396.096</v>
      </c>
      <c r="D381" s="117">
        <v>405.09699999999998</v>
      </c>
      <c r="E381" s="117">
        <v>416</v>
      </c>
      <c r="F381" s="63">
        <f t="shared" ref="F381:F395" si="239">SUM(C381:E381)/3</f>
        <v>405.73099999999999</v>
      </c>
      <c r="G381" s="108">
        <f>SUM(406*92)</f>
        <v>37352</v>
      </c>
      <c r="H381" s="117">
        <v>419.61</v>
      </c>
      <c r="I381" s="117">
        <v>415.9</v>
      </c>
      <c r="J381" s="117">
        <v>432.52</v>
      </c>
      <c r="K381" s="63">
        <f t="shared" ref="K381:K395" si="240">SUM(H381:J381)/3</f>
        <v>422.67666666666668</v>
      </c>
      <c r="L381" s="108">
        <f t="shared" ref="L381:L395" si="241">K381*92</f>
        <v>38886.253333333334</v>
      </c>
      <c r="M381" s="117">
        <v>422.81</v>
      </c>
      <c r="N381" s="85">
        <v>419.45</v>
      </c>
      <c r="O381" s="85">
        <v>406.94</v>
      </c>
      <c r="P381" s="63">
        <f t="shared" ref="P381:P395" si="242">SUM(M381:O381)/3</f>
        <v>416.40000000000003</v>
      </c>
      <c r="Q381" s="108">
        <f t="shared" ref="Q381:Q395" si="243">P381*91</f>
        <v>37892.400000000001</v>
      </c>
      <c r="R381" s="117">
        <v>406.93</v>
      </c>
      <c r="S381" s="85">
        <v>396.9</v>
      </c>
      <c r="T381" s="122">
        <v>395.4</v>
      </c>
      <c r="U381" s="63">
        <f t="shared" ref="U381:U395" si="244">SUM(R381:T381)/3</f>
        <v>399.74333333333334</v>
      </c>
      <c r="V381" s="111">
        <f t="shared" ref="V381:V395" si="245">U381*91</f>
        <v>36376.643333333333</v>
      </c>
      <c r="W381" s="64">
        <f t="shared" ref="W381:W394" si="246">SUM(C381+D381+E381+H381+I381+J381+M381+N381+O381+R381+S381+T381)/12</f>
        <v>411.13774999999993</v>
      </c>
      <c r="X381" s="65">
        <f t="shared" ref="X381:X394" si="247">W381*366</f>
        <v>150476.41649999996</v>
      </c>
    </row>
    <row r="382" spans="1:25" ht="16.5" thickBot="1" x14ac:dyDescent="0.3">
      <c r="A382" s="49" t="s">
        <v>140</v>
      </c>
      <c r="B382" s="43" t="s">
        <v>271</v>
      </c>
      <c r="C382" s="118">
        <v>108.45</v>
      </c>
      <c r="D382" s="118">
        <v>110.16</v>
      </c>
      <c r="E382" s="118">
        <v>117.27</v>
      </c>
      <c r="F382" s="63">
        <f t="shared" si="239"/>
        <v>111.96</v>
      </c>
      <c r="G382" s="109">
        <f>SUM(112*92)</f>
        <v>10304</v>
      </c>
      <c r="H382" s="118">
        <v>107.84</v>
      </c>
      <c r="I382" s="118">
        <v>103.8</v>
      </c>
      <c r="J382" s="118">
        <v>86.129000000000005</v>
      </c>
      <c r="K382" s="63">
        <f t="shared" si="240"/>
        <v>99.25633333333333</v>
      </c>
      <c r="L382" s="108">
        <f t="shared" si="241"/>
        <v>9131.5826666666671</v>
      </c>
      <c r="M382" s="118">
        <v>96.225999999999999</v>
      </c>
      <c r="N382" s="86">
        <v>108.34</v>
      </c>
      <c r="O382" s="86">
        <v>115.23</v>
      </c>
      <c r="P382" s="63">
        <f t="shared" si="242"/>
        <v>106.59866666666666</v>
      </c>
      <c r="Q382" s="108">
        <f t="shared" si="243"/>
        <v>9700.478666666666</v>
      </c>
      <c r="R382" s="118">
        <v>112.93</v>
      </c>
      <c r="S382" s="86">
        <v>111.13</v>
      </c>
      <c r="T382" s="123">
        <v>114.2</v>
      </c>
      <c r="U382" s="63">
        <f t="shared" si="244"/>
        <v>112.75333333333333</v>
      </c>
      <c r="V382" s="111">
        <f t="shared" si="245"/>
        <v>10260.553333333333</v>
      </c>
      <c r="W382" s="64">
        <f t="shared" si="246"/>
        <v>107.64208333333335</v>
      </c>
      <c r="X382" s="65">
        <f t="shared" si="247"/>
        <v>39397.002500000002</v>
      </c>
    </row>
    <row r="383" spans="1:25" ht="16.5" thickBot="1" x14ac:dyDescent="0.3">
      <c r="A383" s="50" t="s">
        <v>141</v>
      </c>
      <c r="B383" s="44" t="s">
        <v>272</v>
      </c>
      <c r="C383" s="3">
        <v>389.709</v>
      </c>
      <c r="D383" s="3">
        <v>392.774</v>
      </c>
      <c r="E383" s="3">
        <v>412</v>
      </c>
      <c r="F383" s="63">
        <f t="shared" si="239"/>
        <v>398.161</v>
      </c>
      <c r="G383" s="109">
        <f>SUM(398*92)</f>
        <v>36616</v>
      </c>
      <c r="H383" s="3">
        <v>408.39</v>
      </c>
      <c r="I383" s="3">
        <v>410.37</v>
      </c>
      <c r="J383" s="3">
        <v>416.81</v>
      </c>
      <c r="K383" s="63">
        <f t="shared" si="240"/>
        <v>411.85666666666663</v>
      </c>
      <c r="L383" s="108">
        <f t="shared" si="241"/>
        <v>37890.813333333332</v>
      </c>
      <c r="M383" s="3">
        <v>405.61</v>
      </c>
      <c r="N383" s="87">
        <v>401.28</v>
      </c>
      <c r="O383" s="87">
        <v>400.97</v>
      </c>
      <c r="P383" s="63">
        <f t="shared" si="242"/>
        <v>402.62000000000006</v>
      </c>
      <c r="Q383" s="108">
        <f t="shared" si="243"/>
        <v>36638.420000000006</v>
      </c>
      <c r="R383" s="3">
        <v>403.67</v>
      </c>
      <c r="S383" s="87">
        <v>390.48</v>
      </c>
      <c r="T383" s="124">
        <v>387.1</v>
      </c>
      <c r="U383" s="63">
        <f t="shared" si="244"/>
        <v>393.75</v>
      </c>
      <c r="V383" s="111">
        <f t="shared" si="245"/>
        <v>35831.25</v>
      </c>
      <c r="W383" s="64">
        <f t="shared" si="246"/>
        <v>401.59691666666669</v>
      </c>
      <c r="X383" s="65">
        <f t="shared" si="247"/>
        <v>146984.47150000001</v>
      </c>
    </row>
    <row r="384" spans="1:25" ht="16.5" thickBot="1" x14ac:dyDescent="0.3">
      <c r="A384" s="50" t="s">
        <v>25</v>
      </c>
      <c r="B384" s="44" t="s">
        <v>273</v>
      </c>
      <c r="C384" s="3">
        <v>221.90299999999999</v>
      </c>
      <c r="D384" s="3">
        <v>206.29</v>
      </c>
      <c r="E384" s="3">
        <v>202.3</v>
      </c>
      <c r="F384" s="63">
        <f t="shared" si="239"/>
        <v>210.1643333333333</v>
      </c>
      <c r="G384" s="109">
        <f>SUM(210*92)</f>
        <v>19320</v>
      </c>
      <c r="H384" s="3">
        <v>216.77</v>
      </c>
      <c r="I384" s="3">
        <v>213.73</v>
      </c>
      <c r="J384" s="3">
        <v>199.03</v>
      </c>
      <c r="K384" s="63">
        <f t="shared" si="240"/>
        <v>209.84333333333333</v>
      </c>
      <c r="L384" s="108">
        <f t="shared" si="241"/>
        <v>19305.586666666666</v>
      </c>
      <c r="M384" s="3">
        <v>211.23</v>
      </c>
      <c r="N384" s="87">
        <v>214.55</v>
      </c>
      <c r="O384" s="87">
        <v>223.19</v>
      </c>
      <c r="P384" s="63">
        <f t="shared" si="242"/>
        <v>216.32333333333335</v>
      </c>
      <c r="Q384" s="108">
        <f t="shared" si="243"/>
        <v>19685.423333333336</v>
      </c>
      <c r="R384" s="3">
        <v>209.57</v>
      </c>
      <c r="S384" s="87">
        <v>217.13</v>
      </c>
      <c r="T384" s="124">
        <v>220</v>
      </c>
      <c r="U384" s="63">
        <f t="shared" si="244"/>
        <v>215.56666666666669</v>
      </c>
      <c r="V384" s="111">
        <f t="shared" si="245"/>
        <v>19616.566666666669</v>
      </c>
      <c r="W384" s="64">
        <f t="shared" si="246"/>
        <v>212.97441666666668</v>
      </c>
      <c r="X384" s="65">
        <f t="shared" si="247"/>
        <v>77948.636500000008</v>
      </c>
    </row>
    <row r="385" spans="1:24" ht="16.5" thickBot="1" x14ac:dyDescent="0.3">
      <c r="A385" s="51" t="s">
        <v>282</v>
      </c>
      <c r="B385" s="44" t="s">
        <v>274</v>
      </c>
      <c r="C385" s="3">
        <v>279.06400000000002</v>
      </c>
      <c r="D385" s="3">
        <v>275.29000000000002</v>
      </c>
      <c r="E385" s="3">
        <v>293.33</v>
      </c>
      <c r="F385" s="63">
        <f t="shared" si="239"/>
        <v>282.56133333333332</v>
      </c>
      <c r="G385" s="109">
        <f>SUM(283*92)</f>
        <v>26036</v>
      </c>
      <c r="H385" s="3">
        <v>307.42200000000003</v>
      </c>
      <c r="I385" s="3">
        <v>302</v>
      </c>
      <c r="J385" s="3">
        <v>291.51600000000002</v>
      </c>
      <c r="K385" s="63">
        <f t="shared" si="240"/>
        <v>300.3126666666667</v>
      </c>
      <c r="L385" s="108">
        <f t="shared" si="241"/>
        <v>27628.765333333336</v>
      </c>
      <c r="M385" s="3">
        <v>291.02999999999997</v>
      </c>
      <c r="N385" s="87">
        <v>313.83</v>
      </c>
      <c r="O385" s="87">
        <v>308.70999999999998</v>
      </c>
      <c r="P385" s="63">
        <f t="shared" si="242"/>
        <v>304.52333333333331</v>
      </c>
      <c r="Q385" s="108">
        <f t="shared" si="243"/>
        <v>27711.623333333333</v>
      </c>
      <c r="R385" s="3">
        <v>295.637</v>
      </c>
      <c r="S385" s="87">
        <v>287.77</v>
      </c>
      <c r="T385" s="124">
        <v>293.67</v>
      </c>
      <c r="U385" s="63">
        <f t="shared" si="244"/>
        <v>292.35899999999998</v>
      </c>
      <c r="V385" s="111">
        <f t="shared" si="245"/>
        <v>26604.668999999998</v>
      </c>
      <c r="W385" s="64">
        <f t="shared" si="246"/>
        <v>294.93908333333337</v>
      </c>
      <c r="X385" s="65">
        <f t="shared" si="247"/>
        <v>107947.70450000001</v>
      </c>
    </row>
    <row r="386" spans="1:24" ht="16.5" thickBot="1" x14ac:dyDescent="0.3">
      <c r="A386" s="50" t="s">
        <v>16</v>
      </c>
      <c r="B386" s="44" t="s">
        <v>275</v>
      </c>
      <c r="C386" s="3">
        <v>50.58</v>
      </c>
      <c r="D386" s="3">
        <v>58.515999999999998</v>
      </c>
      <c r="E386" s="3">
        <v>61.5</v>
      </c>
      <c r="F386" s="63">
        <f t="shared" si="239"/>
        <v>56.865333333333332</v>
      </c>
      <c r="G386" s="109">
        <f>SUM(57*92)</f>
        <v>5244</v>
      </c>
      <c r="H386" s="3">
        <v>61.29</v>
      </c>
      <c r="I386" s="3">
        <v>59.033000000000001</v>
      </c>
      <c r="J386" s="3">
        <v>55.387</v>
      </c>
      <c r="K386" s="63">
        <f t="shared" si="240"/>
        <v>58.57</v>
      </c>
      <c r="L386" s="108">
        <f t="shared" si="241"/>
        <v>5388.44</v>
      </c>
      <c r="M386" s="3">
        <v>56.323</v>
      </c>
      <c r="N386" s="87">
        <v>63.621000000000002</v>
      </c>
      <c r="O386" s="87">
        <v>60.871000000000002</v>
      </c>
      <c r="P386" s="63">
        <f t="shared" si="242"/>
        <v>60.271666666666668</v>
      </c>
      <c r="Q386" s="108">
        <f t="shared" si="243"/>
        <v>5484.7216666666673</v>
      </c>
      <c r="R386" s="3">
        <v>61.5</v>
      </c>
      <c r="S386" s="87">
        <v>61.29</v>
      </c>
      <c r="T386" s="124">
        <v>59</v>
      </c>
      <c r="U386" s="63">
        <f t="shared" si="244"/>
        <v>60.596666666666664</v>
      </c>
      <c r="V386" s="111">
        <f t="shared" si="245"/>
        <v>5514.2966666666662</v>
      </c>
      <c r="W386" s="64">
        <f t="shared" si="246"/>
        <v>59.075916666666664</v>
      </c>
      <c r="X386" s="65">
        <f t="shared" si="247"/>
        <v>21621.785499999998</v>
      </c>
    </row>
    <row r="387" spans="1:24" ht="16.5" thickBot="1" x14ac:dyDescent="0.3">
      <c r="A387" s="50" t="s">
        <v>17</v>
      </c>
      <c r="B387" s="44" t="s">
        <v>276</v>
      </c>
      <c r="C387" s="3">
        <v>166.96700000000001</v>
      </c>
      <c r="D387" s="3">
        <v>159.322</v>
      </c>
      <c r="E387" s="3">
        <v>164</v>
      </c>
      <c r="F387" s="63">
        <f t="shared" si="239"/>
        <v>163.42966666666666</v>
      </c>
      <c r="G387" s="109">
        <f>SUM(163*92)</f>
        <v>14996</v>
      </c>
      <c r="H387" s="3">
        <v>173</v>
      </c>
      <c r="I387" s="3">
        <v>172.03</v>
      </c>
      <c r="J387" s="3">
        <v>162.94</v>
      </c>
      <c r="K387" s="63">
        <f t="shared" si="240"/>
        <v>169.32333333333332</v>
      </c>
      <c r="L387" s="108">
        <f t="shared" si="241"/>
        <v>15577.746666666666</v>
      </c>
      <c r="M387" s="3">
        <v>170.26</v>
      </c>
      <c r="N387" s="87">
        <v>174.48</v>
      </c>
      <c r="O387" s="87">
        <v>168.1</v>
      </c>
      <c r="P387" s="63">
        <f t="shared" si="242"/>
        <v>170.94666666666669</v>
      </c>
      <c r="Q387" s="108">
        <f t="shared" si="243"/>
        <v>15556.146666666669</v>
      </c>
      <c r="R387" s="3">
        <v>165.43</v>
      </c>
      <c r="S387" s="87">
        <v>168.26</v>
      </c>
      <c r="T387" s="124">
        <v>177.83</v>
      </c>
      <c r="U387" s="63">
        <f t="shared" si="244"/>
        <v>170.50666666666666</v>
      </c>
      <c r="V387" s="111">
        <f t="shared" si="245"/>
        <v>15516.106666666667</v>
      </c>
      <c r="W387" s="64">
        <f t="shared" si="246"/>
        <v>168.55158333333333</v>
      </c>
      <c r="X387" s="65">
        <f t="shared" si="247"/>
        <v>61689.879499999995</v>
      </c>
    </row>
    <row r="388" spans="1:24" ht="16.5" thickBot="1" x14ac:dyDescent="0.3">
      <c r="A388" s="50" t="s">
        <v>142</v>
      </c>
      <c r="B388" s="44" t="s">
        <v>277</v>
      </c>
      <c r="C388" s="3">
        <v>71</v>
      </c>
      <c r="D388" s="3">
        <v>75.548000000000002</v>
      </c>
      <c r="E388" s="3">
        <v>88.1</v>
      </c>
      <c r="F388" s="63">
        <f t="shared" si="239"/>
        <v>78.215999999999994</v>
      </c>
      <c r="G388" s="109">
        <f>SUM(78*92)</f>
        <v>7176</v>
      </c>
      <c r="H388" s="3">
        <v>89.903000000000006</v>
      </c>
      <c r="I388" s="3">
        <v>86.867000000000004</v>
      </c>
      <c r="J388" s="3">
        <v>86.322999999999993</v>
      </c>
      <c r="K388" s="63">
        <f t="shared" si="240"/>
        <v>87.697666666666677</v>
      </c>
      <c r="L388" s="108">
        <f t="shared" si="241"/>
        <v>8068.1853333333347</v>
      </c>
      <c r="M388" s="3">
        <v>89.644999999999996</v>
      </c>
      <c r="N388" s="87">
        <v>92.171999999999997</v>
      </c>
      <c r="O388" s="87">
        <v>90.613</v>
      </c>
      <c r="P388" s="63">
        <f t="shared" si="242"/>
        <v>90.81</v>
      </c>
      <c r="Q388" s="108">
        <f t="shared" si="243"/>
        <v>8263.7100000000009</v>
      </c>
      <c r="R388" s="3">
        <v>92.733000000000004</v>
      </c>
      <c r="S388" s="87">
        <v>91.418999999999997</v>
      </c>
      <c r="T388" s="124">
        <v>88.566999999999993</v>
      </c>
      <c r="U388" s="63">
        <f t="shared" si="244"/>
        <v>90.906333333333336</v>
      </c>
      <c r="V388" s="111">
        <f t="shared" si="245"/>
        <v>8272.476333333334</v>
      </c>
      <c r="W388" s="64">
        <f t="shared" si="246"/>
        <v>86.907499999999985</v>
      </c>
      <c r="X388" s="65">
        <f t="shared" si="247"/>
        <v>31808.144999999993</v>
      </c>
    </row>
    <row r="389" spans="1:24" ht="16.5" thickBot="1" x14ac:dyDescent="0.3">
      <c r="A389" s="51" t="s">
        <v>283</v>
      </c>
      <c r="B389" s="44" t="s">
        <v>278</v>
      </c>
      <c r="C389" s="3">
        <v>372.45100000000002</v>
      </c>
      <c r="D389" s="3">
        <v>375.45100000000002</v>
      </c>
      <c r="E389" s="3">
        <v>395.3</v>
      </c>
      <c r="F389" s="63">
        <f t="shared" si="239"/>
        <v>381.06733333333335</v>
      </c>
      <c r="G389" s="109">
        <f>SUM(381*92)</f>
        <v>35052</v>
      </c>
      <c r="H389" s="3">
        <v>396.16</v>
      </c>
      <c r="I389" s="3">
        <v>387.14</v>
      </c>
      <c r="J389" s="3">
        <v>382.19</v>
      </c>
      <c r="K389" s="63">
        <f t="shared" si="240"/>
        <v>388.49666666666667</v>
      </c>
      <c r="L389" s="108">
        <f t="shared" si="241"/>
        <v>35741.693333333336</v>
      </c>
      <c r="M389" s="3">
        <v>383.2</v>
      </c>
      <c r="N389" s="87">
        <v>386.59</v>
      </c>
      <c r="O389" s="87">
        <v>389.62</v>
      </c>
      <c r="P389" s="63">
        <f t="shared" si="242"/>
        <v>386.46999999999997</v>
      </c>
      <c r="Q389" s="108">
        <f t="shared" si="243"/>
        <v>35168.769999999997</v>
      </c>
      <c r="R389" s="3">
        <v>390.5</v>
      </c>
      <c r="S389" s="87">
        <v>372.84</v>
      </c>
      <c r="T389" s="124">
        <v>376.1</v>
      </c>
      <c r="U389" s="63">
        <f t="shared" si="244"/>
        <v>379.81333333333333</v>
      </c>
      <c r="V389" s="111">
        <f t="shared" si="245"/>
        <v>34563.013333333336</v>
      </c>
      <c r="W389" s="64">
        <f t="shared" si="246"/>
        <v>383.96183333333335</v>
      </c>
      <c r="X389" s="65">
        <f t="shared" si="247"/>
        <v>140530.03100000002</v>
      </c>
    </row>
    <row r="390" spans="1:24" ht="15.75" x14ac:dyDescent="0.25">
      <c r="A390" s="50" t="s">
        <v>151</v>
      </c>
      <c r="B390" s="121" t="s">
        <v>286</v>
      </c>
      <c r="C390" s="3">
        <v>92</v>
      </c>
      <c r="D390" s="3">
        <v>91</v>
      </c>
      <c r="E390" s="3">
        <v>106</v>
      </c>
      <c r="F390" s="63">
        <f>SUM(C390:E390)/3</f>
        <v>96.333333333333329</v>
      </c>
      <c r="G390" s="109">
        <f>SUM(96*92)</f>
        <v>8832</v>
      </c>
      <c r="H390" s="3">
        <v>111</v>
      </c>
      <c r="I390" s="3">
        <v>106</v>
      </c>
      <c r="J390" s="3">
        <v>97.774000000000001</v>
      </c>
      <c r="K390" s="63">
        <f>SUM(H390:J390)/3</f>
        <v>104.92466666666667</v>
      </c>
      <c r="L390" s="108">
        <f t="shared" si="241"/>
        <v>9653.0693333333329</v>
      </c>
      <c r="M390" s="3">
        <v>92.161000000000001</v>
      </c>
      <c r="N390" s="87">
        <v>83.897000000000006</v>
      </c>
      <c r="O390" s="87">
        <v>88.29</v>
      </c>
      <c r="P390" s="63">
        <f>SUM(M390:O390)/3</f>
        <v>88.116</v>
      </c>
      <c r="Q390" s="108">
        <f t="shared" si="243"/>
        <v>8018.5559999999996</v>
      </c>
      <c r="R390" s="3">
        <v>101.1</v>
      </c>
      <c r="S390" s="87">
        <v>98.257999999999996</v>
      </c>
      <c r="T390" s="124">
        <v>93.3</v>
      </c>
      <c r="U390" s="63">
        <f>SUM(R390:T390)/3</f>
        <v>97.552666666666667</v>
      </c>
      <c r="V390" s="111">
        <f t="shared" si="245"/>
        <v>8877.2926666666663</v>
      </c>
      <c r="W390" s="64">
        <f t="shared" si="246"/>
        <v>96.731666666666669</v>
      </c>
      <c r="X390" s="65">
        <f t="shared" si="247"/>
        <v>35403.79</v>
      </c>
    </row>
    <row r="391" spans="1:24" ht="16.5" thickBot="1" x14ac:dyDescent="0.3">
      <c r="A391" s="49" t="s">
        <v>20</v>
      </c>
      <c r="B391" s="43" t="s">
        <v>279</v>
      </c>
      <c r="C391" s="118">
        <v>484.64499999999998</v>
      </c>
      <c r="D391" s="118">
        <v>481.90300000000002</v>
      </c>
      <c r="E391" s="118">
        <v>492</v>
      </c>
      <c r="F391" s="63">
        <f t="shared" si="239"/>
        <v>486.18266666666665</v>
      </c>
      <c r="G391" s="111">
        <f>SUM(486*92)</f>
        <v>44712</v>
      </c>
      <c r="H391" s="118">
        <v>496.65</v>
      </c>
      <c r="I391" s="3">
        <v>490.83</v>
      </c>
      <c r="J391" s="3">
        <v>451.52</v>
      </c>
      <c r="K391" s="63">
        <f t="shared" si="240"/>
        <v>479.66666666666669</v>
      </c>
      <c r="L391" s="111">
        <f t="shared" si="241"/>
        <v>44129.333333333336</v>
      </c>
      <c r="M391" s="118">
        <v>474.68</v>
      </c>
      <c r="N391" s="86">
        <v>484.24</v>
      </c>
      <c r="O391" s="86">
        <v>491.52</v>
      </c>
      <c r="P391" s="63">
        <f t="shared" si="242"/>
        <v>483.48</v>
      </c>
      <c r="Q391" s="111">
        <f t="shared" si="243"/>
        <v>43996.68</v>
      </c>
      <c r="R391" s="3">
        <v>488</v>
      </c>
      <c r="S391" s="86">
        <v>484.74</v>
      </c>
      <c r="T391" s="124">
        <v>487.2</v>
      </c>
      <c r="U391" s="63">
        <f t="shared" si="244"/>
        <v>486.6466666666667</v>
      </c>
      <c r="V391" s="111">
        <f t="shared" si="245"/>
        <v>44284.846666666672</v>
      </c>
      <c r="W391" s="64">
        <f t="shared" si="246"/>
        <v>483.99399999999991</v>
      </c>
      <c r="X391" s="65">
        <f t="shared" si="247"/>
        <v>177141.80399999997</v>
      </c>
    </row>
    <row r="392" spans="1:24" ht="16.5" thickBot="1" x14ac:dyDescent="0.3">
      <c r="A392" s="51" t="s">
        <v>284</v>
      </c>
      <c r="B392" s="44" t="s">
        <v>280</v>
      </c>
      <c r="C392" s="3">
        <v>348.7</v>
      </c>
      <c r="D392" s="3">
        <v>358.90199999999999</v>
      </c>
      <c r="E392" s="3">
        <v>365.1</v>
      </c>
      <c r="F392" s="63">
        <f t="shared" si="239"/>
        <v>357.56733333333335</v>
      </c>
      <c r="G392" s="109">
        <f>SUM(358*92)</f>
        <v>32936</v>
      </c>
      <c r="H392" s="3">
        <v>367.33</v>
      </c>
      <c r="I392" s="3">
        <v>370.16</v>
      </c>
      <c r="J392" s="3">
        <v>363.26</v>
      </c>
      <c r="K392" s="63">
        <f t="shared" si="240"/>
        <v>366.91666666666669</v>
      </c>
      <c r="L392" s="108">
        <f t="shared" si="241"/>
        <v>33756.333333333336</v>
      </c>
      <c r="M392" s="3">
        <v>364.8</v>
      </c>
      <c r="N392" s="87">
        <v>354.28</v>
      </c>
      <c r="O392" s="87">
        <v>363.49</v>
      </c>
      <c r="P392" s="63">
        <f t="shared" si="242"/>
        <v>360.85666666666663</v>
      </c>
      <c r="Q392" s="108">
        <f t="shared" si="243"/>
        <v>32837.956666666665</v>
      </c>
      <c r="R392" s="3">
        <v>349.27</v>
      </c>
      <c r="S392" s="87">
        <v>331.78</v>
      </c>
      <c r="T392" s="124">
        <v>319.37</v>
      </c>
      <c r="U392" s="63">
        <f t="shared" si="244"/>
        <v>333.4733333333333</v>
      </c>
      <c r="V392" s="111">
        <f t="shared" si="245"/>
        <v>30346.07333333333</v>
      </c>
      <c r="W392" s="64">
        <f t="shared" si="246"/>
        <v>354.70350000000002</v>
      </c>
      <c r="X392" s="65">
        <f t="shared" si="247"/>
        <v>129821.48100000001</v>
      </c>
    </row>
    <row r="393" spans="1:24" ht="16.5" thickBot="1" x14ac:dyDescent="0.3">
      <c r="A393" s="50" t="s">
        <v>143</v>
      </c>
      <c r="B393" s="44" t="s">
        <v>281</v>
      </c>
      <c r="C393" s="3">
        <v>114.709</v>
      </c>
      <c r="D393" s="3">
        <v>124.193</v>
      </c>
      <c r="E393" s="3">
        <v>132.9</v>
      </c>
      <c r="F393" s="63">
        <f t="shared" si="239"/>
        <v>123.93400000000001</v>
      </c>
      <c r="G393" s="109">
        <f>SUM(124*92)</f>
        <v>11408</v>
      </c>
      <c r="H393" s="3">
        <v>122.55</v>
      </c>
      <c r="I393" s="3">
        <v>125.7</v>
      </c>
      <c r="J393" s="3">
        <v>124.13</v>
      </c>
      <c r="K393" s="63">
        <f t="shared" si="240"/>
        <v>124.12666666666667</v>
      </c>
      <c r="L393" s="108">
        <f t="shared" si="241"/>
        <v>11419.653333333334</v>
      </c>
      <c r="M393" s="3">
        <v>117.77</v>
      </c>
      <c r="N393" s="87">
        <v>115.55</v>
      </c>
      <c r="O393" s="87">
        <v>123.13</v>
      </c>
      <c r="P393" s="63">
        <f t="shared" si="242"/>
        <v>118.81666666666666</v>
      </c>
      <c r="Q393" s="108">
        <f t="shared" si="243"/>
        <v>10812.316666666666</v>
      </c>
      <c r="R393" s="3">
        <v>112.07</v>
      </c>
      <c r="S393" s="87">
        <v>107.61</v>
      </c>
      <c r="T393" s="124">
        <v>119.03</v>
      </c>
      <c r="U393" s="63">
        <f t="shared" si="244"/>
        <v>112.90333333333335</v>
      </c>
      <c r="V393" s="111">
        <f t="shared" si="245"/>
        <v>10274.203333333335</v>
      </c>
      <c r="W393" s="64">
        <f t="shared" si="246"/>
        <v>119.94516666666665</v>
      </c>
      <c r="X393" s="65">
        <f t="shared" si="247"/>
        <v>43899.930999999997</v>
      </c>
    </row>
    <row r="394" spans="1:24" ht="16.5" thickBot="1" x14ac:dyDescent="0.3">
      <c r="A394" s="50" t="s">
        <v>144</v>
      </c>
      <c r="B394" s="34"/>
      <c r="C394" s="3">
        <v>0</v>
      </c>
      <c r="D394" s="3">
        <v>0</v>
      </c>
      <c r="E394" s="3">
        <v>0</v>
      </c>
      <c r="F394" s="67">
        <f t="shared" si="239"/>
        <v>0</v>
      </c>
      <c r="G394" s="110">
        <f>SUM(F394*92)</f>
        <v>0</v>
      </c>
      <c r="H394" s="3">
        <v>0</v>
      </c>
      <c r="I394" s="3">
        <v>0</v>
      </c>
      <c r="J394" s="3">
        <v>0</v>
      </c>
      <c r="K394" s="67">
        <f t="shared" si="240"/>
        <v>0</v>
      </c>
      <c r="L394" s="108">
        <f t="shared" si="241"/>
        <v>0</v>
      </c>
      <c r="M394" s="3">
        <v>0</v>
      </c>
      <c r="N394" s="87">
        <v>0</v>
      </c>
      <c r="O394" s="87">
        <v>0</v>
      </c>
      <c r="P394" s="67">
        <f t="shared" si="242"/>
        <v>0</v>
      </c>
      <c r="Q394" s="108">
        <f t="shared" si="243"/>
        <v>0</v>
      </c>
      <c r="R394" s="3">
        <v>0</v>
      </c>
      <c r="S394" s="87"/>
      <c r="T394" s="124"/>
      <c r="U394" s="67">
        <f t="shared" si="244"/>
        <v>0</v>
      </c>
      <c r="V394" s="111">
        <f t="shared" si="245"/>
        <v>0</v>
      </c>
      <c r="W394" s="64">
        <f t="shared" si="246"/>
        <v>0</v>
      </c>
      <c r="X394" s="65">
        <f t="shared" si="247"/>
        <v>0</v>
      </c>
    </row>
    <row r="395" spans="1:24" ht="16.5" thickBot="1" x14ac:dyDescent="0.3">
      <c r="A395" s="46" t="s">
        <v>152</v>
      </c>
      <c r="B395" s="35"/>
      <c r="C395" s="80">
        <v>3005</v>
      </c>
      <c r="D395" s="80">
        <v>3023</v>
      </c>
      <c r="E395" s="80">
        <v>3139</v>
      </c>
      <c r="F395" s="68">
        <f t="shared" si="239"/>
        <v>3055.6666666666665</v>
      </c>
      <c r="G395" s="95">
        <f>SUM(3056*92)</f>
        <v>281152</v>
      </c>
      <c r="H395" s="94">
        <f>SUM(H381:H394)</f>
        <v>3277.9150000000004</v>
      </c>
      <c r="I395" s="80">
        <f>SUM(I381:I394)</f>
        <v>3243.5599999999995</v>
      </c>
      <c r="J395" s="80">
        <f>SUM(J381:J394)</f>
        <v>3149.5290000000005</v>
      </c>
      <c r="K395" s="68">
        <f t="shared" si="240"/>
        <v>3223.6680000000001</v>
      </c>
      <c r="L395" s="119">
        <f t="shared" si="241"/>
        <v>296577.45600000001</v>
      </c>
      <c r="M395" s="9">
        <v>3176</v>
      </c>
      <c r="N395" s="80">
        <f>SUM(N381:N394)</f>
        <v>3212.2799999999997</v>
      </c>
      <c r="O395" s="80">
        <f>SUM(O381:O394)</f>
        <v>3230.674</v>
      </c>
      <c r="P395" s="68">
        <f t="shared" si="242"/>
        <v>3206.3179999999998</v>
      </c>
      <c r="Q395" s="119">
        <f t="shared" si="243"/>
        <v>291774.93799999997</v>
      </c>
      <c r="R395" s="94">
        <f>SUM(R381:R394)</f>
        <v>3189.3399999999997</v>
      </c>
      <c r="S395" s="80">
        <f>SUM(S381:S394)</f>
        <v>3119.6069999999995</v>
      </c>
      <c r="T395" s="81">
        <f>SUM(T381:T394)</f>
        <v>3130.7670000000003</v>
      </c>
      <c r="U395" s="68">
        <f t="shared" si="244"/>
        <v>3146.5713333333333</v>
      </c>
      <c r="V395" s="136">
        <f t="shared" si="245"/>
        <v>286337.99133333331</v>
      </c>
      <c r="W395" s="69">
        <v>0</v>
      </c>
      <c r="X395" s="69">
        <f>SUM(X381:X394)</f>
        <v>1164671.0785000001</v>
      </c>
    </row>
    <row r="396" spans="1:24" ht="16.5" thickBot="1" x14ac:dyDescent="0.3">
      <c r="A396" s="46" t="s">
        <v>153</v>
      </c>
      <c r="B396" s="35"/>
      <c r="C396" s="70"/>
      <c r="D396" s="70"/>
      <c r="E396" s="71"/>
      <c r="F396" s="98"/>
      <c r="G396" s="98"/>
      <c r="H396" s="72"/>
      <c r="I396" s="70" t="s">
        <v>258</v>
      </c>
      <c r="J396" s="71"/>
      <c r="K396" s="97"/>
      <c r="L396" s="97"/>
      <c r="M396" s="72"/>
      <c r="N396" s="70"/>
      <c r="O396" s="71"/>
      <c r="P396" s="97"/>
      <c r="Q396" s="97"/>
      <c r="R396" s="72"/>
      <c r="S396" s="70"/>
      <c r="T396" s="71"/>
      <c r="U396" s="71"/>
      <c r="V396" s="70"/>
      <c r="W396" s="96"/>
      <c r="X396" s="69" t="s">
        <v>0</v>
      </c>
    </row>
    <row r="397" spans="1:24" ht="16.5" thickBot="1" x14ac:dyDescent="0.3">
      <c r="A397" s="49" t="s">
        <v>145</v>
      </c>
      <c r="B397" s="33"/>
      <c r="C397" s="73">
        <v>668</v>
      </c>
      <c r="D397" s="73">
        <v>661</v>
      </c>
      <c r="E397" s="73">
        <v>682</v>
      </c>
      <c r="F397" s="63">
        <f t="shared" ref="F397:F403" si="248">SUM(C397:E397)/3</f>
        <v>670.33333333333337</v>
      </c>
      <c r="G397" s="108">
        <f>SUM(670*92)</f>
        <v>61640</v>
      </c>
      <c r="H397" s="6">
        <v>685</v>
      </c>
      <c r="I397" s="6">
        <v>686</v>
      </c>
      <c r="J397" s="6">
        <v>683</v>
      </c>
      <c r="K397" s="63">
        <f t="shared" ref="K397:K404" si="249">SUM(H397:J397)/3</f>
        <v>684.66666666666663</v>
      </c>
      <c r="L397" s="108">
        <f t="shared" ref="L397:L403" si="250">K397*92</f>
        <v>62989.333333333328</v>
      </c>
      <c r="M397" s="6">
        <v>696</v>
      </c>
      <c r="N397" s="73">
        <v>707</v>
      </c>
      <c r="O397" s="73">
        <v>705</v>
      </c>
      <c r="P397" s="63">
        <f t="shared" ref="P397:P404" si="251">SUM(M397:O397)/3</f>
        <v>702.66666666666663</v>
      </c>
      <c r="Q397" s="108">
        <f t="shared" ref="Q397:Q403" si="252">P397*91</f>
        <v>63942.666666666664</v>
      </c>
      <c r="R397" s="6">
        <v>688</v>
      </c>
      <c r="S397" s="73">
        <v>684</v>
      </c>
      <c r="T397" s="7">
        <v>619</v>
      </c>
      <c r="U397" s="63">
        <f t="shared" ref="U397:U404" si="253">SUM(R397:T397)/3</f>
        <v>663.66666666666663</v>
      </c>
      <c r="V397" s="111">
        <f t="shared" ref="V397:V403" si="254">U397*91</f>
        <v>60393.666666666664</v>
      </c>
      <c r="W397" s="64">
        <f t="shared" ref="W397:W402" si="255">SUM(C397+D397+E397+H397+I397+J397+M397+N397+O397+R397+S397+T397)/12</f>
        <v>680.33333333333337</v>
      </c>
      <c r="X397" s="65">
        <f>W397*365</f>
        <v>248321.66666666669</v>
      </c>
    </row>
    <row r="398" spans="1:24" ht="16.5" thickBot="1" x14ac:dyDescent="0.3">
      <c r="A398" s="50" t="s">
        <v>146</v>
      </c>
      <c r="B398" s="34"/>
      <c r="C398" s="75">
        <v>31</v>
      </c>
      <c r="D398" s="75">
        <v>33</v>
      </c>
      <c r="E398" s="75">
        <v>28</v>
      </c>
      <c r="F398" s="63">
        <f t="shared" si="248"/>
        <v>30.666666666666668</v>
      </c>
      <c r="G398" s="109">
        <f>SUM(31*92)</f>
        <v>2852</v>
      </c>
      <c r="H398" s="5">
        <v>30</v>
      </c>
      <c r="I398" s="5">
        <v>32</v>
      </c>
      <c r="J398" s="5">
        <v>27</v>
      </c>
      <c r="K398" s="63">
        <f t="shared" si="249"/>
        <v>29.666666666666668</v>
      </c>
      <c r="L398" s="108">
        <f t="shared" si="250"/>
        <v>2729.3333333333335</v>
      </c>
      <c r="M398" s="5">
        <v>26</v>
      </c>
      <c r="N398" s="75">
        <v>25</v>
      </c>
      <c r="O398" s="75">
        <v>21</v>
      </c>
      <c r="P398" s="63">
        <f t="shared" si="251"/>
        <v>24</v>
      </c>
      <c r="Q398" s="108">
        <f t="shared" si="252"/>
        <v>2184</v>
      </c>
      <c r="R398" s="5">
        <v>20</v>
      </c>
      <c r="S398" s="75">
        <v>23</v>
      </c>
      <c r="T398" s="8">
        <v>20</v>
      </c>
      <c r="U398" s="63">
        <f t="shared" si="253"/>
        <v>21</v>
      </c>
      <c r="V398" s="111">
        <f t="shared" si="254"/>
        <v>1911</v>
      </c>
      <c r="W398" s="64">
        <f t="shared" si="255"/>
        <v>26.333333333333332</v>
      </c>
      <c r="X398" s="66">
        <f>W398*122</f>
        <v>3212.6666666666665</v>
      </c>
    </row>
    <row r="399" spans="1:24" ht="16.5" thickBot="1" x14ac:dyDescent="0.3">
      <c r="A399" s="50" t="s">
        <v>148</v>
      </c>
      <c r="B399" s="34"/>
      <c r="C399" s="75">
        <v>34</v>
      </c>
      <c r="D399" s="75">
        <v>33</v>
      </c>
      <c r="E399" s="75">
        <v>38</v>
      </c>
      <c r="F399" s="63">
        <f t="shared" si="248"/>
        <v>35</v>
      </c>
      <c r="G399" s="109">
        <f>SUM(35*92)</f>
        <v>3220</v>
      </c>
      <c r="H399" s="5">
        <v>34</v>
      </c>
      <c r="I399" s="5">
        <v>32</v>
      </c>
      <c r="J399" s="5">
        <v>31</v>
      </c>
      <c r="K399" s="63">
        <f t="shared" si="249"/>
        <v>32.333333333333336</v>
      </c>
      <c r="L399" s="108">
        <f t="shared" si="250"/>
        <v>2974.666666666667</v>
      </c>
      <c r="M399" s="5">
        <v>28</v>
      </c>
      <c r="N399" s="75">
        <v>28</v>
      </c>
      <c r="O399" s="75">
        <v>33</v>
      </c>
      <c r="P399" s="63">
        <f t="shared" si="251"/>
        <v>29.666666666666668</v>
      </c>
      <c r="Q399" s="108">
        <f t="shared" si="252"/>
        <v>2699.666666666667</v>
      </c>
      <c r="R399" s="5">
        <v>35</v>
      </c>
      <c r="S399" s="75">
        <v>28</v>
      </c>
      <c r="T399" s="8">
        <v>28</v>
      </c>
      <c r="U399" s="63">
        <f t="shared" si="253"/>
        <v>30.333333333333332</v>
      </c>
      <c r="V399" s="111">
        <f t="shared" si="254"/>
        <v>2760.333333333333</v>
      </c>
      <c r="W399" s="64">
        <f t="shared" si="255"/>
        <v>31.833333333333332</v>
      </c>
      <c r="X399" s="66">
        <f>W399*365</f>
        <v>11619.166666666666</v>
      </c>
    </row>
    <row r="400" spans="1:24" ht="16.5" thickBot="1" x14ac:dyDescent="0.3">
      <c r="A400" s="50" t="s">
        <v>147</v>
      </c>
      <c r="B400" s="34"/>
      <c r="C400" s="75">
        <v>160</v>
      </c>
      <c r="D400" s="75">
        <v>154</v>
      </c>
      <c r="E400" s="75">
        <v>152</v>
      </c>
      <c r="F400" s="63">
        <f t="shared" si="248"/>
        <v>155.33333333333334</v>
      </c>
      <c r="G400" s="109">
        <f>SUM(155*92)</f>
        <v>14260</v>
      </c>
      <c r="H400" s="5">
        <v>163</v>
      </c>
      <c r="I400" s="5">
        <v>164</v>
      </c>
      <c r="J400" s="5">
        <v>144</v>
      </c>
      <c r="K400" s="63">
        <f t="shared" si="249"/>
        <v>157</v>
      </c>
      <c r="L400" s="108">
        <f t="shared" si="250"/>
        <v>14444</v>
      </c>
      <c r="M400" s="5">
        <v>137</v>
      </c>
      <c r="N400" s="75">
        <v>135</v>
      </c>
      <c r="O400" s="75">
        <v>139</v>
      </c>
      <c r="P400" s="63">
        <f t="shared" si="251"/>
        <v>137</v>
      </c>
      <c r="Q400" s="108">
        <f t="shared" si="252"/>
        <v>12467</v>
      </c>
      <c r="R400" s="5">
        <v>156</v>
      </c>
      <c r="S400" s="75">
        <v>157</v>
      </c>
      <c r="T400" s="8">
        <v>131</v>
      </c>
      <c r="U400" s="63">
        <f t="shared" si="253"/>
        <v>148</v>
      </c>
      <c r="V400" s="111">
        <f t="shared" si="254"/>
        <v>13468</v>
      </c>
      <c r="W400" s="64">
        <f t="shared" si="255"/>
        <v>149.33333333333334</v>
      </c>
      <c r="X400" s="66">
        <f>W400*61</f>
        <v>9109.3333333333339</v>
      </c>
    </row>
    <row r="401" spans="1:24" ht="16.5" thickBot="1" x14ac:dyDescent="0.3">
      <c r="A401" s="50" t="s">
        <v>149</v>
      </c>
      <c r="B401" s="34"/>
      <c r="C401" s="75">
        <v>653</v>
      </c>
      <c r="D401" s="75">
        <v>650</v>
      </c>
      <c r="E401" s="75">
        <v>649</v>
      </c>
      <c r="F401" s="63">
        <f t="shared" si="248"/>
        <v>650.66666666666663</v>
      </c>
      <c r="G401" s="109">
        <f>SUM(651*92)</f>
        <v>59892</v>
      </c>
      <c r="H401" s="5">
        <v>647</v>
      </c>
      <c r="I401" s="5">
        <v>666</v>
      </c>
      <c r="J401" s="5">
        <v>685</v>
      </c>
      <c r="K401" s="63">
        <f t="shared" si="249"/>
        <v>666</v>
      </c>
      <c r="L401" s="108">
        <f t="shared" si="250"/>
        <v>61272</v>
      </c>
      <c r="M401" s="5">
        <v>705</v>
      </c>
      <c r="N401" s="75">
        <v>703</v>
      </c>
      <c r="O401" s="75">
        <v>701</v>
      </c>
      <c r="P401" s="63">
        <f t="shared" si="251"/>
        <v>703</v>
      </c>
      <c r="Q401" s="108">
        <f t="shared" si="252"/>
        <v>63973</v>
      </c>
      <c r="R401" s="5">
        <v>698</v>
      </c>
      <c r="S401" s="75">
        <v>698</v>
      </c>
      <c r="T401" s="8">
        <v>685</v>
      </c>
      <c r="U401" s="63">
        <f t="shared" si="253"/>
        <v>693.66666666666663</v>
      </c>
      <c r="V401" s="111">
        <f t="shared" si="254"/>
        <v>63123.666666666664</v>
      </c>
      <c r="W401" s="64">
        <f t="shared" si="255"/>
        <v>678.33333333333337</v>
      </c>
      <c r="X401" s="66">
        <f>W401*365</f>
        <v>247591.66666666669</v>
      </c>
    </row>
    <row r="402" spans="1:24" ht="16.5" thickBot="1" x14ac:dyDescent="0.3">
      <c r="A402" s="50" t="s">
        <v>150</v>
      </c>
      <c r="B402" s="34"/>
      <c r="C402" s="75">
        <v>22</v>
      </c>
      <c r="D402" s="75">
        <v>22</v>
      </c>
      <c r="E402" s="75">
        <v>22</v>
      </c>
      <c r="F402" s="63">
        <f t="shared" si="248"/>
        <v>22</v>
      </c>
      <c r="G402" s="109">
        <f>SUM(22*92)</f>
        <v>2024</v>
      </c>
      <c r="H402" s="5">
        <v>22</v>
      </c>
      <c r="I402" s="5">
        <v>21</v>
      </c>
      <c r="J402" s="5">
        <v>21</v>
      </c>
      <c r="K402" s="63">
        <f t="shared" si="249"/>
        <v>21.333333333333332</v>
      </c>
      <c r="L402" s="108">
        <f t="shared" si="250"/>
        <v>1962.6666666666665</v>
      </c>
      <c r="M402" s="5">
        <v>20</v>
      </c>
      <c r="N402" s="75">
        <v>20</v>
      </c>
      <c r="O402" s="75">
        <v>21</v>
      </c>
      <c r="P402" s="63">
        <f t="shared" si="251"/>
        <v>20.333333333333332</v>
      </c>
      <c r="Q402" s="108">
        <f t="shared" si="252"/>
        <v>1850.3333333333333</v>
      </c>
      <c r="R402" s="5">
        <v>21</v>
      </c>
      <c r="S402" s="75">
        <v>21</v>
      </c>
      <c r="T402" s="8">
        <v>21</v>
      </c>
      <c r="U402" s="63">
        <f t="shared" si="253"/>
        <v>21</v>
      </c>
      <c r="V402" s="111">
        <f t="shared" si="254"/>
        <v>1911</v>
      </c>
      <c r="W402" s="64">
        <f t="shared" si="255"/>
        <v>21.166666666666668</v>
      </c>
      <c r="X402" s="66">
        <f>W402*365</f>
        <v>7725.8333333333339</v>
      </c>
    </row>
    <row r="403" spans="1:24" ht="16.5" thickBot="1" x14ac:dyDescent="0.3">
      <c r="A403" s="53" t="s">
        <v>154</v>
      </c>
      <c r="B403" s="37"/>
      <c r="C403" s="80">
        <f>SUM(C397:C402)</f>
        <v>1568</v>
      </c>
      <c r="D403" s="80">
        <f>SUM(D397:D402)</f>
        <v>1553</v>
      </c>
      <c r="E403" s="80">
        <f>SUM(E397:E402)</f>
        <v>1571</v>
      </c>
      <c r="F403" s="68">
        <f t="shared" si="248"/>
        <v>1564</v>
      </c>
      <c r="G403" s="95">
        <f>SUM(1660*92)</f>
        <v>152720</v>
      </c>
      <c r="H403" s="94">
        <f>SUM(H397:H402)</f>
        <v>1581</v>
      </c>
      <c r="I403" s="80">
        <f>SUM(I397:I402)</f>
        <v>1601</v>
      </c>
      <c r="J403" s="80">
        <f>SUM(J397:J402)</f>
        <v>1591</v>
      </c>
      <c r="K403" s="68">
        <f t="shared" si="249"/>
        <v>1591</v>
      </c>
      <c r="L403" s="119">
        <f t="shared" si="250"/>
        <v>146372</v>
      </c>
      <c r="M403" s="94">
        <f>SUM(M397:M402)</f>
        <v>1612</v>
      </c>
      <c r="N403" s="80">
        <f>SUM(N397:N402)</f>
        <v>1618</v>
      </c>
      <c r="O403" s="80">
        <f>SUM(O397:O402)</f>
        <v>1620</v>
      </c>
      <c r="P403" s="68">
        <f t="shared" si="251"/>
        <v>1616.6666666666667</v>
      </c>
      <c r="Q403" s="119">
        <f t="shared" si="252"/>
        <v>147116.66666666669</v>
      </c>
      <c r="R403" s="94">
        <f>SUM(R397:R402)</f>
        <v>1618</v>
      </c>
      <c r="S403" s="80">
        <f>SUM(S397:S402)</f>
        <v>1611</v>
      </c>
      <c r="T403" s="81">
        <f>SUM(T397:T402)</f>
        <v>1504</v>
      </c>
      <c r="U403" s="68">
        <f t="shared" si="253"/>
        <v>1577.6666666666667</v>
      </c>
      <c r="V403" s="136">
        <f t="shared" si="254"/>
        <v>143567.66666666669</v>
      </c>
      <c r="W403" s="69">
        <f>SUM(W397:W402)</f>
        <v>1587.3333333333337</v>
      </c>
      <c r="X403" s="69">
        <f>SUM(X397:X402)</f>
        <v>527580.33333333337</v>
      </c>
    </row>
    <row r="404" spans="1:24" ht="16.5" thickBot="1" x14ac:dyDescent="0.3">
      <c r="A404" s="54" t="s">
        <v>158</v>
      </c>
      <c r="B404" s="38"/>
      <c r="C404" s="80">
        <f>C395+C403</f>
        <v>4573</v>
      </c>
      <c r="D404" s="80">
        <f>D395+D403</f>
        <v>4576</v>
      </c>
      <c r="E404" s="80">
        <f>E395+E403</f>
        <v>4710</v>
      </c>
      <c r="F404" s="80">
        <f>F395+F403</f>
        <v>4619.6666666666661</v>
      </c>
      <c r="G404" s="68">
        <f>SUM(G395+G403)</f>
        <v>433872</v>
      </c>
      <c r="H404" s="80">
        <f>H395+H403</f>
        <v>4858.9150000000009</v>
      </c>
      <c r="I404" s="80">
        <f>I395+I403</f>
        <v>4844.5599999999995</v>
      </c>
      <c r="J404" s="80">
        <f>J395+J403</f>
        <v>4740.5290000000005</v>
      </c>
      <c r="K404" s="120">
        <f t="shared" si="249"/>
        <v>4814.6680000000006</v>
      </c>
      <c r="L404" s="68">
        <f>SUM(L395+L403)</f>
        <v>442949.45600000001</v>
      </c>
      <c r="M404" s="94">
        <f>M395+M403</f>
        <v>4788</v>
      </c>
      <c r="N404" s="80">
        <f>N395+N403</f>
        <v>4830.28</v>
      </c>
      <c r="O404" s="80">
        <f>O395+O403</f>
        <v>4850.674</v>
      </c>
      <c r="P404" s="99">
        <f t="shared" si="251"/>
        <v>4822.9846666666663</v>
      </c>
      <c r="Q404" s="68">
        <f>SUM(Q395+Q403)</f>
        <v>438891.60466666665</v>
      </c>
      <c r="R404" s="94">
        <f>R395+R403</f>
        <v>4807.34</v>
      </c>
      <c r="S404" s="80">
        <f>S395+S403</f>
        <v>4730.607</v>
      </c>
      <c r="T404" s="81">
        <f>T395+T403</f>
        <v>4634.7669999999998</v>
      </c>
      <c r="U404" s="99">
        <f t="shared" si="253"/>
        <v>4724.2380000000003</v>
      </c>
      <c r="V404" s="68">
        <f>SUM(V395+V403)</f>
        <v>429905.658</v>
      </c>
      <c r="W404" s="80">
        <f>W395+W403</f>
        <v>1587.3333333333337</v>
      </c>
      <c r="X404" s="82">
        <f>X395+X403</f>
        <v>1692251.4118333333</v>
      </c>
    </row>
    <row r="405" spans="1:24" ht="15.75" x14ac:dyDescent="0.25">
      <c r="A405" s="114"/>
      <c r="B405" s="19"/>
      <c r="C405" s="115"/>
      <c r="D405" s="115"/>
      <c r="E405" s="115"/>
      <c r="F405" s="113"/>
      <c r="G405" s="93"/>
      <c r="H405" s="115"/>
      <c r="I405" s="115"/>
      <c r="J405" s="115"/>
      <c r="K405" s="113"/>
      <c r="L405" s="93"/>
      <c r="M405" s="115"/>
      <c r="N405" s="115"/>
      <c r="O405" s="115"/>
      <c r="P405" s="113"/>
      <c r="Q405" s="93"/>
      <c r="R405" s="115"/>
      <c r="S405" s="115"/>
      <c r="T405" s="115"/>
      <c r="U405" s="113"/>
      <c r="V405" s="93"/>
      <c r="W405" s="115"/>
      <c r="X405" s="115"/>
    </row>
    <row r="406" spans="1:24" ht="14.25" x14ac:dyDescent="0.2">
      <c r="A406" s="13"/>
      <c r="C406" s="13"/>
      <c r="D406" s="13"/>
      <c r="E406" s="13"/>
      <c r="F406" s="13"/>
      <c r="G406" s="13"/>
      <c r="H406" s="13"/>
      <c r="I406" s="13"/>
      <c r="J406" s="13"/>
      <c r="K406" s="13"/>
      <c r="L406" s="13"/>
      <c r="M406" s="13"/>
      <c r="N406" s="13"/>
      <c r="O406" s="13"/>
      <c r="P406" s="13"/>
      <c r="Q406" s="13"/>
      <c r="R406" s="13"/>
      <c r="S406" s="13"/>
      <c r="T406" s="13"/>
      <c r="U406" s="13"/>
      <c r="V406" s="13"/>
      <c r="W406" s="13"/>
      <c r="X406" s="13"/>
    </row>
    <row r="407" spans="1:24" ht="14.25" x14ac:dyDescent="0.2">
      <c r="A407" s="13"/>
      <c r="C407" s="13"/>
      <c r="D407" s="13"/>
      <c r="E407" s="13"/>
      <c r="F407" s="13"/>
      <c r="G407" s="13"/>
      <c r="H407" s="13"/>
      <c r="I407" s="13"/>
      <c r="J407" s="13"/>
      <c r="K407" s="13"/>
      <c r="L407" s="13"/>
      <c r="M407" s="13"/>
      <c r="N407" s="13"/>
      <c r="O407" s="13"/>
      <c r="P407" s="13"/>
      <c r="Q407" s="13"/>
      <c r="R407" s="13"/>
      <c r="S407" s="13"/>
      <c r="T407" s="13"/>
      <c r="U407" s="13"/>
      <c r="V407" s="13"/>
      <c r="W407" s="13"/>
      <c r="X407" s="13"/>
    </row>
    <row r="408" spans="1:24" ht="16.5" thickBot="1" x14ac:dyDescent="0.25">
      <c r="A408" s="45" t="s">
        <v>157</v>
      </c>
      <c r="B408" s="10"/>
      <c r="C408" s="13"/>
      <c r="D408" s="13"/>
      <c r="E408" s="13"/>
      <c r="F408" s="13"/>
      <c r="G408" s="13"/>
      <c r="H408" s="13"/>
      <c r="I408" s="13"/>
      <c r="J408" s="13"/>
      <c r="K408" s="13"/>
      <c r="L408" s="13"/>
      <c r="M408" s="13"/>
      <c r="N408" s="13"/>
      <c r="O408" s="13"/>
      <c r="P408" s="13"/>
      <c r="Q408" s="13"/>
      <c r="R408" s="13"/>
      <c r="S408" s="13"/>
      <c r="T408" s="13"/>
      <c r="U408" s="13"/>
      <c r="V408" s="13"/>
      <c r="W408" s="13"/>
      <c r="X408" s="13"/>
    </row>
    <row r="409" spans="1:24" ht="15.75" thickBot="1" x14ac:dyDescent="0.3">
      <c r="A409" s="55" t="s">
        <v>267</v>
      </c>
      <c r="B409" s="1156" t="s">
        <v>155</v>
      </c>
      <c r="C409" s="1169"/>
      <c r="D409" s="1169"/>
      <c r="E409" s="1169"/>
      <c r="F409" s="1169"/>
      <c r="G409" s="1169"/>
      <c r="H409" s="1169"/>
      <c r="I409" s="1169"/>
      <c r="J409" s="1169"/>
      <c r="K409" s="1169"/>
      <c r="L409" s="1169"/>
      <c r="M409" s="1169"/>
      <c r="N409" s="1169"/>
      <c r="O409" s="1169"/>
      <c r="P409" s="1169"/>
      <c r="Q409" s="1169"/>
      <c r="R409" s="1169"/>
      <c r="S409" s="1169"/>
      <c r="T409" s="1169"/>
      <c r="U409" s="1169"/>
      <c r="V409" s="39"/>
      <c r="W409" s="92"/>
      <c r="X409" s="13"/>
    </row>
    <row r="410" spans="1:24" ht="15" x14ac:dyDescent="0.25">
      <c r="A410" s="56"/>
      <c r="B410" s="40" t="s">
        <v>268</v>
      </c>
      <c r="C410" s="57"/>
      <c r="D410" s="58"/>
      <c r="E410" s="58"/>
      <c r="F410" s="1158" t="s">
        <v>265</v>
      </c>
      <c r="G410" s="1160" t="s">
        <v>285</v>
      </c>
      <c r="H410" s="58"/>
      <c r="I410" s="58"/>
      <c r="J410" s="58"/>
      <c r="K410" s="1158" t="s">
        <v>265</v>
      </c>
      <c r="L410" s="1160" t="s">
        <v>285</v>
      </c>
      <c r="M410" s="58"/>
      <c r="N410" s="58"/>
      <c r="O410" s="58"/>
      <c r="P410" s="1158" t="s">
        <v>265</v>
      </c>
      <c r="Q410" s="1160" t="s">
        <v>285</v>
      </c>
      <c r="R410" s="58"/>
      <c r="S410" s="58"/>
      <c r="T410" s="59"/>
      <c r="U410" s="1158" t="s">
        <v>265</v>
      </c>
      <c r="V410" s="1160" t="s">
        <v>285</v>
      </c>
      <c r="W410" s="1167" t="s">
        <v>156</v>
      </c>
      <c r="X410" s="1165" t="s">
        <v>157</v>
      </c>
    </row>
    <row r="411" spans="1:24" ht="15.75" thickBot="1" x14ac:dyDescent="0.3">
      <c r="A411" s="47" t="s">
        <v>56</v>
      </c>
      <c r="B411" s="41" t="s">
        <v>269</v>
      </c>
      <c r="C411" s="60">
        <v>37438</v>
      </c>
      <c r="D411" s="61">
        <v>37469</v>
      </c>
      <c r="E411" s="61">
        <v>37500</v>
      </c>
      <c r="F411" s="1159"/>
      <c r="G411" s="1161"/>
      <c r="H411" s="61">
        <v>37530</v>
      </c>
      <c r="I411" s="61">
        <v>37561</v>
      </c>
      <c r="J411" s="61">
        <v>37591</v>
      </c>
      <c r="K411" s="1159"/>
      <c r="L411" s="1161"/>
      <c r="M411" s="61">
        <v>37624</v>
      </c>
      <c r="N411" s="61">
        <v>37655</v>
      </c>
      <c r="O411" s="61">
        <v>37683</v>
      </c>
      <c r="P411" s="1159"/>
      <c r="Q411" s="1161"/>
      <c r="R411" s="61">
        <v>37714</v>
      </c>
      <c r="S411" s="61">
        <v>37744</v>
      </c>
      <c r="T411" s="62">
        <v>37775</v>
      </c>
      <c r="U411" s="1159"/>
      <c r="V411" s="1161"/>
      <c r="W411" s="1168"/>
      <c r="X411" s="1166"/>
    </row>
    <row r="412" spans="1:24" ht="15" x14ac:dyDescent="0.25">
      <c r="A412" s="48" t="s">
        <v>249</v>
      </c>
      <c r="B412" s="42" t="s">
        <v>270</v>
      </c>
      <c r="C412" s="85">
        <v>380</v>
      </c>
      <c r="D412" s="85">
        <v>383.6</v>
      </c>
      <c r="E412" s="85">
        <v>375.3</v>
      </c>
      <c r="F412" s="63">
        <f t="shared" ref="F412:F425" si="256">SUM(C412:E412)/3</f>
        <v>379.63333333333338</v>
      </c>
      <c r="G412" s="108">
        <f>SUM(380*92)</f>
        <v>34960</v>
      </c>
      <c r="H412" s="85">
        <v>384.1</v>
      </c>
      <c r="I412" s="85">
        <v>405.93299999999999</v>
      </c>
      <c r="J412" s="85">
        <v>397.4</v>
      </c>
      <c r="K412" s="63">
        <f t="shared" ref="K412:K425" si="257">SUM(H412:J412)/3</f>
        <v>395.81099999999998</v>
      </c>
      <c r="L412" s="108">
        <f>SUM(396*92)</f>
        <v>36432</v>
      </c>
      <c r="M412" s="85">
        <v>392.4</v>
      </c>
      <c r="N412" s="85">
        <v>416.1</v>
      </c>
      <c r="O412" s="85">
        <v>401.65</v>
      </c>
      <c r="P412" s="63">
        <f t="shared" ref="P412:P425" si="258">SUM(M412:O412)/3</f>
        <v>403.38333333333338</v>
      </c>
      <c r="Q412" s="108">
        <f>SUM(403*90)</f>
        <v>36270</v>
      </c>
      <c r="R412" s="85">
        <v>400</v>
      </c>
      <c r="S412" s="85">
        <v>414.03</v>
      </c>
      <c r="T412" s="88">
        <v>404.8</v>
      </c>
      <c r="U412" s="63">
        <f t="shared" ref="U412:U425" si="259">SUM(R412:T412)/3</f>
        <v>406.27666666666664</v>
      </c>
      <c r="V412" s="111">
        <f>SUM(406*91)</f>
        <v>36946</v>
      </c>
      <c r="W412" s="64">
        <f t="shared" ref="W412:W425" si="260">SUM(C412+D412+E412+H412+I412+J412+M412+N412+O412+R412+S412+T412)/12</f>
        <v>396.27608333333336</v>
      </c>
      <c r="X412" s="65">
        <f>396*365</f>
        <v>144540</v>
      </c>
    </row>
    <row r="413" spans="1:24" ht="15" x14ac:dyDescent="0.25">
      <c r="A413" s="49" t="s">
        <v>140</v>
      </c>
      <c r="B413" s="43" t="s">
        <v>271</v>
      </c>
      <c r="C413" s="86">
        <v>99.129000000000005</v>
      </c>
      <c r="D413" s="86">
        <v>102.42</v>
      </c>
      <c r="E413" s="86">
        <v>97.667000000000002</v>
      </c>
      <c r="F413" s="63">
        <f t="shared" si="256"/>
        <v>99.738666666666674</v>
      </c>
      <c r="G413" s="109">
        <f>SUM(100*92)</f>
        <v>9200</v>
      </c>
      <c r="H413" s="100">
        <v>95</v>
      </c>
      <c r="I413" s="86">
        <v>100.43300000000001</v>
      </c>
      <c r="J413" s="86">
        <v>94.13</v>
      </c>
      <c r="K413" s="63">
        <f t="shared" si="257"/>
        <v>96.521000000000001</v>
      </c>
      <c r="L413" s="109">
        <f>SUM(97*92)</f>
        <v>8924</v>
      </c>
      <c r="M413" s="100">
        <v>102.65</v>
      </c>
      <c r="N413" s="86">
        <v>107.21</v>
      </c>
      <c r="O413" s="86">
        <v>114.13</v>
      </c>
      <c r="P413" s="63">
        <f t="shared" si="258"/>
        <v>107.99666666666667</v>
      </c>
      <c r="Q413" s="109">
        <f>SUM(108*90)</f>
        <v>9720</v>
      </c>
      <c r="R413" s="100">
        <v>111.9</v>
      </c>
      <c r="S413" s="86">
        <v>114.42</v>
      </c>
      <c r="T413" s="89">
        <v>115.67</v>
      </c>
      <c r="U413" s="63">
        <f t="shared" si="259"/>
        <v>113.99666666666667</v>
      </c>
      <c r="V413" s="111">
        <f>SUM(114*91)</f>
        <v>10374</v>
      </c>
      <c r="W413" s="64">
        <f t="shared" si="260"/>
        <v>104.56325000000002</v>
      </c>
      <c r="X413" s="65">
        <f>105*365</f>
        <v>38325</v>
      </c>
    </row>
    <row r="414" spans="1:24" ht="15" x14ac:dyDescent="0.25">
      <c r="A414" s="50" t="s">
        <v>141</v>
      </c>
      <c r="B414" s="44" t="s">
        <v>272</v>
      </c>
      <c r="C414" s="87">
        <v>365.7</v>
      </c>
      <c r="D414" s="87">
        <v>363.1</v>
      </c>
      <c r="E414" s="87">
        <v>373.4</v>
      </c>
      <c r="F414" s="63">
        <f t="shared" si="256"/>
        <v>367.39999999999992</v>
      </c>
      <c r="G414" s="109">
        <f>SUM(367*92)</f>
        <v>33764</v>
      </c>
      <c r="H414" s="101">
        <v>381.6</v>
      </c>
      <c r="I414" s="87">
        <v>392.4</v>
      </c>
      <c r="J414" s="87">
        <v>379.3</v>
      </c>
      <c r="K414" s="63">
        <f t="shared" si="257"/>
        <v>384.43333333333334</v>
      </c>
      <c r="L414" s="109">
        <f>SUM(384*92)</f>
        <v>35328</v>
      </c>
      <c r="M414" s="101">
        <v>383.3</v>
      </c>
      <c r="N414" s="87">
        <v>395.61</v>
      </c>
      <c r="O414" s="87">
        <v>385.32</v>
      </c>
      <c r="P414" s="63">
        <f t="shared" si="258"/>
        <v>388.07666666666665</v>
      </c>
      <c r="Q414" s="109">
        <f>SUM(388*90)</f>
        <v>34920</v>
      </c>
      <c r="R414" s="101">
        <v>396</v>
      </c>
      <c r="S414" s="87">
        <v>393.4</v>
      </c>
      <c r="T414" s="90">
        <v>389.2</v>
      </c>
      <c r="U414" s="63">
        <f t="shared" si="259"/>
        <v>392.86666666666662</v>
      </c>
      <c r="V414" s="111">
        <f>SUM(393*91)</f>
        <v>35763</v>
      </c>
      <c r="W414" s="64">
        <f t="shared" si="260"/>
        <v>383.19416666666666</v>
      </c>
      <c r="X414" s="66">
        <f>383*365</f>
        <v>139795</v>
      </c>
    </row>
    <row r="415" spans="1:24" ht="15" x14ac:dyDescent="0.25">
      <c r="A415" s="50" t="s">
        <v>25</v>
      </c>
      <c r="B415" s="44" t="s">
        <v>273</v>
      </c>
      <c r="C415" s="87">
        <v>196.2</v>
      </c>
      <c r="D415" s="87">
        <v>199</v>
      </c>
      <c r="E415" s="87">
        <v>201.2</v>
      </c>
      <c r="F415" s="63">
        <f t="shared" si="256"/>
        <v>198.79999999999998</v>
      </c>
      <c r="G415" s="109">
        <f>SUM(199*92)</f>
        <v>18308</v>
      </c>
      <c r="H415" s="101">
        <v>205.9</v>
      </c>
      <c r="I415" s="87">
        <v>203.233</v>
      </c>
      <c r="J415" s="87">
        <v>196.52</v>
      </c>
      <c r="K415" s="63">
        <f t="shared" si="257"/>
        <v>201.88433333333333</v>
      </c>
      <c r="L415" s="109">
        <f>SUM(202*92)</f>
        <v>18584</v>
      </c>
      <c r="M415" s="101">
        <v>206.5</v>
      </c>
      <c r="N415" s="87">
        <v>221</v>
      </c>
      <c r="O415" s="87">
        <v>222.16</v>
      </c>
      <c r="P415" s="63">
        <f t="shared" si="258"/>
        <v>216.55333333333331</v>
      </c>
      <c r="Q415" s="109">
        <f>SUM(217*90)</f>
        <v>19530</v>
      </c>
      <c r="R415" s="101">
        <v>222.3</v>
      </c>
      <c r="S415" s="87">
        <v>223.8</v>
      </c>
      <c r="T415" s="90">
        <v>221</v>
      </c>
      <c r="U415" s="63">
        <f t="shared" si="259"/>
        <v>222.36666666666667</v>
      </c>
      <c r="V415" s="111">
        <f>SUM(222*91)</f>
        <v>20202</v>
      </c>
      <c r="W415" s="64">
        <f t="shared" si="260"/>
        <v>209.90108333333333</v>
      </c>
      <c r="X415" s="66">
        <f>210*365</f>
        <v>76650</v>
      </c>
    </row>
    <row r="416" spans="1:24" ht="15" x14ac:dyDescent="0.25">
      <c r="A416" s="51" t="s">
        <v>282</v>
      </c>
      <c r="B416" s="44" t="s">
        <v>274</v>
      </c>
      <c r="C416" s="87">
        <v>266.91000000000003</v>
      </c>
      <c r="D416" s="87">
        <v>275.11</v>
      </c>
      <c r="E416" s="87">
        <v>278.87</v>
      </c>
      <c r="F416" s="63">
        <f t="shared" si="256"/>
        <v>273.63</v>
      </c>
      <c r="G416" s="109">
        <f>SUM(274*92)</f>
        <v>25208</v>
      </c>
      <c r="H416" s="101">
        <v>282.37</v>
      </c>
      <c r="I416" s="87">
        <v>290.96600000000001</v>
      </c>
      <c r="J416" s="87">
        <v>282.60000000000002</v>
      </c>
      <c r="K416" s="63">
        <f t="shared" si="257"/>
        <v>285.31200000000001</v>
      </c>
      <c r="L416" s="109">
        <f>SUM(285*92)</f>
        <v>26220</v>
      </c>
      <c r="M416" s="101">
        <v>280.61</v>
      </c>
      <c r="N416" s="87">
        <v>289.14</v>
      </c>
      <c r="O416" s="87">
        <v>275.02999999999997</v>
      </c>
      <c r="P416" s="63">
        <f t="shared" si="258"/>
        <v>281.59333333333331</v>
      </c>
      <c r="Q416" s="109">
        <f>SUM(282*90)</f>
        <v>25380</v>
      </c>
      <c r="R416" s="101">
        <v>282</v>
      </c>
      <c r="S416" s="87">
        <v>294.23</v>
      </c>
      <c r="T416" s="90">
        <v>301.43</v>
      </c>
      <c r="U416" s="63">
        <f t="shared" si="259"/>
        <v>292.55333333333334</v>
      </c>
      <c r="V416" s="111">
        <f>SUM(293*91)</f>
        <v>26663</v>
      </c>
      <c r="W416" s="64">
        <f t="shared" si="260"/>
        <v>283.27216666666664</v>
      </c>
      <c r="X416" s="66">
        <f>283*365</f>
        <v>103295</v>
      </c>
    </row>
    <row r="417" spans="1:24" ht="15" x14ac:dyDescent="0.25">
      <c r="A417" s="50" t="s">
        <v>16</v>
      </c>
      <c r="B417" s="44" t="s">
        <v>275</v>
      </c>
      <c r="C417" s="87">
        <v>57.77</v>
      </c>
      <c r="D417" s="87">
        <v>61.16</v>
      </c>
      <c r="E417" s="87">
        <v>57.47</v>
      </c>
      <c r="F417" s="63">
        <f t="shared" si="256"/>
        <v>58.800000000000004</v>
      </c>
      <c r="G417" s="109">
        <f>SUM(59*92)</f>
        <v>5428</v>
      </c>
      <c r="H417" s="101">
        <v>54.77</v>
      </c>
      <c r="I417" s="87">
        <v>56.866999999999997</v>
      </c>
      <c r="J417" s="87">
        <v>56.1</v>
      </c>
      <c r="K417" s="63">
        <f t="shared" si="257"/>
        <v>55.912333333333329</v>
      </c>
      <c r="L417" s="109">
        <f>SUM(56*92)</f>
        <v>5152</v>
      </c>
      <c r="M417" s="101">
        <v>60.03</v>
      </c>
      <c r="N417" s="87">
        <v>62.96</v>
      </c>
      <c r="O417" s="87">
        <v>58.9</v>
      </c>
      <c r="P417" s="63">
        <f t="shared" si="258"/>
        <v>60.63</v>
      </c>
      <c r="Q417" s="109">
        <f>SUM(61*90)</f>
        <v>5490</v>
      </c>
      <c r="R417" s="101">
        <v>48.2</v>
      </c>
      <c r="S417" s="87">
        <v>46.2</v>
      </c>
      <c r="T417" s="90">
        <v>47.87</v>
      </c>
      <c r="U417" s="63">
        <f t="shared" si="259"/>
        <v>47.423333333333339</v>
      </c>
      <c r="V417" s="111">
        <f>SUM(47*91)</f>
        <v>4277</v>
      </c>
      <c r="W417" s="64">
        <f t="shared" si="260"/>
        <v>55.691416666666676</v>
      </c>
      <c r="X417" s="66">
        <f>56*365</f>
        <v>20440</v>
      </c>
    </row>
    <row r="418" spans="1:24" ht="15" x14ac:dyDescent="0.25">
      <c r="A418" s="50" t="s">
        <v>17</v>
      </c>
      <c r="B418" s="44" t="s">
        <v>276</v>
      </c>
      <c r="C418" s="87">
        <v>157.1</v>
      </c>
      <c r="D418" s="87">
        <v>170</v>
      </c>
      <c r="E418" s="87">
        <v>181</v>
      </c>
      <c r="F418" s="63">
        <f t="shared" si="256"/>
        <v>169.36666666666667</v>
      </c>
      <c r="G418" s="109">
        <f>SUM(169*92)</f>
        <v>15548</v>
      </c>
      <c r="H418" s="101">
        <v>166.3</v>
      </c>
      <c r="I418" s="87">
        <v>165.63300000000001</v>
      </c>
      <c r="J418" s="87">
        <v>156.30000000000001</v>
      </c>
      <c r="K418" s="63">
        <f t="shared" si="257"/>
        <v>162.74433333333334</v>
      </c>
      <c r="L418" s="109">
        <f>SUM(163*92)</f>
        <v>14996</v>
      </c>
      <c r="M418" s="101">
        <v>170.8</v>
      </c>
      <c r="N418" s="87">
        <v>166.82</v>
      </c>
      <c r="O418" s="87">
        <v>161.35</v>
      </c>
      <c r="P418" s="63">
        <f t="shared" si="258"/>
        <v>166.32333333333335</v>
      </c>
      <c r="Q418" s="109">
        <f>SUM(166*90)</f>
        <v>14940</v>
      </c>
      <c r="R418" s="101">
        <v>161</v>
      </c>
      <c r="S418" s="87">
        <v>161.4</v>
      </c>
      <c r="T418" s="90">
        <v>175.1</v>
      </c>
      <c r="U418" s="63">
        <f t="shared" si="259"/>
        <v>165.83333333333334</v>
      </c>
      <c r="V418" s="111">
        <f>SUM(166*91)</f>
        <v>15106</v>
      </c>
      <c r="W418" s="64">
        <f t="shared" si="260"/>
        <v>166.06691666666666</v>
      </c>
      <c r="X418" s="66">
        <f>166*365</f>
        <v>60590</v>
      </c>
    </row>
    <row r="419" spans="1:24" ht="15" x14ac:dyDescent="0.25">
      <c r="A419" s="50" t="s">
        <v>142</v>
      </c>
      <c r="B419" s="44" t="s">
        <v>277</v>
      </c>
      <c r="C419" s="87">
        <v>77.16</v>
      </c>
      <c r="D419" s="87">
        <v>78.900000000000006</v>
      </c>
      <c r="E419" s="87">
        <v>78.47</v>
      </c>
      <c r="F419" s="63">
        <f t="shared" si="256"/>
        <v>78.176666666666662</v>
      </c>
      <c r="G419" s="109">
        <f>SUM(78*92)</f>
        <v>7176</v>
      </c>
      <c r="H419" s="101">
        <v>80.94</v>
      </c>
      <c r="I419" s="87">
        <v>84.266999999999996</v>
      </c>
      <c r="J419" s="87">
        <v>82.7</v>
      </c>
      <c r="K419" s="63">
        <v>82</v>
      </c>
      <c r="L419" s="109">
        <f>SUM(82*92)</f>
        <v>7544</v>
      </c>
      <c r="M419" s="101">
        <v>82.35</v>
      </c>
      <c r="N419" s="87">
        <v>87</v>
      </c>
      <c r="O419" s="87">
        <v>79.39</v>
      </c>
      <c r="P419" s="63">
        <f t="shared" si="258"/>
        <v>82.913333333333341</v>
      </c>
      <c r="Q419" s="109">
        <f>SUM(83*90)</f>
        <v>7470</v>
      </c>
      <c r="R419" s="101">
        <v>82.9</v>
      </c>
      <c r="S419" s="87">
        <v>80.290000000000006</v>
      </c>
      <c r="T419" s="90">
        <v>77.930000000000007</v>
      </c>
      <c r="U419" s="63">
        <f t="shared" si="259"/>
        <v>80.373333333333335</v>
      </c>
      <c r="V419" s="111">
        <f>SUM(80*91)</f>
        <v>7280</v>
      </c>
      <c r="W419" s="64">
        <f t="shared" si="260"/>
        <v>81.024749999999997</v>
      </c>
      <c r="X419" s="66">
        <f>81*365</f>
        <v>29565</v>
      </c>
    </row>
    <row r="420" spans="1:24" ht="15" x14ac:dyDescent="0.25">
      <c r="A420" s="51" t="s">
        <v>283</v>
      </c>
      <c r="B420" s="44" t="s">
        <v>278</v>
      </c>
      <c r="C420" s="87">
        <v>386</v>
      </c>
      <c r="D420" s="87">
        <v>384.2</v>
      </c>
      <c r="E420" s="87">
        <v>378.4</v>
      </c>
      <c r="F420" s="63">
        <f t="shared" si="256"/>
        <v>382.86666666666662</v>
      </c>
      <c r="G420" s="109">
        <f>SUM(383*92)</f>
        <v>35236</v>
      </c>
      <c r="H420" s="101">
        <v>376.9</v>
      </c>
      <c r="I420" s="87">
        <v>390.8</v>
      </c>
      <c r="J420" s="87">
        <v>374.1</v>
      </c>
      <c r="K420" s="63">
        <f t="shared" si="257"/>
        <v>380.60000000000008</v>
      </c>
      <c r="L420" s="109">
        <f>SUM(381*92)</f>
        <v>35052</v>
      </c>
      <c r="M420" s="101">
        <v>377.9</v>
      </c>
      <c r="N420" s="87">
        <v>391.6</v>
      </c>
      <c r="O420" s="87">
        <v>389.26</v>
      </c>
      <c r="P420" s="63">
        <f t="shared" si="258"/>
        <v>386.25333333333333</v>
      </c>
      <c r="Q420" s="109">
        <f>SUM(386*90)</f>
        <v>34740</v>
      </c>
      <c r="R420" s="101">
        <v>392.3</v>
      </c>
      <c r="S420" s="87">
        <v>383.87</v>
      </c>
      <c r="T420" s="90">
        <v>383.1</v>
      </c>
      <c r="U420" s="63">
        <f t="shared" si="259"/>
        <v>386.42333333333335</v>
      </c>
      <c r="V420" s="111">
        <f>SUM(386*91)</f>
        <v>35126</v>
      </c>
      <c r="W420" s="64">
        <f t="shared" si="260"/>
        <v>384.03583333333336</v>
      </c>
      <c r="X420" s="66">
        <f>384*365</f>
        <v>140160</v>
      </c>
    </row>
    <row r="421" spans="1:24" ht="15" x14ac:dyDescent="0.25">
      <c r="A421" s="50" t="s">
        <v>20</v>
      </c>
      <c r="B421" s="44" t="s">
        <v>279</v>
      </c>
      <c r="C421" s="87">
        <v>481.5</v>
      </c>
      <c r="D421" s="87">
        <v>479.9</v>
      </c>
      <c r="E421" s="87">
        <v>474.7</v>
      </c>
      <c r="F421" s="63">
        <f t="shared" si="256"/>
        <v>478.7</v>
      </c>
      <c r="G421" s="109">
        <f>SUM(479*92)</f>
        <v>44068</v>
      </c>
      <c r="H421" s="101">
        <v>483</v>
      </c>
      <c r="I421" s="87">
        <v>461.9</v>
      </c>
      <c r="J421" s="87">
        <v>463.74200000000002</v>
      </c>
      <c r="K421" s="63">
        <v>469</v>
      </c>
      <c r="L421" s="109">
        <f>SUM(469*92)</f>
        <v>43148</v>
      </c>
      <c r="M421" s="101">
        <v>473.4</v>
      </c>
      <c r="N421" s="87">
        <v>472.3</v>
      </c>
      <c r="O421" s="87">
        <v>484.74</v>
      </c>
      <c r="P421" s="63">
        <f t="shared" si="258"/>
        <v>476.81333333333333</v>
      </c>
      <c r="Q421" s="109">
        <f>SUM(477*90)</f>
        <v>42930</v>
      </c>
      <c r="R421" s="101">
        <v>484.4</v>
      </c>
      <c r="S421" s="87">
        <v>483.03</v>
      </c>
      <c r="T421" s="90">
        <v>481</v>
      </c>
      <c r="U421" s="63">
        <f t="shared" si="259"/>
        <v>482.80999999999995</v>
      </c>
      <c r="V421" s="111">
        <f>SUM(483*91)</f>
        <v>43953</v>
      </c>
      <c r="W421" s="64">
        <f t="shared" si="260"/>
        <v>476.96766666666667</v>
      </c>
      <c r="X421" s="66">
        <f>477*365</f>
        <v>174105</v>
      </c>
    </row>
    <row r="422" spans="1:24" ht="15" x14ac:dyDescent="0.25">
      <c r="A422" s="51" t="s">
        <v>284</v>
      </c>
      <c r="B422" s="44" t="s">
        <v>280</v>
      </c>
      <c r="C422" s="87">
        <v>347.19</v>
      </c>
      <c r="D422" s="87">
        <v>342.11</v>
      </c>
      <c r="E422" s="87">
        <v>351</v>
      </c>
      <c r="F422" s="63">
        <f t="shared" si="256"/>
        <v>346.76666666666665</v>
      </c>
      <c r="G422" s="109">
        <f>SUM(347*92)</f>
        <v>31924</v>
      </c>
      <c r="H422" s="101">
        <v>357</v>
      </c>
      <c r="I422" s="87">
        <v>353.9</v>
      </c>
      <c r="J422" s="87">
        <v>334.61200000000002</v>
      </c>
      <c r="K422" s="63">
        <f t="shared" si="257"/>
        <v>348.50399999999996</v>
      </c>
      <c r="L422" s="109">
        <f>SUM(349*92)</f>
        <v>32108</v>
      </c>
      <c r="M422" s="101">
        <v>349.3</v>
      </c>
      <c r="N422" s="87">
        <v>360.6</v>
      </c>
      <c r="O422" s="87">
        <v>364.49</v>
      </c>
      <c r="P422" s="63">
        <f t="shared" si="258"/>
        <v>358.13000000000005</v>
      </c>
      <c r="Q422" s="109">
        <f>SUM(358*90)</f>
        <v>32220</v>
      </c>
      <c r="R422" s="101">
        <v>355.4</v>
      </c>
      <c r="S422" s="87">
        <v>344.55</v>
      </c>
      <c r="T422" s="90">
        <v>356.1</v>
      </c>
      <c r="U422" s="63">
        <f t="shared" si="259"/>
        <v>352.01666666666671</v>
      </c>
      <c r="V422" s="111">
        <f>SUM(352*91)</f>
        <v>32032</v>
      </c>
      <c r="W422" s="64">
        <f t="shared" si="260"/>
        <v>351.35433333333339</v>
      </c>
      <c r="X422" s="66">
        <f>351*365</f>
        <v>128115</v>
      </c>
    </row>
    <row r="423" spans="1:24" ht="15" x14ac:dyDescent="0.25">
      <c r="A423" s="50" t="s">
        <v>143</v>
      </c>
      <c r="B423" s="44" t="s">
        <v>281</v>
      </c>
      <c r="C423" s="87">
        <v>104.2</v>
      </c>
      <c r="D423" s="87">
        <v>102.51600000000001</v>
      </c>
      <c r="E423" s="87">
        <v>104.3</v>
      </c>
      <c r="F423" s="63">
        <f t="shared" si="256"/>
        <v>103.67200000000001</v>
      </c>
      <c r="G423" s="109">
        <f>SUM(104*92)</f>
        <v>9568</v>
      </c>
      <c r="H423" s="101">
        <v>103.3</v>
      </c>
      <c r="I423" s="87">
        <v>105.667</v>
      </c>
      <c r="J423" s="87">
        <v>112.52</v>
      </c>
      <c r="K423" s="63">
        <f t="shared" si="257"/>
        <v>107.16233333333332</v>
      </c>
      <c r="L423" s="109">
        <f>SUM(107*92)</f>
        <v>9844</v>
      </c>
      <c r="M423" s="101">
        <v>107.9</v>
      </c>
      <c r="N423" s="87">
        <v>115</v>
      </c>
      <c r="O423" s="87">
        <v>114.84</v>
      </c>
      <c r="P423" s="63">
        <f t="shared" si="258"/>
        <v>112.58</v>
      </c>
      <c r="Q423" s="109">
        <f>SUM(113*90)</f>
        <v>10170</v>
      </c>
      <c r="R423" s="101">
        <v>109.533</v>
      </c>
      <c r="S423" s="87">
        <v>112.16</v>
      </c>
      <c r="T423" s="90">
        <v>107.1</v>
      </c>
      <c r="U423" s="63">
        <f t="shared" si="259"/>
        <v>109.59766666666667</v>
      </c>
      <c r="V423" s="111">
        <f>SUM(110*91)</f>
        <v>10010</v>
      </c>
      <c r="W423" s="64">
        <f t="shared" si="260"/>
        <v>108.253</v>
      </c>
      <c r="X423" s="66">
        <f>108*365</f>
        <v>39420</v>
      </c>
    </row>
    <row r="424" spans="1:24" ht="16.5" thickBot="1" x14ac:dyDescent="0.3">
      <c r="A424" s="50" t="s">
        <v>144</v>
      </c>
      <c r="B424" s="34"/>
      <c r="C424" s="87">
        <v>26</v>
      </c>
      <c r="D424" s="87">
        <v>24</v>
      </c>
      <c r="E424" s="87">
        <v>0</v>
      </c>
      <c r="F424" s="67">
        <f t="shared" si="256"/>
        <v>16.666666666666668</v>
      </c>
      <c r="G424" s="110">
        <f>SUM(17*92)</f>
        <v>1564</v>
      </c>
      <c r="H424" s="101">
        <v>0</v>
      </c>
      <c r="I424" s="87">
        <v>0</v>
      </c>
      <c r="J424" s="87">
        <v>0</v>
      </c>
      <c r="K424" s="67">
        <f t="shared" si="257"/>
        <v>0</v>
      </c>
      <c r="L424" s="110">
        <f>SUM(0*92)</f>
        <v>0</v>
      </c>
      <c r="M424" s="101">
        <v>0</v>
      </c>
      <c r="N424" s="87">
        <v>0</v>
      </c>
      <c r="O424" s="87">
        <v>0</v>
      </c>
      <c r="P424" s="67">
        <f t="shared" si="258"/>
        <v>0</v>
      </c>
      <c r="Q424" s="110">
        <f>SUM(0*90)</f>
        <v>0</v>
      </c>
      <c r="R424" s="101">
        <v>0</v>
      </c>
      <c r="S424" s="87">
        <v>0</v>
      </c>
      <c r="T424" s="90">
        <v>0</v>
      </c>
      <c r="U424" s="67">
        <f t="shared" si="259"/>
        <v>0</v>
      </c>
      <c r="V424" s="112">
        <f>SUM(0*91)</f>
        <v>0</v>
      </c>
      <c r="W424" s="64">
        <f t="shared" si="260"/>
        <v>4.166666666666667</v>
      </c>
      <c r="X424" s="66">
        <f>4*365</f>
        <v>1460</v>
      </c>
    </row>
    <row r="425" spans="1:24" ht="16.5" thickBot="1" x14ac:dyDescent="0.3">
      <c r="A425" s="46" t="s">
        <v>152</v>
      </c>
      <c r="B425" s="35"/>
      <c r="C425" s="80">
        <v>2944</v>
      </c>
      <c r="D425" s="80">
        <v>2965</v>
      </c>
      <c r="E425" s="80">
        <v>2951</v>
      </c>
      <c r="F425" s="68">
        <f t="shared" si="256"/>
        <v>2953.3333333333335</v>
      </c>
      <c r="G425" s="95">
        <f>SUM(2953*92)</f>
        <v>271676</v>
      </c>
      <c r="H425" s="94">
        <v>2971</v>
      </c>
      <c r="I425" s="80">
        <v>3012</v>
      </c>
      <c r="J425" s="80">
        <v>2931</v>
      </c>
      <c r="K425" s="68">
        <f t="shared" si="257"/>
        <v>2971.3333333333335</v>
      </c>
      <c r="L425" s="95">
        <f>SUM(2971*92)</f>
        <v>273332</v>
      </c>
      <c r="M425" s="94">
        <v>2987</v>
      </c>
      <c r="N425" s="80">
        <v>3086</v>
      </c>
      <c r="O425" s="80">
        <f>SUM(O412:O424)</f>
        <v>3051.26</v>
      </c>
      <c r="P425" s="68">
        <f t="shared" si="258"/>
        <v>3041.42</v>
      </c>
      <c r="Q425" s="95">
        <f>SUM(3041*90)</f>
        <v>273690</v>
      </c>
      <c r="R425" s="102">
        <v>3044</v>
      </c>
      <c r="S425" s="91">
        <f>SUM(S412:S424)</f>
        <v>3051.38</v>
      </c>
      <c r="T425" s="91">
        <f>SUM(T412:T424)</f>
        <v>3060.2999999999997</v>
      </c>
      <c r="U425" s="68">
        <f t="shared" si="259"/>
        <v>3051.8933333333334</v>
      </c>
      <c r="V425" s="99">
        <f>SUM(V412:V424)</f>
        <v>277732</v>
      </c>
      <c r="W425" s="69">
        <f t="shared" si="260"/>
        <v>3004.4950000000003</v>
      </c>
      <c r="X425" s="69">
        <f>SUM(X412:X424)</f>
        <v>1096460</v>
      </c>
    </row>
    <row r="426" spans="1:24" ht="16.5" thickBot="1" x14ac:dyDescent="0.3">
      <c r="A426" s="46" t="s">
        <v>153</v>
      </c>
      <c r="B426" s="35"/>
      <c r="C426" s="70"/>
      <c r="D426" s="70"/>
      <c r="E426" s="71"/>
      <c r="F426" s="83"/>
      <c r="G426" s="103"/>
      <c r="H426" s="72"/>
      <c r="I426" s="70" t="s">
        <v>258</v>
      </c>
      <c r="J426" s="71"/>
      <c r="K426" s="97"/>
      <c r="L426" s="104"/>
      <c r="M426" s="72"/>
      <c r="N426" s="70"/>
      <c r="O426" s="71"/>
      <c r="P426" s="84"/>
      <c r="Q426" s="97"/>
      <c r="R426" s="72"/>
      <c r="S426" s="70"/>
      <c r="T426" s="71"/>
      <c r="U426" s="97"/>
      <c r="V426" s="97"/>
      <c r="W426" s="106"/>
      <c r="X426" s="105" t="s">
        <v>0</v>
      </c>
    </row>
    <row r="427" spans="1:24" ht="15.75" x14ac:dyDescent="0.25">
      <c r="A427" s="49" t="s">
        <v>145</v>
      </c>
      <c r="B427" s="33"/>
      <c r="C427" s="73">
        <v>686</v>
      </c>
      <c r="D427" s="73">
        <v>686</v>
      </c>
      <c r="E427" s="73">
        <v>603</v>
      </c>
      <c r="F427" s="63">
        <v>659</v>
      </c>
      <c r="G427" s="108">
        <f>SUM(659*92)</f>
        <v>60628</v>
      </c>
      <c r="H427" s="73">
        <v>700</v>
      </c>
      <c r="I427" s="73">
        <v>705</v>
      </c>
      <c r="J427" s="73">
        <v>686</v>
      </c>
      <c r="K427" s="63">
        <f t="shared" ref="K427:K434" si="261">SUM(H427:J427)/3</f>
        <v>697</v>
      </c>
      <c r="L427" s="108">
        <f>SUM(697*92)</f>
        <v>64124</v>
      </c>
      <c r="M427" s="73">
        <v>709</v>
      </c>
      <c r="N427" s="73">
        <v>709</v>
      </c>
      <c r="O427" s="73">
        <v>704</v>
      </c>
      <c r="P427" s="63">
        <f t="shared" ref="P427:P435" si="262">SUM(M427:O427)/3</f>
        <v>707.33333333333337</v>
      </c>
      <c r="Q427" s="108">
        <f>SUM(707*90)</f>
        <v>63630</v>
      </c>
      <c r="R427" s="73">
        <v>688</v>
      </c>
      <c r="S427" s="73">
        <v>690</v>
      </c>
      <c r="T427" s="74">
        <v>688</v>
      </c>
      <c r="U427" s="63">
        <f t="shared" ref="U427:U435" si="263">SUM(R427:T427)/3</f>
        <v>688.66666666666663</v>
      </c>
      <c r="V427" s="111">
        <f>SUM(689*91)</f>
        <v>62699</v>
      </c>
      <c r="W427" s="64">
        <f t="shared" ref="W427:W433" si="264">SUM(C427+D427+E427+H427+I427+J427+M427+N427+O427+R427+S427+T427)/12</f>
        <v>687.83333333333337</v>
      </c>
      <c r="X427" s="65">
        <f>688*365</f>
        <v>251120</v>
      </c>
    </row>
    <row r="428" spans="1:24" ht="15.75" x14ac:dyDescent="0.25">
      <c r="A428" s="50" t="s">
        <v>146</v>
      </c>
      <c r="B428" s="34"/>
      <c r="C428" s="75">
        <v>37</v>
      </c>
      <c r="D428" s="75">
        <v>48</v>
      </c>
      <c r="E428" s="75">
        <v>57</v>
      </c>
      <c r="F428" s="63">
        <f t="shared" ref="F428:F435" si="265">SUM(C428:E428)/3</f>
        <v>47.333333333333336</v>
      </c>
      <c r="G428" s="109">
        <f>SUM(47*92)</f>
        <v>4324</v>
      </c>
      <c r="H428" s="75">
        <v>69</v>
      </c>
      <c r="I428" s="75">
        <v>74</v>
      </c>
      <c r="J428" s="75">
        <v>68</v>
      </c>
      <c r="K428" s="63">
        <f t="shared" si="261"/>
        <v>70.333333333333329</v>
      </c>
      <c r="L428" s="109">
        <f>SUM(70*92)</f>
        <v>6440</v>
      </c>
      <c r="M428" s="75">
        <v>69</v>
      </c>
      <c r="N428" s="75">
        <v>55</v>
      </c>
      <c r="O428" s="75">
        <v>46</v>
      </c>
      <c r="P428" s="63">
        <f t="shared" si="262"/>
        <v>56.666666666666664</v>
      </c>
      <c r="Q428" s="109">
        <f>SUM(57*90)</f>
        <v>5130</v>
      </c>
      <c r="R428" s="75">
        <v>32</v>
      </c>
      <c r="S428" s="75">
        <v>22</v>
      </c>
      <c r="T428" s="76">
        <v>24</v>
      </c>
      <c r="U428" s="63">
        <f t="shared" si="263"/>
        <v>26</v>
      </c>
      <c r="V428" s="111">
        <f>SUM(26*91)</f>
        <v>2366</v>
      </c>
      <c r="W428" s="64">
        <f t="shared" si="264"/>
        <v>50.083333333333336</v>
      </c>
      <c r="X428" s="66">
        <f>50*365</f>
        <v>18250</v>
      </c>
    </row>
    <row r="429" spans="1:24" ht="15.75" x14ac:dyDescent="0.25">
      <c r="A429" s="50" t="s">
        <v>148</v>
      </c>
      <c r="B429" s="34"/>
      <c r="C429" s="75">
        <v>27</v>
      </c>
      <c r="D429" s="75">
        <v>39</v>
      </c>
      <c r="E429" s="75">
        <v>31</v>
      </c>
      <c r="F429" s="63">
        <f t="shared" si="265"/>
        <v>32.333333333333336</v>
      </c>
      <c r="G429" s="109">
        <f>SUM(32*92)</f>
        <v>2944</v>
      </c>
      <c r="H429" s="75">
        <v>42</v>
      </c>
      <c r="I429" s="75">
        <v>35</v>
      </c>
      <c r="J429" s="75">
        <v>34</v>
      </c>
      <c r="K429" s="63">
        <f t="shared" si="261"/>
        <v>37</v>
      </c>
      <c r="L429" s="109">
        <f>SUM(37*92)</f>
        <v>3404</v>
      </c>
      <c r="M429" s="75">
        <v>36</v>
      </c>
      <c r="N429" s="75">
        <v>35</v>
      </c>
      <c r="O429" s="75">
        <v>34</v>
      </c>
      <c r="P429" s="63">
        <f t="shared" si="262"/>
        <v>35</v>
      </c>
      <c r="Q429" s="109">
        <f>SUM(35*90)</f>
        <v>3150</v>
      </c>
      <c r="R429" s="75">
        <v>34</v>
      </c>
      <c r="S429" s="75">
        <v>33</v>
      </c>
      <c r="T429" s="76">
        <v>33</v>
      </c>
      <c r="U429" s="63">
        <f t="shared" si="263"/>
        <v>33.333333333333336</v>
      </c>
      <c r="V429" s="111">
        <f>SUM(33*91)</f>
        <v>3003</v>
      </c>
      <c r="W429" s="64">
        <f t="shared" si="264"/>
        <v>34.416666666666664</v>
      </c>
      <c r="X429" s="66">
        <f>34*365</f>
        <v>12410</v>
      </c>
    </row>
    <row r="430" spans="1:24" ht="15.75" x14ac:dyDescent="0.25">
      <c r="A430" s="50" t="s">
        <v>147</v>
      </c>
      <c r="B430" s="34"/>
      <c r="C430" s="75">
        <v>104</v>
      </c>
      <c r="D430" s="75">
        <v>105</v>
      </c>
      <c r="E430" s="75">
        <v>110</v>
      </c>
      <c r="F430" s="63">
        <v>107</v>
      </c>
      <c r="G430" s="109">
        <f>SUM(107*92)</f>
        <v>9844</v>
      </c>
      <c r="H430" s="75">
        <v>129</v>
      </c>
      <c r="I430" s="75">
        <v>141</v>
      </c>
      <c r="J430" s="75">
        <v>154</v>
      </c>
      <c r="K430" s="63">
        <f t="shared" si="261"/>
        <v>141.33333333333334</v>
      </c>
      <c r="L430" s="109">
        <f>SUM(141*92)</f>
        <v>12972</v>
      </c>
      <c r="M430" s="75">
        <v>167</v>
      </c>
      <c r="N430" s="75">
        <v>159</v>
      </c>
      <c r="O430" s="75">
        <v>155</v>
      </c>
      <c r="P430" s="63">
        <f t="shared" si="262"/>
        <v>160.33333333333334</v>
      </c>
      <c r="Q430" s="109">
        <f>SUM(160*90)</f>
        <v>14400</v>
      </c>
      <c r="R430" s="75">
        <v>171</v>
      </c>
      <c r="S430" s="75">
        <v>159</v>
      </c>
      <c r="T430" s="76">
        <v>136</v>
      </c>
      <c r="U430" s="63">
        <f t="shared" si="263"/>
        <v>155.33333333333334</v>
      </c>
      <c r="V430" s="111">
        <f>SUM(155*91)</f>
        <v>14105</v>
      </c>
      <c r="W430" s="64">
        <f t="shared" si="264"/>
        <v>140.83333333333334</v>
      </c>
      <c r="X430" s="66">
        <f>141*365</f>
        <v>51465</v>
      </c>
    </row>
    <row r="431" spans="1:24" ht="15.75" x14ac:dyDescent="0.25">
      <c r="A431" s="50" t="s">
        <v>149</v>
      </c>
      <c r="B431" s="34"/>
      <c r="C431" s="75">
        <v>601</v>
      </c>
      <c r="D431" s="75">
        <v>597</v>
      </c>
      <c r="E431" s="75">
        <v>621</v>
      </c>
      <c r="F431" s="63">
        <f t="shared" si="265"/>
        <v>606.33333333333337</v>
      </c>
      <c r="G431" s="109">
        <f>SUM(606*92)</f>
        <v>55752</v>
      </c>
      <c r="H431" s="75">
        <v>608</v>
      </c>
      <c r="I431" s="75">
        <v>613</v>
      </c>
      <c r="J431" s="75">
        <v>628</v>
      </c>
      <c r="K431" s="63">
        <v>617</v>
      </c>
      <c r="L431" s="109">
        <f>SUM(617*92)</f>
        <v>56764</v>
      </c>
      <c r="M431" s="75">
        <v>623</v>
      </c>
      <c r="N431" s="75">
        <v>622</v>
      </c>
      <c r="O431" s="75">
        <v>650</v>
      </c>
      <c r="P431" s="63">
        <f t="shared" si="262"/>
        <v>631.66666666666663</v>
      </c>
      <c r="Q431" s="109">
        <f>SUM(632*90)</f>
        <v>56880</v>
      </c>
      <c r="R431" s="75">
        <v>642</v>
      </c>
      <c r="S431" s="75">
        <v>637</v>
      </c>
      <c r="T431" s="76">
        <v>648</v>
      </c>
      <c r="U431" s="63">
        <f t="shared" si="263"/>
        <v>642.33333333333337</v>
      </c>
      <c r="V431" s="111">
        <f>SUM(642*91)</f>
        <v>58422</v>
      </c>
      <c r="W431" s="64">
        <f t="shared" si="264"/>
        <v>624.16666666666663</v>
      </c>
      <c r="X431" s="66">
        <f>624*365</f>
        <v>227760</v>
      </c>
    </row>
    <row r="432" spans="1:24" ht="15.75" x14ac:dyDescent="0.25">
      <c r="A432" s="50" t="s">
        <v>150</v>
      </c>
      <c r="B432" s="34"/>
      <c r="C432" s="75">
        <v>24</v>
      </c>
      <c r="D432" s="75">
        <v>24</v>
      </c>
      <c r="E432" s="75">
        <v>24</v>
      </c>
      <c r="F432" s="63">
        <f t="shared" si="265"/>
        <v>24</v>
      </c>
      <c r="G432" s="109">
        <f>SUM(24*92)</f>
        <v>2208</v>
      </c>
      <c r="H432" s="75">
        <v>23</v>
      </c>
      <c r="I432" s="75">
        <v>23</v>
      </c>
      <c r="J432" s="75">
        <v>23</v>
      </c>
      <c r="K432" s="63">
        <f t="shared" si="261"/>
        <v>23</v>
      </c>
      <c r="L432" s="109">
        <f>SUM(23*92)</f>
        <v>2116</v>
      </c>
      <c r="M432" s="75">
        <v>21</v>
      </c>
      <c r="N432" s="75">
        <v>21</v>
      </c>
      <c r="O432" s="75">
        <v>22</v>
      </c>
      <c r="P432" s="63">
        <f t="shared" si="262"/>
        <v>21.333333333333332</v>
      </c>
      <c r="Q432" s="109">
        <f>SUM(21*90)</f>
        <v>1890</v>
      </c>
      <c r="R432" s="75">
        <v>21</v>
      </c>
      <c r="S432" s="75">
        <v>22</v>
      </c>
      <c r="T432" s="76">
        <v>22</v>
      </c>
      <c r="U432" s="63">
        <f t="shared" si="263"/>
        <v>21.666666666666668</v>
      </c>
      <c r="V432" s="111">
        <f>SUM(22*91)</f>
        <v>2002</v>
      </c>
      <c r="W432" s="64">
        <f t="shared" si="264"/>
        <v>22.5</v>
      </c>
      <c r="X432" s="66">
        <f>23*365</f>
        <v>8395</v>
      </c>
    </row>
    <row r="433" spans="1:24" ht="16.5" thickBot="1" x14ac:dyDescent="0.3">
      <c r="A433" s="52" t="s">
        <v>151</v>
      </c>
      <c r="B433" s="36"/>
      <c r="C433" s="77">
        <v>101</v>
      </c>
      <c r="D433" s="77">
        <v>106</v>
      </c>
      <c r="E433" s="77">
        <v>93</v>
      </c>
      <c r="F433" s="67">
        <f t="shared" si="265"/>
        <v>100</v>
      </c>
      <c r="G433" s="110">
        <f>SUM(100*92)</f>
        <v>9200</v>
      </c>
      <c r="H433" s="77">
        <v>95</v>
      </c>
      <c r="I433" s="77">
        <v>101</v>
      </c>
      <c r="J433" s="77">
        <v>90</v>
      </c>
      <c r="K433" s="67">
        <f t="shared" si="261"/>
        <v>95.333333333333329</v>
      </c>
      <c r="L433" s="110">
        <f>SUM(95*92)</f>
        <v>8740</v>
      </c>
      <c r="M433" s="77">
        <v>84</v>
      </c>
      <c r="N433" s="77">
        <v>84</v>
      </c>
      <c r="O433" s="77">
        <v>86</v>
      </c>
      <c r="P433" s="67">
        <f t="shared" si="262"/>
        <v>84.666666666666671</v>
      </c>
      <c r="Q433" s="110">
        <f>SUM(85*90)</f>
        <v>7650</v>
      </c>
      <c r="R433" s="77">
        <v>86</v>
      </c>
      <c r="S433" s="77">
        <v>102</v>
      </c>
      <c r="T433" s="78">
        <v>100</v>
      </c>
      <c r="U433" s="67">
        <f t="shared" si="263"/>
        <v>96</v>
      </c>
      <c r="V433" s="112">
        <f>SUM(96*91)</f>
        <v>8736</v>
      </c>
      <c r="W433" s="64">
        <f t="shared" si="264"/>
        <v>94</v>
      </c>
      <c r="X433" s="79">
        <f>94*365</f>
        <v>34310</v>
      </c>
    </row>
    <row r="434" spans="1:24" ht="16.5" thickBot="1" x14ac:dyDescent="0.3">
      <c r="A434" s="53" t="s">
        <v>154</v>
      </c>
      <c r="B434" s="37"/>
      <c r="C434" s="80">
        <f>SUM(C427:C433)</f>
        <v>1580</v>
      </c>
      <c r="D434" s="80">
        <f>SUM(D427:D433)</f>
        <v>1605</v>
      </c>
      <c r="E434" s="80">
        <f>SUM(E427:E433)</f>
        <v>1539</v>
      </c>
      <c r="F434" s="68">
        <f t="shared" si="265"/>
        <v>1574.6666666666667</v>
      </c>
      <c r="G434" s="95">
        <f>SUM(G427:G433)</f>
        <v>144900</v>
      </c>
      <c r="H434" s="80">
        <f>SUM(H427:H433)</f>
        <v>1666</v>
      </c>
      <c r="I434" s="80">
        <f>SUM(I427:I433)</f>
        <v>1692</v>
      </c>
      <c r="J434" s="80">
        <f>SUM(J427:J433)</f>
        <v>1683</v>
      </c>
      <c r="K434" s="68">
        <f t="shared" si="261"/>
        <v>1680.3333333333333</v>
      </c>
      <c r="L434" s="95">
        <f>SUM(1680*92)</f>
        <v>154560</v>
      </c>
      <c r="M434" s="80">
        <f>SUM(M427:M433)</f>
        <v>1709</v>
      </c>
      <c r="N434" s="80">
        <f>SUM(N427:N433)</f>
        <v>1685</v>
      </c>
      <c r="O434" s="80">
        <f>SUM(O427:O433)</f>
        <v>1697</v>
      </c>
      <c r="P434" s="68">
        <f t="shared" si="262"/>
        <v>1697</v>
      </c>
      <c r="Q434" s="95">
        <f>SUM(1697*90)</f>
        <v>152730</v>
      </c>
      <c r="R434" s="80">
        <f>SUM(R427:R433)</f>
        <v>1674</v>
      </c>
      <c r="S434" s="80">
        <f>SUM(S427:S433)</f>
        <v>1665</v>
      </c>
      <c r="T434" s="81">
        <f>SUM(T427:T433)</f>
        <v>1651</v>
      </c>
      <c r="U434" s="68">
        <f t="shared" si="263"/>
        <v>1663.3333333333333</v>
      </c>
      <c r="V434" s="99">
        <f>SUM(1663*91)</f>
        <v>151333</v>
      </c>
      <c r="W434" s="69">
        <f>SUM(W427:W433)</f>
        <v>1653.8333333333335</v>
      </c>
      <c r="X434" s="69">
        <f>SUM(X427:X433)</f>
        <v>603710</v>
      </c>
    </row>
    <row r="435" spans="1:24" ht="16.5" thickBot="1" x14ac:dyDescent="0.3">
      <c r="A435" s="54" t="s">
        <v>158</v>
      </c>
      <c r="B435" s="38"/>
      <c r="C435" s="80">
        <f>C425+C434</f>
        <v>4524</v>
      </c>
      <c r="D435" s="80">
        <f>D425+D434</f>
        <v>4570</v>
      </c>
      <c r="E435" s="80">
        <f>E425+E434</f>
        <v>4490</v>
      </c>
      <c r="F435" s="99">
        <f t="shared" si="265"/>
        <v>4528</v>
      </c>
      <c r="G435" s="107">
        <f>SUM(G425+G434)</f>
        <v>416576</v>
      </c>
      <c r="H435" s="80">
        <f>H425+H434</f>
        <v>4637</v>
      </c>
      <c r="I435" s="80">
        <f>I425+I434</f>
        <v>4704</v>
      </c>
      <c r="J435" s="80">
        <f>J425+J434</f>
        <v>4614</v>
      </c>
      <c r="K435" s="99">
        <v>4651</v>
      </c>
      <c r="L435" s="107">
        <f>SUM(L425+L434)</f>
        <v>427892</v>
      </c>
      <c r="M435" s="80">
        <f>M425+M434</f>
        <v>4696</v>
      </c>
      <c r="N435" s="80">
        <f>N425+N434</f>
        <v>4771</v>
      </c>
      <c r="O435" s="80">
        <f>O425+O434</f>
        <v>4748.26</v>
      </c>
      <c r="P435" s="99">
        <f t="shared" si="262"/>
        <v>4738.42</v>
      </c>
      <c r="Q435" s="107">
        <f>SUM(Q425+Q434)</f>
        <v>426420</v>
      </c>
      <c r="R435" s="80">
        <f>R425+R434</f>
        <v>4718</v>
      </c>
      <c r="S435" s="80">
        <f>S425+S434</f>
        <v>4716.38</v>
      </c>
      <c r="T435" s="81">
        <f>T425+T434</f>
        <v>4711.2999999999993</v>
      </c>
      <c r="U435" s="99">
        <f t="shared" si="263"/>
        <v>4715.2266666666665</v>
      </c>
      <c r="V435" s="68">
        <f>SUM(V425+V434)</f>
        <v>429065</v>
      </c>
      <c r="W435" s="80">
        <f>W425+W434</f>
        <v>4658.3283333333338</v>
      </c>
      <c r="X435" s="82">
        <f>X425+X434</f>
        <v>1700170</v>
      </c>
    </row>
    <row r="436" spans="1:24" ht="14.25" x14ac:dyDescent="0.2">
      <c r="C436" s="13"/>
      <c r="D436" s="13"/>
      <c r="E436" s="13"/>
      <c r="F436" s="13"/>
      <c r="G436" s="13"/>
      <c r="H436" s="13"/>
      <c r="I436" s="13"/>
      <c r="J436" s="13"/>
      <c r="K436" s="13"/>
      <c r="L436" s="13"/>
      <c r="M436" s="13"/>
      <c r="N436" s="13"/>
      <c r="O436" s="13"/>
      <c r="P436" s="13"/>
      <c r="Q436" s="13"/>
      <c r="R436" s="13"/>
      <c r="S436" s="13"/>
      <c r="T436" s="13"/>
      <c r="U436" s="13"/>
      <c r="V436" s="13"/>
      <c r="W436" s="13"/>
      <c r="X436" s="13"/>
    </row>
    <row r="437" spans="1:24" ht="14.25" x14ac:dyDescent="0.2">
      <c r="C437" s="13"/>
      <c r="D437" s="13"/>
      <c r="E437" s="13"/>
      <c r="F437" s="13"/>
      <c r="G437" s="13"/>
      <c r="H437" s="13"/>
      <c r="I437" s="13"/>
      <c r="J437" s="13"/>
      <c r="K437" s="13"/>
      <c r="L437" s="13"/>
      <c r="M437" s="13"/>
      <c r="N437" s="13"/>
      <c r="O437" s="13"/>
      <c r="P437" s="13"/>
      <c r="Q437" s="13"/>
      <c r="R437" s="13"/>
      <c r="S437" s="13"/>
      <c r="T437" s="13"/>
      <c r="U437" s="13"/>
      <c r="V437" s="13"/>
      <c r="W437" s="13"/>
      <c r="X437" s="13"/>
    </row>
  </sheetData>
  <mergeCells count="156">
    <mergeCell ref="X3:X4"/>
    <mergeCell ref="Y3:Y4"/>
    <mergeCell ref="B2:U2"/>
    <mergeCell ref="G3:G4"/>
    <mergeCell ref="H3:H4"/>
    <mergeCell ref="L3:L4"/>
    <mergeCell ref="M3:M4"/>
    <mergeCell ref="Q3:Q4"/>
    <mergeCell ref="R3:R4"/>
    <mergeCell ref="C3:C4"/>
    <mergeCell ref="V3:V4"/>
    <mergeCell ref="W3:W4"/>
    <mergeCell ref="B38:T38"/>
    <mergeCell ref="F39:F40"/>
    <mergeCell ref="G39:G40"/>
    <mergeCell ref="K39:K40"/>
    <mergeCell ref="L39:L40"/>
    <mergeCell ref="P39:P40"/>
    <mergeCell ref="Q39:Q40"/>
    <mergeCell ref="U73:U74"/>
    <mergeCell ref="V73:V74"/>
    <mergeCell ref="B72:T72"/>
    <mergeCell ref="F73:F74"/>
    <mergeCell ref="G73:G74"/>
    <mergeCell ref="K73:K74"/>
    <mergeCell ref="L73:L74"/>
    <mergeCell ref="U39:U40"/>
    <mergeCell ref="V39:V40"/>
    <mergeCell ref="W39:W40"/>
    <mergeCell ref="X39:X40"/>
    <mergeCell ref="U104:U105"/>
    <mergeCell ref="V104:V105"/>
    <mergeCell ref="W104:W105"/>
    <mergeCell ref="X104:X105"/>
    <mergeCell ref="Q104:Q105"/>
    <mergeCell ref="B135:T135"/>
    <mergeCell ref="P73:P74"/>
    <mergeCell ref="Q73:Q74"/>
    <mergeCell ref="B103:T103"/>
    <mergeCell ref="F104:F105"/>
    <mergeCell ref="G104:G105"/>
    <mergeCell ref="K104:K105"/>
    <mergeCell ref="L104:L105"/>
    <mergeCell ref="P104:P105"/>
    <mergeCell ref="W73:W74"/>
    <mergeCell ref="X73:X74"/>
    <mergeCell ref="X315:X316"/>
    <mergeCell ref="X345:X346"/>
    <mergeCell ref="X195:X196"/>
    <mergeCell ref="W285:W286"/>
    <mergeCell ref="W315:W316"/>
    <mergeCell ref="X225:X226"/>
    <mergeCell ref="F136:F137"/>
    <mergeCell ref="G136:G137"/>
    <mergeCell ref="K136:K137"/>
    <mergeCell ref="L136:L137"/>
    <mergeCell ref="P136:P137"/>
    <mergeCell ref="Q136:Q137"/>
    <mergeCell ref="W255:W256"/>
    <mergeCell ref="W195:W196"/>
    <mergeCell ref="W225:W226"/>
    <mergeCell ref="V285:V286"/>
    <mergeCell ref="B314:T314"/>
    <mergeCell ref="W136:W137"/>
    <mergeCell ref="X136:X137"/>
    <mergeCell ref="X165:X166"/>
    <mergeCell ref="U136:U137"/>
    <mergeCell ref="V136:V137"/>
    <mergeCell ref="U195:U196"/>
    <mergeCell ref="K195:K196"/>
    <mergeCell ref="W345:W346"/>
    <mergeCell ref="K345:K346"/>
    <mergeCell ref="L345:L346"/>
    <mergeCell ref="P345:P346"/>
    <mergeCell ref="B375:T375"/>
    <mergeCell ref="F345:F346"/>
    <mergeCell ref="V345:V346"/>
    <mergeCell ref="L255:L256"/>
    <mergeCell ref="B254:T254"/>
    <mergeCell ref="G255:G256"/>
    <mergeCell ref="K255:K256"/>
    <mergeCell ref="P255:P256"/>
    <mergeCell ref="X255:X256"/>
    <mergeCell ref="V315:V316"/>
    <mergeCell ref="V410:V411"/>
    <mergeCell ref="Q410:Q411"/>
    <mergeCell ref="L410:L411"/>
    <mergeCell ref="W410:W411"/>
    <mergeCell ref="W379:W380"/>
    <mergeCell ref="B409:U409"/>
    <mergeCell ref="B344:T344"/>
    <mergeCell ref="F379:F380"/>
    <mergeCell ref="U285:U286"/>
    <mergeCell ref="X410:X411"/>
    <mergeCell ref="G379:G380"/>
    <mergeCell ref="F255:F256"/>
    <mergeCell ref="U315:U316"/>
    <mergeCell ref="G315:G316"/>
    <mergeCell ref="X379:X380"/>
    <mergeCell ref="V379:V380"/>
    <mergeCell ref="X285:X286"/>
    <mergeCell ref="B284:T284"/>
    <mergeCell ref="F285:F286"/>
    <mergeCell ref="G285:G286"/>
    <mergeCell ref="K285:K286"/>
    <mergeCell ref="F410:F411"/>
    <mergeCell ref="K410:K411"/>
    <mergeCell ref="P410:P411"/>
    <mergeCell ref="U410:U411"/>
    <mergeCell ref="G410:G411"/>
    <mergeCell ref="Q285:Q286"/>
    <mergeCell ref="F315:F316"/>
    <mergeCell ref="Q315:Q316"/>
    <mergeCell ref="G345:G346"/>
    <mergeCell ref="L315:L316"/>
    <mergeCell ref="K379:K380"/>
    <mergeCell ref="P379:P380"/>
    <mergeCell ref="U379:U380"/>
    <mergeCell ref="L379:L380"/>
    <mergeCell ref="Q379:Q380"/>
    <mergeCell ref="Q345:Q346"/>
    <mergeCell ref="F376:F377"/>
    <mergeCell ref="U345:U346"/>
    <mergeCell ref="L285:L286"/>
    <mergeCell ref="P285:P286"/>
    <mergeCell ref="P315:P316"/>
    <mergeCell ref="K315:K316"/>
    <mergeCell ref="W165:W166"/>
    <mergeCell ref="V225:V226"/>
    <mergeCell ref="Q225:Q226"/>
    <mergeCell ref="B194:T194"/>
    <mergeCell ref="G195:G196"/>
    <mergeCell ref="L225:L226"/>
    <mergeCell ref="B224:T224"/>
    <mergeCell ref="F225:F226"/>
    <mergeCell ref="G225:G226"/>
    <mergeCell ref="K225:K226"/>
    <mergeCell ref="U225:U226"/>
    <mergeCell ref="L195:L196"/>
    <mergeCell ref="F195:F196"/>
    <mergeCell ref="P195:P196"/>
    <mergeCell ref="P225:P226"/>
    <mergeCell ref="B164:T164"/>
    <mergeCell ref="F165:F166"/>
    <mergeCell ref="G165:G166"/>
    <mergeCell ref="K165:K166"/>
    <mergeCell ref="L165:L166"/>
    <mergeCell ref="P165:P166"/>
    <mergeCell ref="Q165:Q166"/>
    <mergeCell ref="V195:V196"/>
    <mergeCell ref="V255:V256"/>
    <mergeCell ref="Q255:Q256"/>
    <mergeCell ref="U165:U166"/>
    <mergeCell ref="V165:V166"/>
    <mergeCell ref="Q195:Q196"/>
    <mergeCell ref="U255:U256"/>
  </mergeCells>
  <phoneticPr fontId="19" type="noConversion"/>
  <printOptions horizontalCentered="1"/>
  <pageMargins left="0" right="0" top="0.97" bottom="0.5" header="0.33" footer="0.5"/>
  <pageSetup scale="52" fitToHeight="0"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O75"/>
  <sheetViews>
    <sheetView showGridLines="0" workbookViewId="0">
      <selection activeCell="R13" sqref="R13"/>
    </sheetView>
  </sheetViews>
  <sheetFormatPr defaultColWidth="9.140625" defaultRowHeight="15" x14ac:dyDescent="0.25"/>
  <cols>
    <col min="1" max="1" width="30.140625" style="206" customWidth="1"/>
    <col min="2" max="2" width="7.140625" style="206" bestFit="1" customWidth="1"/>
    <col min="3" max="3" width="8" style="206" bestFit="1" customWidth="1"/>
    <col min="4" max="4" width="8.140625" style="206" bestFit="1" customWidth="1"/>
    <col min="5" max="5" width="7.7109375" style="206" bestFit="1" customWidth="1"/>
    <col min="6" max="6" width="8.28515625" style="206" bestFit="1" customWidth="1"/>
    <col min="7" max="7" width="8.85546875" style="206" customWidth="1"/>
    <col min="8" max="8" width="7.7109375" style="206" bestFit="1" customWidth="1"/>
    <col min="9" max="10" width="8" style="206" bestFit="1" customWidth="1"/>
    <col min="11" max="11" width="8.42578125" style="206" bestFit="1" customWidth="1"/>
    <col min="12" max="12" width="8.28515625" style="206" bestFit="1" customWidth="1"/>
    <col min="13" max="13" width="8.140625" style="206" bestFit="1" customWidth="1"/>
    <col min="14" max="14" width="15.140625" style="206" customWidth="1"/>
    <col min="15" max="15" width="11.85546875" style="206" customWidth="1"/>
    <col min="16" max="16384" width="9.140625" style="206"/>
  </cols>
  <sheetData>
    <row r="1" spans="1:15" ht="31.5" customHeight="1" thickBot="1" x14ac:dyDescent="0.3">
      <c r="A1" s="493" t="s">
        <v>248</v>
      </c>
      <c r="B1" s="1189" t="s">
        <v>700</v>
      </c>
      <c r="C1" s="1190"/>
      <c r="D1" s="1190"/>
      <c r="E1" s="1190"/>
      <c r="F1" s="1190"/>
      <c r="G1" s="1190"/>
      <c r="H1" s="1190"/>
      <c r="I1" s="1190"/>
      <c r="J1" s="1190"/>
      <c r="K1" s="1190"/>
      <c r="L1" s="1190"/>
      <c r="M1" s="1191"/>
      <c r="N1" s="1181" t="s">
        <v>289</v>
      </c>
      <c r="O1" s="1176" t="s">
        <v>290</v>
      </c>
    </row>
    <row r="2" spans="1:15" ht="15.75" thickBot="1" x14ac:dyDescent="0.3">
      <c r="A2" s="494"/>
      <c r="B2" s="495">
        <v>42194</v>
      </c>
      <c r="C2" s="495">
        <v>42225</v>
      </c>
      <c r="D2" s="495">
        <v>42256</v>
      </c>
      <c r="E2" s="495">
        <v>42286</v>
      </c>
      <c r="F2" s="495">
        <v>42317</v>
      </c>
      <c r="G2" s="495">
        <v>42347</v>
      </c>
      <c r="H2" s="495">
        <v>42378</v>
      </c>
      <c r="I2" s="495">
        <v>42409</v>
      </c>
      <c r="J2" s="495">
        <v>42438</v>
      </c>
      <c r="K2" s="495">
        <v>42469</v>
      </c>
      <c r="L2" s="495">
        <v>42499</v>
      </c>
      <c r="M2" s="495">
        <v>42530</v>
      </c>
      <c r="N2" s="1183"/>
      <c r="O2" s="1183"/>
    </row>
    <row r="3" spans="1:15" x14ac:dyDescent="0.25">
      <c r="A3" s="489" t="s">
        <v>288</v>
      </c>
      <c r="B3" s="503">
        <f>'Qtrly''s-Cntsht Book'!D21</f>
        <v>672.81</v>
      </c>
      <c r="C3" s="503">
        <f>'Qtrly''s-Cntsht Book'!E21</f>
        <v>677.1</v>
      </c>
      <c r="D3" s="503">
        <f>'Qtrly''s-Cntsht Book'!F21</f>
        <v>681.9</v>
      </c>
      <c r="E3" s="503">
        <f>'Qtrly''s-Cntsht Book'!I21</f>
        <v>648</v>
      </c>
      <c r="F3" s="503">
        <f>'Qtrly''s-Cntsht Book'!J21</f>
        <v>633.63</v>
      </c>
      <c r="G3" s="503">
        <f>'Qtrly''s-Cntsht Book'!K21</f>
        <v>647.29</v>
      </c>
      <c r="H3" s="503">
        <f>'Qtrly''s-Cntsht Book'!N21</f>
        <v>625.64</v>
      </c>
      <c r="I3" s="503">
        <f>'Qtrly''s-Cntsht Book'!O21</f>
        <v>607.83000000000004</v>
      </c>
      <c r="J3" s="503">
        <f>'Qtrly''s-Cntsht Book'!P21</f>
        <v>650</v>
      </c>
      <c r="K3" s="503">
        <f>'Qtrly''s-Cntsht Book'!S21</f>
        <v>627.20000000000005</v>
      </c>
      <c r="L3" s="503">
        <f>'Qtrly''s-Cntsht Book'!T21</f>
        <v>587.65</v>
      </c>
      <c r="M3" s="503">
        <f>'Qtrly''s-Cntsht Book'!U21</f>
        <v>561.73</v>
      </c>
      <c r="N3" s="498">
        <f>SUM(B3:M3)/12</f>
        <v>635.06499999999994</v>
      </c>
      <c r="O3" s="499">
        <f>'Qtrly''s-Cntsht Book'!Y21</f>
        <v>231798.72499999998</v>
      </c>
    </row>
    <row r="4" spans="1:15" ht="15.75" thickBot="1" x14ac:dyDescent="0.3"/>
    <row r="5" spans="1:15" ht="31.5" customHeight="1" thickBot="1" x14ac:dyDescent="0.3">
      <c r="A5" s="493" t="s">
        <v>248</v>
      </c>
      <c r="B5" s="1189" t="s">
        <v>616</v>
      </c>
      <c r="C5" s="1190"/>
      <c r="D5" s="1190"/>
      <c r="E5" s="1190"/>
      <c r="F5" s="1190"/>
      <c r="G5" s="1190"/>
      <c r="H5" s="1190"/>
      <c r="I5" s="1190"/>
      <c r="J5" s="1190"/>
      <c r="K5" s="1190"/>
      <c r="L5" s="1190"/>
      <c r="M5" s="1191"/>
      <c r="N5" s="1181" t="s">
        <v>289</v>
      </c>
      <c r="O5" s="1176" t="s">
        <v>290</v>
      </c>
    </row>
    <row r="6" spans="1:15" ht="15.75" thickBot="1" x14ac:dyDescent="0.3">
      <c r="A6" s="494"/>
      <c r="B6" s="495">
        <v>41829</v>
      </c>
      <c r="C6" s="495">
        <v>41860</v>
      </c>
      <c r="D6" s="495">
        <v>41891</v>
      </c>
      <c r="E6" s="495">
        <v>41921</v>
      </c>
      <c r="F6" s="495">
        <v>41952</v>
      </c>
      <c r="G6" s="495">
        <v>41982</v>
      </c>
      <c r="H6" s="495">
        <v>42013</v>
      </c>
      <c r="I6" s="495">
        <v>42044</v>
      </c>
      <c r="J6" s="495">
        <v>42072</v>
      </c>
      <c r="K6" s="495">
        <v>42103</v>
      </c>
      <c r="L6" s="495">
        <v>42133</v>
      </c>
      <c r="M6" s="495">
        <v>42164</v>
      </c>
      <c r="N6" s="1183"/>
      <c r="O6" s="1183"/>
    </row>
    <row r="7" spans="1:15" x14ac:dyDescent="0.25">
      <c r="A7" s="489" t="s">
        <v>288</v>
      </c>
      <c r="B7" s="503">
        <f>'Qtrly''s-Cntsht Book'!C57</f>
        <v>739.16</v>
      </c>
      <c r="C7" s="503">
        <f>'Qtrly''s-Cntsht Book'!D57</f>
        <v>734</v>
      </c>
      <c r="D7" s="503">
        <f>'Qtrly''s-Cntsht Book'!E57</f>
        <v>727.13</v>
      </c>
      <c r="E7" s="503">
        <f>'Qtrly''s-Cntsht Book'!H57</f>
        <v>708.87</v>
      </c>
      <c r="F7" s="503">
        <f>'Qtrly''s-Cntsht Book'!I57</f>
        <v>686.93</v>
      </c>
      <c r="G7" s="503">
        <f>'Qtrly''s-Cntsht Book'!J57</f>
        <v>643</v>
      </c>
      <c r="H7" s="503">
        <f>'Qtrly''s-Cntsht Book'!M57</f>
        <v>633.03</v>
      </c>
      <c r="I7" s="503">
        <f>'Qtrly''s-Cntsht Book'!N57</f>
        <v>647</v>
      </c>
      <c r="J7" s="503">
        <f>'Qtrly''s-Cntsht Book'!O57</f>
        <v>708.84</v>
      </c>
      <c r="K7" s="503">
        <f>'Qtrly''s-Cntsht Book'!R57</f>
        <v>694.6</v>
      </c>
      <c r="L7" s="503">
        <f>'Qtrly''s-Cntsht Book'!S57</f>
        <v>682.87</v>
      </c>
      <c r="M7" s="503">
        <f>'Qtrly''s-Cntsht Book'!T57</f>
        <v>683.07</v>
      </c>
      <c r="N7" s="498">
        <f>SUM(B7:M7)/12</f>
        <v>690.70833333333337</v>
      </c>
      <c r="O7" s="499">
        <f>'Qtrly''s-Cntsht Book'!X57</f>
        <v>252108.54166666669</v>
      </c>
    </row>
    <row r="8" spans="1:15" ht="15.75" thickBot="1" x14ac:dyDescent="0.3">
      <c r="A8" s="694"/>
      <c r="B8" s="501"/>
      <c r="C8" s="501"/>
      <c r="D8" s="501"/>
      <c r="E8" s="501"/>
      <c r="F8" s="501"/>
      <c r="G8" s="501"/>
      <c r="H8" s="501"/>
      <c r="I8" s="501"/>
      <c r="J8" s="501"/>
      <c r="K8" s="501"/>
      <c r="L8" s="501"/>
      <c r="M8" s="501"/>
      <c r="N8" s="509"/>
      <c r="O8" s="510"/>
    </row>
    <row r="9" spans="1:15" ht="31.5" customHeight="1" thickBot="1" x14ac:dyDescent="0.3">
      <c r="A9" s="493" t="s">
        <v>248</v>
      </c>
      <c r="B9" s="1185" t="s">
        <v>570</v>
      </c>
      <c r="C9" s="1186"/>
      <c r="D9" s="1186"/>
      <c r="E9" s="1186"/>
      <c r="F9" s="1186"/>
      <c r="G9" s="1186"/>
      <c r="H9" s="1186"/>
      <c r="I9" s="1186"/>
      <c r="J9" s="1186"/>
      <c r="K9" s="1186"/>
      <c r="L9" s="1186"/>
      <c r="M9" s="1187"/>
      <c r="N9" s="1181" t="s">
        <v>289</v>
      </c>
      <c r="O9" s="1176" t="s">
        <v>290</v>
      </c>
    </row>
    <row r="10" spans="1:15" ht="15.75" thickBot="1" x14ac:dyDescent="0.3">
      <c r="A10" s="494"/>
      <c r="B10" s="495">
        <v>41464</v>
      </c>
      <c r="C10" s="495">
        <v>41495</v>
      </c>
      <c r="D10" s="495">
        <v>41526</v>
      </c>
      <c r="E10" s="495">
        <v>41556</v>
      </c>
      <c r="F10" s="495">
        <v>41587</v>
      </c>
      <c r="G10" s="495">
        <v>41617</v>
      </c>
      <c r="H10" s="495">
        <v>41648</v>
      </c>
      <c r="I10" s="495">
        <v>41679</v>
      </c>
      <c r="J10" s="495">
        <v>41707</v>
      </c>
      <c r="K10" s="495">
        <v>41738</v>
      </c>
      <c r="L10" s="495">
        <v>41768</v>
      </c>
      <c r="M10" s="495">
        <v>41799</v>
      </c>
      <c r="N10" s="1183"/>
      <c r="O10" s="1183"/>
    </row>
    <row r="11" spans="1:15" x14ac:dyDescent="0.25">
      <c r="A11" s="489" t="s">
        <v>288</v>
      </c>
      <c r="B11" s="503">
        <f>'Qtrly''s-Cntsht Book'!C91</f>
        <v>779.06</v>
      </c>
      <c r="C11" s="503">
        <f>'Qtrly''s-Cntsht Book'!D91</f>
        <v>776.29</v>
      </c>
      <c r="D11" s="503">
        <f>'Qtrly''s-Cntsht Book'!E91</f>
        <v>789.97</v>
      </c>
      <c r="E11" s="503">
        <f>'Qtrly''s-Cntsht Book'!H91</f>
        <v>756.94</v>
      </c>
      <c r="F11" s="503">
        <f>'Qtrly''s-Cntsht Book'!I91</f>
        <v>766.6</v>
      </c>
      <c r="G11" s="503">
        <f>'Qtrly''s-Cntsht Book'!J91</f>
        <v>741.45</v>
      </c>
      <c r="H11" s="503">
        <f>'Qtrly''s-Cntsht Book'!M91</f>
        <v>742.32</v>
      </c>
      <c r="I11" s="503">
        <f>'Qtrly''s-Cntsht Book'!N91</f>
        <v>764</v>
      </c>
      <c r="J11" s="503">
        <f>'Qtrly''s-Cntsht Book'!O91</f>
        <v>776.68</v>
      </c>
      <c r="K11" s="503">
        <f>'Qtrly''s-Cntsht Book'!R91</f>
        <v>753.07</v>
      </c>
      <c r="L11" s="503">
        <f>'Qtrly''s-Cntsht Book'!S91</f>
        <v>741.45</v>
      </c>
      <c r="M11" s="503">
        <f>'Qtrly''s-Cntsht Book'!T91</f>
        <v>739.17</v>
      </c>
      <c r="N11" s="498">
        <f>SUM(B11:M11)/12</f>
        <v>760.58333333333337</v>
      </c>
      <c r="O11" s="499">
        <f>'Qtrly''s-Cntsht Book'!X91</f>
        <v>277612.91666666669</v>
      </c>
    </row>
    <row r="12" spans="1:15" ht="15.75" thickBot="1" x14ac:dyDescent="0.3">
      <c r="A12" s="694"/>
      <c r="B12" s="501"/>
      <c r="C12" s="501"/>
      <c r="D12" s="501"/>
      <c r="E12" s="501"/>
      <c r="F12" s="501"/>
      <c r="G12" s="501"/>
      <c r="H12" s="501"/>
      <c r="I12" s="501"/>
      <c r="J12" s="501"/>
      <c r="K12" s="501"/>
      <c r="L12" s="501"/>
      <c r="M12" s="501"/>
      <c r="N12" s="509"/>
      <c r="O12" s="510"/>
    </row>
    <row r="13" spans="1:15" ht="31.5" customHeight="1" thickBot="1" x14ac:dyDescent="0.3">
      <c r="A13" s="493" t="s">
        <v>248</v>
      </c>
      <c r="B13" s="1189" t="s">
        <v>516</v>
      </c>
      <c r="C13" s="1190"/>
      <c r="D13" s="1190"/>
      <c r="E13" s="1190"/>
      <c r="F13" s="1190"/>
      <c r="G13" s="1190"/>
      <c r="H13" s="1190"/>
      <c r="I13" s="1190"/>
      <c r="J13" s="1190"/>
      <c r="K13" s="1190"/>
      <c r="L13" s="1190"/>
      <c r="M13" s="1191"/>
      <c r="N13" s="1181" t="s">
        <v>289</v>
      </c>
      <c r="O13" s="1176" t="s">
        <v>290</v>
      </c>
    </row>
    <row r="14" spans="1:15" ht="15.75" thickBot="1" x14ac:dyDescent="0.3">
      <c r="A14" s="494"/>
      <c r="B14" s="495">
        <v>41099</v>
      </c>
      <c r="C14" s="495">
        <v>41130</v>
      </c>
      <c r="D14" s="495">
        <v>41161</v>
      </c>
      <c r="E14" s="495">
        <v>41191</v>
      </c>
      <c r="F14" s="495">
        <v>41222</v>
      </c>
      <c r="G14" s="495">
        <v>41252</v>
      </c>
      <c r="H14" s="495">
        <v>41283</v>
      </c>
      <c r="I14" s="495">
        <v>41314</v>
      </c>
      <c r="J14" s="495">
        <v>41342</v>
      </c>
      <c r="K14" s="495">
        <v>41373</v>
      </c>
      <c r="L14" s="495">
        <v>41403</v>
      </c>
      <c r="M14" s="495">
        <v>41434</v>
      </c>
      <c r="N14" s="1183"/>
      <c r="O14" s="1183"/>
    </row>
    <row r="15" spans="1:15" x14ac:dyDescent="0.25">
      <c r="A15" s="489" t="s">
        <v>288</v>
      </c>
      <c r="B15" s="503">
        <f>'Qtrly''s-Cntsht Book'!C122</f>
        <v>750.68</v>
      </c>
      <c r="C15" s="503">
        <f>'Qtrly''s-Cntsht Book'!D122</f>
        <v>754.87</v>
      </c>
      <c r="D15" s="503">
        <f>'Qtrly''s-Cntsht Book'!E122</f>
        <v>733.8</v>
      </c>
      <c r="E15" s="503">
        <f>'Qtrly''s-Cntsht Book'!H122</f>
        <v>732.16</v>
      </c>
      <c r="F15" s="503">
        <f>'Qtrly''s-Cntsht Book'!I122</f>
        <v>769.5</v>
      </c>
      <c r="G15" s="503">
        <f>'Qtrly''s-Cntsht Book'!J122</f>
        <v>753</v>
      </c>
      <c r="H15" s="503">
        <f>'Qtrly''s-Cntsht Book'!M122</f>
        <v>762.26</v>
      </c>
      <c r="I15" s="503">
        <f>'Qtrly''s-Cntsht Book'!N122</f>
        <v>778.68</v>
      </c>
      <c r="J15" s="503">
        <f>'Qtrly''s-Cntsht Book'!O122</f>
        <v>781.61</v>
      </c>
      <c r="K15" s="503">
        <f>'Qtrly''s-Cntsht Book'!R122</f>
        <v>765.3</v>
      </c>
      <c r="L15" s="503">
        <f>'Qtrly''s-Cntsht Book'!S122</f>
        <v>756.16</v>
      </c>
      <c r="M15" s="503">
        <f>'Qtrly''s-Cntsht Book'!T122</f>
        <v>771.93</v>
      </c>
      <c r="N15" s="498">
        <f>SUM(B15:M15)/12</f>
        <v>759.16250000000002</v>
      </c>
      <c r="O15" s="499">
        <f>'Qtrly''s-Cntsht Book'!X122</f>
        <v>277094.3125</v>
      </c>
    </row>
    <row r="16" spans="1:15" ht="15.75" thickBot="1" x14ac:dyDescent="0.3"/>
    <row r="17" spans="1:15" ht="31.5" customHeight="1" thickBot="1" x14ac:dyDescent="0.3">
      <c r="A17" s="493" t="s">
        <v>248</v>
      </c>
      <c r="B17" s="1185" t="s">
        <v>477</v>
      </c>
      <c r="C17" s="1186"/>
      <c r="D17" s="1186"/>
      <c r="E17" s="1186"/>
      <c r="F17" s="1186"/>
      <c r="G17" s="1186"/>
      <c r="H17" s="1186"/>
      <c r="I17" s="1186"/>
      <c r="J17" s="1186"/>
      <c r="K17" s="1186"/>
      <c r="L17" s="1186"/>
      <c r="M17" s="1187"/>
      <c r="N17" s="1181" t="s">
        <v>289</v>
      </c>
      <c r="O17" s="1176" t="s">
        <v>290</v>
      </c>
    </row>
    <row r="18" spans="1:15" ht="15.75" thickBot="1" x14ac:dyDescent="0.3">
      <c r="A18" s="494"/>
      <c r="B18" s="495">
        <v>40733</v>
      </c>
      <c r="C18" s="495">
        <v>40764</v>
      </c>
      <c r="D18" s="495">
        <v>40795</v>
      </c>
      <c r="E18" s="495">
        <v>40825</v>
      </c>
      <c r="F18" s="495">
        <v>40856</v>
      </c>
      <c r="G18" s="495">
        <v>40886</v>
      </c>
      <c r="H18" s="495">
        <v>40917</v>
      </c>
      <c r="I18" s="495">
        <v>40948</v>
      </c>
      <c r="J18" s="495">
        <v>40977</v>
      </c>
      <c r="K18" s="495">
        <v>41008</v>
      </c>
      <c r="L18" s="495">
        <v>41038</v>
      </c>
      <c r="M18" s="495">
        <v>41069</v>
      </c>
      <c r="N18" s="1183"/>
      <c r="O18" s="1183"/>
    </row>
    <row r="19" spans="1:15" x14ac:dyDescent="0.25">
      <c r="A19" s="489" t="s">
        <v>288</v>
      </c>
      <c r="B19" s="503">
        <f>'Qtrly''s-Cntsht Book'!C154</f>
        <v>740</v>
      </c>
      <c r="C19" s="503">
        <f>'Qtrly''s-Cntsht Book'!D154</f>
        <v>749.84</v>
      </c>
      <c r="D19" s="503">
        <f>'Qtrly''s-Cntsht Book'!E154</f>
        <v>737.57</v>
      </c>
      <c r="E19" s="503">
        <f>'Qtrly''s-Cntsht Book'!H154</f>
        <v>743</v>
      </c>
      <c r="F19" s="503">
        <f>'Qtrly''s-Cntsht Book'!I154</f>
        <v>733.03</v>
      </c>
      <c r="G19" s="503">
        <f>'Qtrly''s-Cntsht Book'!J154</f>
        <v>738</v>
      </c>
      <c r="H19" s="503">
        <f>'Qtrly''s-Cntsht Book'!M154</f>
        <v>727.32</v>
      </c>
      <c r="I19" s="503">
        <f>'Qtrly''s-Cntsht Book'!N154</f>
        <v>744.34</v>
      </c>
      <c r="J19" s="503">
        <f>'Qtrly''s-Cntsht Book'!O154</f>
        <v>748.45</v>
      </c>
      <c r="K19" s="503">
        <f>'Qtrly''s-Cntsht Book'!R154</f>
        <v>744.97</v>
      </c>
      <c r="L19" s="503">
        <f>'Qtrly''s-Cntsht Book'!S154</f>
        <v>744.97</v>
      </c>
      <c r="M19" s="503">
        <f>'Qtrly''s-Cntsht Book'!T154</f>
        <v>740.87</v>
      </c>
      <c r="N19" s="498">
        <f>SUM(B19:M19)/12</f>
        <v>741.03000000000009</v>
      </c>
      <c r="O19" s="499">
        <f>'Qtrly''s-Cntsht Book'!X154</f>
        <v>271216.98000000004</v>
      </c>
    </row>
    <row r="20" spans="1:15" ht="15.75" thickBot="1" x14ac:dyDescent="0.3">
      <c r="A20" s="500"/>
      <c r="B20" s="501"/>
      <c r="C20" s="501"/>
      <c r="D20" s="501"/>
      <c r="E20" s="501"/>
      <c r="F20" s="501"/>
      <c r="G20" s="501"/>
      <c r="H20" s="501"/>
      <c r="I20" s="501"/>
      <c r="J20" s="501"/>
      <c r="K20" s="501"/>
      <c r="L20" s="501"/>
      <c r="M20" s="501"/>
      <c r="N20" s="509"/>
      <c r="O20" s="510"/>
    </row>
    <row r="21" spans="1:15" ht="31.5" customHeight="1" thickBot="1" x14ac:dyDescent="0.3">
      <c r="A21" s="493" t="s">
        <v>248</v>
      </c>
      <c r="B21" s="1189" t="s">
        <v>571</v>
      </c>
      <c r="C21" s="1190"/>
      <c r="D21" s="1190"/>
      <c r="E21" s="1190"/>
      <c r="F21" s="1190"/>
      <c r="G21" s="1190"/>
      <c r="H21" s="1190"/>
      <c r="I21" s="1190"/>
      <c r="J21" s="1190"/>
      <c r="K21" s="1190"/>
      <c r="L21" s="1190"/>
      <c r="M21" s="1191"/>
      <c r="N21" s="1181" t="s">
        <v>289</v>
      </c>
      <c r="O21" s="1176" t="s">
        <v>290</v>
      </c>
    </row>
    <row r="22" spans="1:15" ht="15.75" thickBot="1" x14ac:dyDescent="0.3">
      <c r="A22" s="494"/>
      <c r="B22" s="495">
        <v>40368</v>
      </c>
      <c r="C22" s="495">
        <v>40399</v>
      </c>
      <c r="D22" s="495">
        <v>40430</v>
      </c>
      <c r="E22" s="495">
        <v>40460</v>
      </c>
      <c r="F22" s="495">
        <v>40491</v>
      </c>
      <c r="G22" s="495">
        <v>40521</v>
      </c>
      <c r="H22" s="495">
        <v>40552</v>
      </c>
      <c r="I22" s="495">
        <v>40583</v>
      </c>
      <c r="J22" s="495">
        <v>40611</v>
      </c>
      <c r="K22" s="495">
        <v>40642</v>
      </c>
      <c r="L22" s="495">
        <v>40672</v>
      </c>
      <c r="M22" s="495">
        <v>40703</v>
      </c>
      <c r="N22" s="1183"/>
      <c r="O22" s="1183"/>
    </row>
    <row r="23" spans="1:15" x14ac:dyDescent="0.25">
      <c r="A23" s="489" t="s">
        <v>288</v>
      </c>
      <c r="B23" s="503">
        <f>'Qtrly''s-Cntsht Book'!C183</f>
        <v>734.97</v>
      </c>
      <c r="C23" s="503">
        <f>'Qtrly''s-Cntsht Book'!D183</f>
        <v>733.74</v>
      </c>
      <c r="D23" s="503">
        <f>'Qtrly''s-Cntsht Book'!E183</f>
        <v>732.27</v>
      </c>
      <c r="E23" s="503">
        <f>'Qtrly''s-Cntsht Book'!H183</f>
        <v>737.87</v>
      </c>
      <c r="F23" s="503">
        <f>'Qtrly''s-Cntsht Book'!I183</f>
        <v>714</v>
      </c>
      <c r="G23" s="503">
        <f>'Qtrly''s-Cntsht Book'!J183</f>
        <v>713.77</v>
      </c>
      <c r="H23" s="503">
        <f>'Qtrly''s-Cntsht Book'!M183</f>
        <v>723.81</v>
      </c>
      <c r="I23" s="503">
        <f>'Qtrly''s-Cntsht Book'!N183</f>
        <v>730.89</v>
      </c>
      <c r="J23" s="503">
        <f>'Qtrly''s-Cntsht Book'!O183</f>
        <v>737.55</v>
      </c>
      <c r="K23" s="503">
        <f>'Qtrly''s-Cntsht Book'!R183</f>
        <v>751</v>
      </c>
      <c r="L23" s="503">
        <f>'Qtrly''s-Cntsht Book'!S183</f>
        <v>719.4</v>
      </c>
      <c r="M23" s="503">
        <f>'Qtrly''s-Cntsht Book'!T183</f>
        <v>754</v>
      </c>
      <c r="N23" s="498">
        <f>SUM(B23:M23)/12</f>
        <v>731.93916666666667</v>
      </c>
      <c r="O23" s="499">
        <f>'Qtrly''s-Cntsht Book'!X183</f>
        <v>267157.79583333334</v>
      </c>
    </row>
    <row r="24" spans="1:15" ht="12.75" customHeight="1" thickBot="1" x14ac:dyDescent="0.3">
      <c r="A24" s="500"/>
      <c r="B24" s="501"/>
      <c r="C24" s="501"/>
      <c r="D24" s="501"/>
      <c r="E24" s="501"/>
      <c r="F24" s="501"/>
      <c r="G24" s="501"/>
      <c r="H24" s="501"/>
      <c r="I24" s="501"/>
      <c r="J24" s="501"/>
      <c r="K24" s="501"/>
      <c r="L24" s="501"/>
      <c r="M24" s="501"/>
      <c r="N24" s="501"/>
      <c r="O24" s="502"/>
    </row>
    <row r="25" spans="1:15" ht="31.5" customHeight="1" thickBot="1" x14ac:dyDescent="0.3">
      <c r="A25" s="493" t="s">
        <v>248</v>
      </c>
      <c r="B25" s="1185" t="s">
        <v>572</v>
      </c>
      <c r="C25" s="1186"/>
      <c r="D25" s="1186"/>
      <c r="E25" s="1186"/>
      <c r="F25" s="1186"/>
      <c r="G25" s="1186"/>
      <c r="H25" s="1186"/>
      <c r="I25" s="1186"/>
      <c r="J25" s="1186"/>
      <c r="K25" s="1186"/>
      <c r="L25" s="1186"/>
      <c r="M25" s="1187"/>
      <c r="N25" s="1181" t="s">
        <v>289</v>
      </c>
      <c r="O25" s="1176" t="s">
        <v>290</v>
      </c>
    </row>
    <row r="26" spans="1:15" ht="15.75" thickBot="1" x14ac:dyDescent="0.3">
      <c r="A26" s="494"/>
      <c r="B26" s="495">
        <v>40003</v>
      </c>
      <c r="C26" s="496">
        <v>40034</v>
      </c>
      <c r="D26" s="496">
        <v>40065</v>
      </c>
      <c r="E26" s="496">
        <v>40095</v>
      </c>
      <c r="F26" s="496">
        <v>40126</v>
      </c>
      <c r="G26" s="496">
        <v>40156</v>
      </c>
      <c r="H26" s="496">
        <v>40179</v>
      </c>
      <c r="I26" s="496">
        <v>40210</v>
      </c>
      <c r="J26" s="496">
        <v>40238</v>
      </c>
      <c r="K26" s="496">
        <v>40269</v>
      </c>
      <c r="L26" s="496">
        <v>40299</v>
      </c>
      <c r="M26" s="497">
        <v>40330</v>
      </c>
      <c r="N26" s="1183"/>
      <c r="O26" s="1183"/>
    </row>
    <row r="27" spans="1:15" x14ac:dyDescent="0.25">
      <c r="A27" s="489" t="s">
        <v>288</v>
      </c>
      <c r="B27" s="503">
        <f>'Qtrly''s-Cntsht Book'!C213</f>
        <v>688</v>
      </c>
      <c r="C27" s="503">
        <f>'Qtrly''s-Cntsht Book'!D213</f>
        <v>706</v>
      </c>
      <c r="D27" s="503">
        <f>'Qtrly''s-Cntsht Book'!E213</f>
        <v>719</v>
      </c>
      <c r="E27" s="503">
        <f>'Qtrly''s-Cntsht Book'!H213</f>
        <v>718.35</v>
      </c>
      <c r="F27" s="503">
        <f>'Qtrly''s-Cntsht Book'!I213</f>
        <v>722</v>
      </c>
      <c r="G27" s="503">
        <f>'Qtrly''s-Cntsht Book'!J213</f>
        <v>698.06</v>
      </c>
      <c r="H27" s="503">
        <f>'Qtrly''s-Cntsht Book'!M213</f>
        <v>708.45</v>
      </c>
      <c r="I27" s="503">
        <f>'Qtrly''s-Cntsht Book'!N213</f>
        <v>729.86</v>
      </c>
      <c r="J27" s="503">
        <f>'Qtrly''s-Cntsht Book'!O213</f>
        <v>725.58</v>
      </c>
      <c r="K27" s="503">
        <f>'Qtrly''s-Cntsht Book'!R213</f>
        <v>736.43</v>
      </c>
      <c r="L27" s="503">
        <f>'Qtrly''s-Cntsht Book'!S213</f>
        <v>737.19</v>
      </c>
      <c r="M27" s="503">
        <f>'Qtrly''s-Cntsht Book'!T213</f>
        <v>743.2</v>
      </c>
      <c r="N27" s="498">
        <f>SUM(B27:M27)/12</f>
        <v>719.34333333333336</v>
      </c>
      <c r="O27" s="499">
        <f>'Qtrly''s-Cntsht Book'!$X$213</f>
        <v>262560.31666666665</v>
      </c>
    </row>
    <row r="28" spans="1:15" ht="12.75" customHeight="1" thickBot="1" x14ac:dyDescent="0.3">
      <c r="A28" s="500"/>
      <c r="B28" s="501"/>
      <c r="C28" s="501"/>
      <c r="D28" s="501"/>
      <c r="E28" s="501"/>
      <c r="F28" s="501"/>
      <c r="G28" s="501"/>
      <c r="H28" s="501"/>
      <c r="I28" s="501"/>
      <c r="J28" s="501"/>
      <c r="K28" s="501"/>
      <c r="L28" s="501"/>
      <c r="M28" s="501"/>
      <c r="N28" s="501"/>
      <c r="O28" s="502"/>
    </row>
    <row r="29" spans="1:15" ht="31.5" customHeight="1" thickBot="1" x14ac:dyDescent="0.3">
      <c r="A29" s="493" t="s">
        <v>248</v>
      </c>
      <c r="B29" s="1189" t="s">
        <v>346</v>
      </c>
      <c r="C29" s="1190"/>
      <c r="D29" s="1190"/>
      <c r="E29" s="1190"/>
      <c r="F29" s="1190"/>
      <c r="G29" s="1190"/>
      <c r="H29" s="1190"/>
      <c r="I29" s="1190"/>
      <c r="J29" s="1190"/>
      <c r="K29" s="1190"/>
      <c r="L29" s="1190"/>
      <c r="M29" s="1191"/>
      <c r="N29" s="1181" t="s">
        <v>289</v>
      </c>
      <c r="O29" s="1176" t="s">
        <v>290</v>
      </c>
    </row>
    <row r="30" spans="1:15" ht="15.75" thickBot="1" x14ac:dyDescent="0.3">
      <c r="A30" s="494"/>
      <c r="B30" s="495">
        <v>39630</v>
      </c>
      <c r="C30" s="496">
        <v>39661</v>
      </c>
      <c r="D30" s="496">
        <v>39692</v>
      </c>
      <c r="E30" s="496">
        <v>39722</v>
      </c>
      <c r="F30" s="496">
        <v>39753</v>
      </c>
      <c r="G30" s="496">
        <v>39783</v>
      </c>
      <c r="H30" s="496">
        <v>39822</v>
      </c>
      <c r="I30" s="496">
        <v>39853</v>
      </c>
      <c r="J30" s="496">
        <v>39881</v>
      </c>
      <c r="K30" s="496">
        <v>39912</v>
      </c>
      <c r="L30" s="496">
        <v>39934</v>
      </c>
      <c r="M30" s="497">
        <v>39973</v>
      </c>
      <c r="N30" s="1183"/>
      <c r="O30" s="1183"/>
    </row>
    <row r="31" spans="1:15" x14ac:dyDescent="0.25">
      <c r="A31" s="489" t="s">
        <v>288</v>
      </c>
      <c r="B31" s="503">
        <f>'Qtrly''s-Cntsht Book'!C243</f>
        <v>633</v>
      </c>
      <c r="C31" s="503">
        <f>'Qtrly''s-Cntsht Book'!D243</f>
        <v>646</v>
      </c>
      <c r="D31" s="503">
        <f>'Qtrly''s-Cntsht Book'!E243</f>
        <v>654</v>
      </c>
      <c r="E31" s="503">
        <f>'Qtrly''s-Cntsht Book'!H243</f>
        <v>652</v>
      </c>
      <c r="F31" s="503">
        <f>'Qtrly''s-Cntsht Book'!I243</f>
        <v>653</v>
      </c>
      <c r="G31" s="503">
        <f>'Qtrly''s-Cntsht Book'!J243</f>
        <v>649</v>
      </c>
      <c r="H31" s="503">
        <f>'Qtrly''s-Cntsht Book'!M243</f>
        <v>704</v>
      </c>
      <c r="I31" s="503">
        <f>'Qtrly''s-Cntsht Book'!N243</f>
        <v>702</v>
      </c>
      <c r="J31" s="503">
        <f>'Qtrly''s-Cntsht Book'!O243</f>
        <v>712</v>
      </c>
      <c r="K31" s="503">
        <f>'Qtrly''s-Cntsht Book'!R243</f>
        <v>697</v>
      </c>
      <c r="L31" s="503">
        <f>'Qtrly''s-Cntsht Book'!S243</f>
        <v>687</v>
      </c>
      <c r="M31" s="504">
        <f>'Qtrly''s-Cntsht Book'!T243</f>
        <v>689</v>
      </c>
      <c r="N31" s="498">
        <f>SUM(B31:M31)/12</f>
        <v>673.16666666666663</v>
      </c>
      <c r="O31" s="499">
        <f>'Qtrly''s-Cntsht Book'!$X$243</f>
        <v>245705.83333333331</v>
      </c>
    </row>
    <row r="32" spans="1:15" ht="12.75" customHeight="1" x14ac:dyDescent="0.25">
      <c r="A32" s="500"/>
      <c r="B32" s="501"/>
      <c r="C32" s="501"/>
      <c r="D32" s="501"/>
      <c r="E32" s="501"/>
      <c r="F32" s="501"/>
      <c r="G32" s="501"/>
      <c r="H32" s="501"/>
      <c r="I32" s="501"/>
      <c r="J32" s="501"/>
      <c r="K32" s="501"/>
      <c r="L32" s="501"/>
      <c r="M32" s="501"/>
      <c r="N32" s="501"/>
      <c r="O32" s="502"/>
    </row>
    <row r="33" spans="1:15" ht="31.5" hidden="1" customHeight="1" thickBot="1" x14ac:dyDescent="0.3">
      <c r="A33" s="493" t="s">
        <v>248</v>
      </c>
      <c r="B33" s="1185" t="s">
        <v>573</v>
      </c>
      <c r="C33" s="1186"/>
      <c r="D33" s="1186"/>
      <c r="E33" s="1186"/>
      <c r="F33" s="1186"/>
      <c r="G33" s="1186"/>
      <c r="H33" s="1186"/>
      <c r="I33" s="1186"/>
      <c r="J33" s="1186"/>
      <c r="K33" s="1186"/>
      <c r="L33" s="1186"/>
      <c r="M33" s="1187"/>
      <c r="N33" s="1181" t="s">
        <v>289</v>
      </c>
      <c r="O33" s="1176" t="s">
        <v>290</v>
      </c>
    </row>
    <row r="34" spans="1:15" ht="15.75" hidden="1" thickBot="1" x14ac:dyDescent="0.3">
      <c r="A34" s="494"/>
      <c r="B34" s="495">
        <v>39264</v>
      </c>
      <c r="C34" s="496">
        <v>39295</v>
      </c>
      <c r="D34" s="496">
        <v>39326</v>
      </c>
      <c r="E34" s="496">
        <v>39356</v>
      </c>
      <c r="F34" s="496">
        <v>39387</v>
      </c>
      <c r="G34" s="496">
        <v>39417</v>
      </c>
      <c r="H34" s="496">
        <v>39448</v>
      </c>
      <c r="I34" s="496">
        <v>39479</v>
      </c>
      <c r="J34" s="496">
        <v>39508</v>
      </c>
      <c r="K34" s="496">
        <v>39539</v>
      </c>
      <c r="L34" s="496">
        <v>39569</v>
      </c>
      <c r="M34" s="497">
        <v>39600</v>
      </c>
      <c r="N34" s="1183"/>
      <c r="O34" s="1183"/>
    </row>
    <row r="35" spans="1:15" hidden="1" x14ac:dyDescent="0.25">
      <c r="A35" s="489" t="s">
        <v>288</v>
      </c>
      <c r="B35" s="503">
        <v>546</v>
      </c>
      <c r="C35" s="503">
        <v>550</v>
      </c>
      <c r="D35" s="503">
        <v>604</v>
      </c>
      <c r="E35" s="503">
        <v>624</v>
      </c>
      <c r="F35" s="503">
        <v>648</v>
      </c>
      <c r="G35" s="503">
        <v>622</v>
      </c>
      <c r="H35" s="503">
        <v>637</v>
      </c>
      <c r="I35" s="503">
        <v>647</v>
      </c>
      <c r="J35" s="503">
        <v>630</v>
      </c>
      <c r="K35" s="503">
        <v>629</v>
      </c>
      <c r="L35" s="503">
        <v>612</v>
      </c>
      <c r="M35" s="504">
        <v>609</v>
      </c>
      <c r="N35" s="498">
        <f>SUM(B35:M35)/12</f>
        <v>613.16666666666663</v>
      </c>
      <c r="O35" s="499">
        <f>'Qtrly''s-Cntsht Book'!$X$273</f>
        <v>224419</v>
      </c>
    </row>
    <row r="36" spans="1:15" ht="12.75" hidden="1" customHeight="1" thickBot="1" x14ac:dyDescent="0.3">
      <c r="A36" s="500"/>
      <c r="B36" s="501"/>
      <c r="C36" s="501"/>
      <c r="D36" s="501"/>
      <c r="E36" s="501"/>
      <c r="F36" s="501"/>
      <c r="G36" s="501"/>
      <c r="H36" s="501"/>
      <c r="I36" s="501"/>
      <c r="J36" s="501"/>
      <c r="K36" s="501"/>
      <c r="L36" s="501"/>
      <c r="M36" s="501"/>
      <c r="N36" s="501"/>
      <c r="O36" s="502"/>
    </row>
    <row r="37" spans="1:15" ht="31.5" hidden="1" customHeight="1" thickBot="1" x14ac:dyDescent="0.3">
      <c r="A37" s="493" t="s">
        <v>248</v>
      </c>
      <c r="B37" s="1189" t="s">
        <v>574</v>
      </c>
      <c r="C37" s="1190"/>
      <c r="D37" s="1190"/>
      <c r="E37" s="1190"/>
      <c r="F37" s="1190"/>
      <c r="G37" s="1190"/>
      <c r="H37" s="1190"/>
      <c r="I37" s="1190"/>
      <c r="J37" s="1190"/>
      <c r="K37" s="1190"/>
      <c r="L37" s="1190"/>
      <c r="M37" s="1191"/>
      <c r="N37" s="1181" t="s">
        <v>289</v>
      </c>
      <c r="O37" s="1176" t="s">
        <v>290</v>
      </c>
    </row>
    <row r="38" spans="1:15" ht="15.75" hidden="1" thickBot="1" x14ac:dyDescent="0.3">
      <c r="A38" s="494"/>
      <c r="B38" s="495">
        <v>38899</v>
      </c>
      <c r="C38" s="496">
        <v>38930</v>
      </c>
      <c r="D38" s="496">
        <v>38961</v>
      </c>
      <c r="E38" s="496">
        <v>38991</v>
      </c>
      <c r="F38" s="496">
        <v>39022</v>
      </c>
      <c r="G38" s="496">
        <v>39052</v>
      </c>
      <c r="H38" s="496">
        <v>39083</v>
      </c>
      <c r="I38" s="496">
        <v>39114</v>
      </c>
      <c r="J38" s="496">
        <v>39142</v>
      </c>
      <c r="K38" s="496">
        <v>39173</v>
      </c>
      <c r="L38" s="496">
        <v>39203</v>
      </c>
      <c r="M38" s="497">
        <v>39234</v>
      </c>
      <c r="N38" s="1183"/>
      <c r="O38" s="1183"/>
    </row>
    <row r="39" spans="1:15" hidden="1" x14ac:dyDescent="0.25">
      <c r="A39" s="489" t="s">
        <v>288</v>
      </c>
      <c r="B39" s="503">
        <v>507</v>
      </c>
      <c r="C39" s="503">
        <v>509</v>
      </c>
      <c r="D39" s="503">
        <v>517</v>
      </c>
      <c r="E39" s="503">
        <v>505</v>
      </c>
      <c r="F39" s="503">
        <v>510</v>
      </c>
      <c r="G39" s="503">
        <v>477</v>
      </c>
      <c r="H39" s="503">
        <v>511</v>
      </c>
      <c r="I39" s="503">
        <v>533</v>
      </c>
      <c r="J39" s="503">
        <v>523</v>
      </c>
      <c r="K39" s="503">
        <v>536</v>
      </c>
      <c r="L39" s="503">
        <v>531</v>
      </c>
      <c r="M39" s="504">
        <v>531</v>
      </c>
      <c r="N39" s="498">
        <f>SUM(B39:M39)/12</f>
        <v>515.83333333333337</v>
      </c>
      <c r="O39" s="499">
        <f>'Qtrly''s-Cntsht Book'!$X$303</f>
        <v>188279.16666666669</v>
      </c>
    </row>
    <row r="40" spans="1:15" ht="12.75" hidden="1" customHeight="1" thickBot="1" x14ac:dyDescent="0.3">
      <c r="A40" s="500"/>
      <c r="B40" s="501"/>
      <c r="C40" s="501"/>
      <c r="D40" s="501"/>
      <c r="E40" s="501"/>
      <c r="F40" s="501"/>
      <c r="G40" s="501"/>
      <c r="H40" s="501"/>
      <c r="I40" s="501"/>
      <c r="J40" s="501"/>
      <c r="K40" s="501"/>
      <c r="L40" s="501"/>
      <c r="M40" s="501"/>
      <c r="N40" s="501"/>
      <c r="O40" s="502"/>
    </row>
    <row r="41" spans="1:15" ht="31.5" hidden="1" customHeight="1" thickBot="1" x14ac:dyDescent="0.3">
      <c r="A41" s="493" t="s">
        <v>248</v>
      </c>
      <c r="B41" s="1185" t="s">
        <v>575</v>
      </c>
      <c r="C41" s="1186"/>
      <c r="D41" s="1186"/>
      <c r="E41" s="1186"/>
      <c r="F41" s="1186"/>
      <c r="G41" s="1186"/>
      <c r="H41" s="1186"/>
      <c r="I41" s="1186"/>
      <c r="J41" s="1186"/>
      <c r="K41" s="1186"/>
      <c r="L41" s="1186"/>
      <c r="M41" s="1187"/>
      <c r="N41" s="1181" t="s">
        <v>289</v>
      </c>
      <c r="O41" s="1176" t="s">
        <v>290</v>
      </c>
    </row>
    <row r="42" spans="1:15" ht="15.75" hidden="1" thickBot="1" x14ac:dyDescent="0.3">
      <c r="A42" s="494"/>
      <c r="B42" s="495">
        <v>38538</v>
      </c>
      <c r="C42" s="496">
        <v>38569</v>
      </c>
      <c r="D42" s="496">
        <v>38600</v>
      </c>
      <c r="E42" s="496">
        <v>38630</v>
      </c>
      <c r="F42" s="496">
        <v>38661</v>
      </c>
      <c r="G42" s="496">
        <v>38691</v>
      </c>
      <c r="H42" s="496">
        <v>38718</v>
      </c>
      <c r="I42" s="496">
        <v>38749</v>
      </c>
      <c r="J42" s="496">
        <v>38777</v>
      </c>
      <c r="K42" s="496">
        <v>38808</v>
      </c>
      <c r="L42" s="496">
        <v>38838</v>
      </c>
      <c r="M42" s="497">
        <v>38869</v>
      </c>
      <c r="N42" s="1183"/>
      <c r="O42" s="1183"/>
    </row>
    <row r="43" spans="1:15" hidden="1" x14ac:dyDescent="0.25">
      <c r="A43" s="489" t="s">
        <v>288</v>
      </c>
      <c r="B43" s="503">
        <v>615</v>
      </c>
      <c r="C43" s="503">
        <v>614</v>
      </c>
      <c r="D43" s="503">
        <v>622</v>
      </c>
      <c r="E43" s="503">
        <v>671</v>
      </c>
      <c r="F43" s="503">
        <v>640</v>
      </c>
      <c r="G43" s="503">
        <v>580</v>
      </c>
      <c r="H43" s="503">
        <v>607</v>
      </c>
      <c r="I43" s="503">
        <v>617</v>
      </c>
      <c r="J43" s="503">
        <v>610</v>
      </c>
      <c r="K43" s="503">
        <v>639</v>
      </c>
      <c r="L43" s="503">
        <v>636</v>
      </c>
      <c r="M43" s="504">
        <v>543</v>
      </c>
      <c r="N43" s="498">
        <f>SUM(B43:M43)/12</f>
        <v>616.16666666666663</v>
      </c>
      <c r="O43" s="499">
        <f>'Qtrly''s-Cntsht Book'!$X$333</f>
        <v>224900.83333333331</v>
      </c>
    </row>
    <row r="44" spans="1:15" ht="12.75" hidden="1" customHeight="1" thickBot="1" x14ac:dyDescent="0.3">
      <c r="A44" s="500"/>
      <c r="B44" s="501"/>
      <c r="C44" s="501"/>
      <c r="D44" s="501"/>
      <c r="E44" s="501"/>
      <c r="F44" s="501"/>
      <c r="G44" s="501"/>
      <c r="H44" s="501"/>
      <c r="I44" s="501"/>
      <c r="J44" s="501"/>
      <c r="K44" s="501"/>
      <c r="L44" s="501"/>
      <c r="M44" s="501"/>
      <c r="N44" s="501"/>
      <c r="O44" s="502"/>
    </row>
    <row r="45" spans="1:15" ht="31.5" hidden="1" customHeight="1" thickBot="1" x14ac:dyDescent="0.3">
      <c r="A45" s="1176" t="s">
        <v>248</v>
      </c>
      <c r="B45" s="1189" t="s">
        <v>576</v>
      </c>
      <c r="C45" s="1190"/>
      <c r="D45" s="1190"/>
      <c r="E45" s="1190"/>
      <c r="F45" s="1190"/>
      <c r="G45" s="1190"/>
      <c r="H45" s="1190"/>
      <c r="I45" s="1190"/>
      <c r="J45" s="1190"/>
      <c r="K45" s="1190"/>
      <c r="L45" s="1190"/>
      <c r="M45" s="1191"/>
      <c r="N45" s="1181" t="s">
        <v>289</v>
      </c>
      <c r="O45" s="1176" t="s">
        <v>290</v>
      </c>
    </row>
    <row r="46" spans="1:15" ht="15.75" hidden="1" thickBot="1" x14ac:dyDescent="0.3">
      <c r="A46" s="1188"/>
      <c r="B46" s="495">
        <v>38169</v>
      </c>
      <c r="C46" s="496">
        <v>38200</v>
      </c>
      <c r="D46" s="496">
        <v>38231</v>
      </c>
      <c r="E46" s="496">
        <v>38261</v>
      </c>
      <c r="F46" s="496">
        <v>38292</v>
      </c>
      <c r="G46" s="496">
        <v>38322</v>
      </c>
      <c r="H46" s="496">
        <v>38353</v>
      </c>
      <c r="I46" s="496">
        <v>38384</v>
      </c>
      <c r="J46" s="496">
        <v>38412</v>
      </c>
      <c r="K46" s="496">
        <v>38443</v>
      </c>
      <c r="L46" s="496">
        <v>38473</v>
      </c>
      <c r="M46" s="497">
        <v>38504</v>
      </c>
      <c r="N46" s="1183"/>
      <c r="O46" s="1183"/>
    </row>
    <row r="47" spans="1:15" hidden="1" x14ac:dyDescent="0.25">
      <c r="A47" s="489" t="s">
        <v>288</v>
      </c>
      <c r="B47" s="503">
        <v>636</v>
      </c>
      <c r="C47" s="503">
        <v>646</v>
      </c>
      <c r="D47" s="503">
        <v>644</v>
      </c>
      <c r="E47" s="503">
        <v>674</v>
      </c>
      <c r="F47" s="503">
        <v>652</v>
      </c>
      <c r="G47" s="503">
        <v>631</v>
      </c>
      <c r="H47" s="503">
        <v>641</v>
      </c>
      <c r="I47" s="503">
        <v>685</v>
      </c>
      <c r="J47" s="503">
        <v>653</v>
      </c>
      <c r="K47" s="503">
        <v>622</v>
      </c>
      <c r="L47" s="503">
        <v>612</v>
      </c>
      <c r="M47" s="504">
        <v>617</v>
      </c>
      <c r="N47" s="498">
        <f>SUM(B47:M47)/12</f>
        <v>642.75</v>
      </c>
      <c r="O47" s="499">
        <f>'Qtrly''s-Cntsht Book'!$X$363</f>
        <v>234603.75</v>
      </c>
    </row>
    <row r="48" spans="1:15" ht="12.75" hidden="1" customHeight="1" thickBot="1" x14ac:dyDescent="0.3">
      <c r="A48" s="500"/>
      <c r="B48" s="501"/>
      <c r="C48" s="501"/>
      <c r="D48" s="501"/>
      <c r="E48" s="501"/>
      <c r="F48" s="501"/>
      <c r="G48" s="501"/>
      <c r="H48" s="501"/>
      <c r="I48" s="501"/>
      <c r="J48" s="501"/>
      <c r="K48" s="501"/>
      <c r="L48" s="501"/>
      <c r="M48" s="501"/>
      <c r="N48" s="501"/>
      <c r="O48" s="502"/>
    </row>
    <row r="49" spans="1:15" ht="31.5" hidden="1" customHeight="1" thickBot="1" x14ac:dyDescent="0.3">
      <c r="A49" s="1176" t="s">
        <v>248</v>
      </c>
      <c r="B49" s="1185" t="s">
        <v>577</v>
      </c>
      <c r="C49" s="1186"/>
      <c r="D49" s="1186"/>
      <c r="E49" s="1186"/>
      <c r="F49" s="1186"/>
      <c r="G49" s="1186"/>
      <c r="H49" s="1186"/>
      <c r="I49" s="1186"/>
      <c r="J49" s="1186"/>
      <c r="K49" s="1186"/>
      <c r="L49" s="1186"/>
      <c r="M49" s="1187"/>
      <c r="N49" s="1181" t="s">
        <v>289</v>
      </c>
      <c r="O49" s="1176" t="s">
        <v>291</v>
      </c>
    </row>
    <row r="50" spans="1:15" ht="15.75" hidden="1" thickBot="1" x14ac:dyDescent="0.3">
      <c r="A50" s="1184"/>
      <c r="B50" s="495">
        <v>37803</v>
      </c>
      <c r="C50" s="496">
        <v>37834</v>
      </c>
      <c r="D50" s="496">
        <v>37865</v>
      </c>
      <c r="E50" s="496">
        <v>37895</v>
      </c>
      <c r="F50" s="496">
        <v>37926</v>
      </c>
      <c r="G50" s="496">
        <v>37956</v>
      </c>
      <c r="H50" s="496">
        <v>37987</v>
      </c>
      <c r="I50" s="496">
        <v>38018</v>
      </c>
      <c r="J50" s="496">
        <v>38047</v>
      </c>
      <c r="K50" s="496">
        <v>38078</v>
      </c>
      <c r="L50" s="496">
        <v>38108</v>
      </c>
      <c r="M50" s="497">
        <v>38139</v>
      </c>
      <c r="N50" s="1182"/>
      <c r="O50" s="1177"/>
    </row>
    <row r="51" spans="1:15" hidden="1" x14ac:dyDescent="0.25">
      <c r="A51" s="489" t="s">
        <v>288</v>
      </c>
      <c r="B51" s="503">
        <v>668</v>
      </c>
      <c r="C51" s="503">
        <v>661</v>
      </c>
      <c r="D51" s="503">
        <v>682</v>
      </c>
      <c r="E51" s="503">
        <v>685</v>
      </c>
      <c r="F51" s="503">
        <v>686</v>
      </c>
      <c r="G51" s="503">
        <v>683</v>
      </c>
      <c r="H51" s="503">
        <v>696</v>
      </c>
      <c r="I51" s="503">
        <v>707</v>
      </c>
      <c r="J51" s="503">
        <v>705</v>
      </c>
      <c r="K51" s="503">
        <v>688</v>
      </c>
      <c r="L51" s="503">
        <v>684</v>
      </c>
      <c r="M51" s="504">
        <v>619</v>
      </c>
      <c r="N51" s="505">
        <f>SUM(B51:M51)/12</f>
        <v>680.33333333333337</v>
      </c>
      <c r="O51" s="499">
        <f>'Qtrly''s-Cntsht Book'!$X$397</f>
        <v>248321.66666666669</v>
      </c>
    </row>
    <row r="52" spans="1:15" ht="12.75" customHeight="1" x14ac:dyDescent="0.25"/>
    <row r="53" spans="1:15" ht="31.5" hidden="1" customHeight="1" thickBot="1" x14ac:dyDescent="0.3">
      <c r="A53" s="1176" t="s">
        <v>248</v>
      </c>
      <c r="B53" s="1189" t="s">
        <v>578</v>
      </c>
      <c r="C53" s="1192"/>
      <c r="D53" s="1192"/>
      <c r="E53" s="1192"/>
      <c r="F53" s="1192"/>
      <c r="G53" s="1192"/>
      <c r="H53" s="1192"/>
      <c r="I53" s="1192"/>
      <c r="J53" s="1192"/>
      <c r="K53" s="1192"/>
      <c r="L53" s="1192"/>
      <c r="M53" s="1193"/>
      <c r="N53" s="1181" t="s">
        <v>289</v>
      </c>
      <c r="O53" s="1176" t="s">
        <v>291</v>
      </c>
    </row>
    <row r="54" spans="1:15" ht="15.75" hidden="1" thickBot="1" x14ac:dyDescent="0.3">
      <c r="A54" s="1184"/>
      <c r="B54" s="495">
        <v>37438</v>
      </c>
      <c r="C54" s="496">
        <v>37469</v>
      </c>
      <c r="D54" s="496">
        <v>37500</v>
      </c>
      <c r="E54" s="496">
        <v>37530</v>
      </c>
      <c r="F54" s="496">
        <v>37561</v>
      </c>
      <c r="G54" s="496">
        <v>37591</v>
      </c>
      <c r="H54" s="496">
        <v>37624</v>
      </c>
      <c r="I54" s="496">
        <v>37655</v>
      </c>
      <c r="J54" s="496">
        <v>37683</v>
      </c>
      <c r="K54" s="496">
        <v>37714</v>
      </c>
      <c r="L54" s="496">
        <v>37744</v>
      </c>
      <c r="M54" s="497">
        <v>37775</v>
      </c>
      <c r="N54" s="1182"/>
      <c r="O54" s="1177"/>
    </row>
    <row r="55" spans="1:15" hidden="1" x14ac:dyDescent="0.25">
      <c r="A55" s="489" t="s">
        <v>288</v>
      </c>
      <c r="B55" s="503">
        <v>686</v>
      </c>
      <c r="C55" s="503">
        <v>686</v>
      </c>
      <c r="D55" s="503">
        <v>603</v>
      </c>
      <c r="E55" s="503">
        <v>700</v>
      </c>
      <c r="F55" s="503">
        <v>705</v>
      </c>
      <c r="G55" s="503">
        <v>686</v>
      </c>
      <c r="H55" s="503">
        <v>709</v>
      </c>
      <c r="I55" s="503">
        <v>709</v>
      </c>
      <c r="J55" s="503">
        <v>704</v>
      </c>
      <c r="K55" s="503">
        <v>688</v>
      </c>
      <c r="L55" s="503">
        <v>690</v>
      </c>
      <c r="M55" s="504">
        <v>688</v>
      </c>
      <c r="N55" s="505">
        <f>SUM(B55:M55)/12</f>
        <v>687.83333333333337</v>
      </c>
      <c r="O55" s="499">
        <f>'Qtrly''s-Cntsht Book'!$X$427</f>
        <v>251120</v>
      </c>
    </row>
    <row r="56" spans="1:15" ht="12.75" hidden="1" customHeight="1" thickBot="1" x14ac:dyDescent="0.3"/>
    <row r="57" spans="1:15" ht="31.5" hidden="1" customHeight="1" thickBot="1" x14ac:dyDescent="0.3">
      <c r="A57" s="1176" t="s">
        <v>248</v>
      </c>
      <c r="B57" s="1185" t="s">
        <v>580</v>
      </c>
      <c r="C57" s="1186"/>
      <c r="D57" s="1186"/>
      <c r="E57" s="1186"/>
      <c r="F57" s="1186"/>
      <c r="G57" s="1186"/>
      <c r="H57" s="1186"/>
      <c r="I57" s="1186"/>
      <c r="J57" s="1186"/>
      <c r="K57" s="1186"/>
      <c r="L57" s="1186"/>
      <c r="M57" s="1187"/>
      <c r="N57" s="1181" t="s">
        <v>289</v>
      </c>
      <c r="O57" s="1176" t="s">
        <v>292</v>
      </c>
    </row>
    <row r="58" spans="1:15" ht="15.75" hidden="1" thickBot="1" x14ac:dyDescent="0.3">
      <c r="A58" s="1184"/>
      <c r="B58" s="495">
        <v>37073</v>
      </c>
      <c r="C58" s="496">
        <v>37104</v>
      </c>
      <c r="D58" s="496">
        <v>37135</v>
      </c>
      <c r="E58" s="496">
        <v>37165</v>
      </c>
      <c r="F58" s="496">
        <v>37196</v>
      </c>
      <c r="G58" s="496">
        <v>37226</v>
      </c>
      <c r="H58" s="496">
        <v>37258</v>
      </c>
      <c r="I58" s="496">
        <v>37289</v>
      </c>
      <c r="J58" s="496">
        <v>37317</v>
      </c>
      <c r="K58" s="496">
        <v>37348</v>
      </c>
      <c r="L58" s="496">
        <v>37378</v>
      </c>
      <c r="M58" s="497">
        <v>37409</v>
      </c>
      <c r="N58" s="1182"/>
      <c r="O58" s="1177"/>
    </row>
    <row r="59" spans="1:15" hidden="1" x14ac:dyDescent="0.25">
      <c r="A59" s="489" t="s">
        <v>288</v>
      </c>
      <c r="B59" s="503">
        <v>680</v>
      </c>
      <c r="C59" s="503">
        <v>686</v>
      </c>
      <c r="D59" s="503">
        <v>693</v>
      </c>
      <c r="E59" s="503">
        <v>706</v>
      </c>
      <c r="F59" s="503">
        <v>703</v>
      </c>
      <c r="G59" s="503">
        <v>675</v>
      </c>
      <c r="H59" s="503">
        <v>669</v>
      </c>
      <c r="I59" s="503">
        <v>682</v>
      </c>
      <c r="J59" s="503">
        <v>693</v>
      </c>
      <c r="K59" s="503">
        <v>686</v>
      </c>
      <c r="L59" s="503">
        <v>707</v>
      </c>
      <c r="M59" s="504">
        <v>698</v>
      </c>
      <c r="N59" s="505">
        <f>SUM(B59:M59)/12</f>
        <v>689.83333333333337</v>
      </c>
      <c r="O59" s="499">
        <f>N59*365</f>
        <v>251789.16666666669</v>
      </c>
    </row>
    <row r="60" spans="1:15" ht="12.75" hidden="1" customHeight="1" thickBot="1" x14ac:dyDescent="0.3">
      <c r="A60" s="500"/>
      <c r="B60" s="501"/>
      <c r="C60" s="501"/>
      <c r="D60" s="501"/>
      <c r="E60" s="501"/>
      <c r="F60" s="501"/>
      <c r="G60" s="501"/>
      <c r="H60" s="501"/>
      <c r="I60" s="501"/>
      <c r="J60" s="501"/>
      <c r="K60" s="501"/>
      <c r="L60" s="501"/>
      <c r="M60" s="501"/>
      <c r="N60" s="501"/>
      <c r="O60" s="502"/>
    </row>
    <row r="61" spans="1:15" ht="31.5" hidden="1" customHeight="1" thickBot="1" x14ac:dyDescent="0.3">
      <c r="A61" s="1176" t="s">
        <v>248</v>
      </c>
      <c r="B61" s="1189" t="s">
        <v>579</v>
      </c>
      <c r="C61" s="1192"/>
      <c r="D61" s="1192"/>
      <c r="E61" s="1192"/>
      <c r="F61" s="1192"/>
      <c r="G61" s="1192"/>
      <c r="H61" s="1192"/>
      <c r="I61" s="1192"/>
      <c r="J61" s="1192"/>
      <c r="K61" s="1192"/>
      <c r="L61" s="1192"/>
      <c r="M61" s="1193"/>
      <c r="N61" s="1181" t="s">
        <v>289</v>
      </c>
      <c r="O61" s="1176" t="s">
        <v>293</v>
      </c>
    </row>
    <row r="62" spans="1:15" ht="15.75" hidden="1" thickBot="1" x14ac:dyDescent="0.3">
      <c r="A62" s="1184"/>
      <c r="B62" s="495">
        <v>36708</v>
      </c>
      <c r="C62" s="496">
        <v>36739</v>
      </c>
      <c r="D62" s="496">
        <v>36770</v>
      </c>
      <c r="E62" s="496">
        <v>36800</v>
      </c>
      <c r="F62" s="496">
        <v>36831</v>
      </c>
      <c r="G62" s="496">
        <v>36861</v>
      </c>
      <c r="H62" s="496">
        <v>36892</v>
      </c>
      <c r="I62" s="496">
        <v>36923</v>
      </c>
      <c r="J62" s="496">
        <v>36951</v>
      </c>
      <c r="K62" s="496">
        <v>36982</v>
      </c>
      <c r="L62" s="496">
        <v>37012</v>
      </c>
      <c r="M62" s="497">
        <v>37043</v>
      </c>
      <c r="N62" s="1182"/>
      <c r="O62" s="1177"/>
    </row>
    <row r="63" spans="1:15" hidden="1" x14ac:dyDescent="0.25">
      <c r="A63" s="489" t="s">
        <v>288</v>
      </c>
      <c r="B63" s="503">
        <v>639</v>
      </c>
      <c r="C63" s="503">
        <v>633</v>
      </c>
      <c r="D63" s="503">
        <v>660</v>
      </c>
      <c r="E63" s="503">
        <v>675</v>
      </c>
      <c r="F63" s="503">
        <v>683</v>
      </c>
      <c r="G63" s="503">
        <v>653</v>
      </c>
      <c r="H63" s="503">
        <v>669</v>
      </c>
      <c r="I63" s="503">
        <v>675</v>
      </c>
      <c r="J63" s="503">
        <v>643</v>
      </c>
      <c r="K63" s="503">
        <v>669</v>
      </c>
      <c r="L63" s="503">
        <v>679</v>
      </c>
      <c r="M63" s="504">
        <v>662</v>
      </c>
      <c r="N63" s="505">
        <f>SUM(B63:M63)/12</f>
        <v>661.66666666666663</v>
      </c>
      <c r="O63" s="499">
        <f>N63*365</f>
        <v>241508.33333333331</v>
      </c>
    </row>
    <row r="64" spans="1:15" ht="12.75" hidden="1" customHeight="1" x14ac:dyDescent="0.25"/>
    <row r="65" spans="1:15" ht="31.5" hidden="1" customHeight="1" thickBot="1" x14ac:dyDescent="0.3">
      <c r="A65" s="1176" t="s">
        <v>248</v>
      </c>
      <c r="B65" s="1185" t="s">
        <v>581</v>
      </c>
      <c r="C65" s="1186"/>
      <c r="D65" s="1186"/>
      <c r="E65" s="1186"/>
      <c r="F65" s="1186"/>
      <c r="G65" s="1186"/>
      <c r="H65" s="1186"/>
      <c r="I65" s="1186"/>
      <c r="J65" s="1186"/>
      <c r="K65" s="1186"/>
      <c r="L65" s="1186"/>
      <c r="M65" s="1187"/>
      <c r="N65" s="1181" t="s">
        <v>294</v>
      </c>
      <c r="O65" s="1176" t="s">
        <v>295</v>
      </c>
    </row>
    <row r="66" spans="1:15" ht="15.75" hidden="1" thickBot="1" x14ac:dyDescent="0.3">
      <c r="A66" s="1184"/>
      <c r="B66" s="495">
        <v>36342</v>
      </c>
      <c r="C66" s="496">
        <v>36373</v>
      </c>
      <c r="D66" s="496">
        <v>36404</v>
      </c>
      <c r="E66" s="496">
        <v>36434</v>
      </c>
      <c r="F66" s="496">
        <v>36465</v>
      </c>
      <c r="G66" s="496">
        <v>36495</v>
      </c>
      <c r="H66" s="496">
        <v>36526</v>
      </c>
      <c r="I66" s="496">
        <v>36557</v>
      </c>
      <c r="J66" s="496">
        <v>36586</v>
      </c>
      <c r="K66" s="496">
        <v>36617</v>
      </c>
      <c r="L66" s="496">
        <v>36647</v>
      </c>
      <c r="M66" s="497">
        <v>36678</v>
      </c>
      <c r="N66" s="1182"/>
      <c r="O66" s="1177"/>
    </row>
    <row r="67" spans="1:15" hidden="1" x14ac:dyDescent="0.25">
      <c r="A67" s="489" t="s">
        <v>288</v>
      </c>
      <c r="B67" s="503">
        <v>618</v>
      </c>
      <c r="C67" s="503">
        <v>629</v>
      </c>
      <c r="D67" s="503">
        <v>677</v>
      </c>
      <c r="E67" s="503">
        <v>684</v>
      </c>
      <c r="F67" s="503">
        <v>683</v>
      </c>
      <c r="G67" s="503">
        <v>635</v>
      </c>
      <c r="H67" s="503">
        <v>630</v>
      </c>
      <c r="I67" s="503">
        <v>663</v>
      </c>
      <c r="J67" s="503">
        <v>669</v>
      </c>
      <c r="K67" s="503">
        <v>684</v>
      </c>
      <c r="L67" s="503">
        <v>662</v>
      </c>
      <c r="M67" s="504">
        <v>645</v>
      </c>
      <c r="N67" s="505">
        <f>SUM(B67:M67)/12</f>
        <v>656.58333333333337</v>
      </c>
      <c r="O67" s="499">
        <v>239653</v>
      </c>
    </row>
    <row r="68" spans="1:15" ht="12.75" hidden="1" customHeight="1" thickBot="1" x14ac:dyDescent="0.3">
      <c r="A68" s="500"/>
      <c r="B68" s="501"/>
      <c r="C68" s="501"/>
      <c r="D68" s="501"/>
      <c r="E68" s="501"/>
      <c r="F68" s="501"/>
      <c r="G68" s="501"/>
      <c r="H68" s="501"/>
      <c r="I68" s="501"/>
      <c r="J68" s="501"/>
      <c r="K68" s="501"/>
      <c r="L68" s="501"/>
      <c r="M68" s="501"/>
      <c r="N68" s="501"/>
      <c r="O68" s="502"/>
    </row>
    <row r="69" spans="1:15" ht="31.5" hidden="1" customHeight="1" thickBot="1" x14ac:dyDescent="0.3">
      <c r="A69" s="1176" t="s">
        <v>248</v>
      </c>
      <c r="B69" s="1178" t="s">
        <v>582</v>
      </c>
      <c r="C69" s="1179"/>
      <c r="D69" s="1179"/>
      <c r="E69" s="1179"/>
      <c r="F69" s="1179"/>
      <c r="G69" s="1179"/>
      <c r="H69" s="1179"/>
      <c r="I69" s="1179"/>
      <c r="J69" s="1179"/>
      <c r="K69" s="1179"/>
      <c r="L69" s="1179"/>
      <c r="M69" s="1180"/>
      <c r="N69" s="1181" t="s">
        <v>156</v>
      </c>
      <c r="O69" s="1176" t="s">
        <v>296</v>
      </c>
    </row>
    <row r="70" spans="1:15" ht="15.75" hidden="1" thickBot="1" x14ac:dyDescent="0.3">
      <c r="A70" s="1184"/>
      <c r="B70" s="495">
        <v>35977</v>
      </c>
      <c r="C70" s="496">
        <v>36008</v>
      </c>
      <c r="D70" s="496">
        <v>36039</v>
      </c>
      <c r="E70" s="496">
        <v>36069</v>
      </c>
      <c r="F70" s="496">
        <v>36100</v>
      </c>
      <c r="G70" s="496">
        <v>36130</v>
      </c>
      <c r="H70" s="496">
        <v>36161</v>
      </c>
      <c r="I70" s="496">
        <v>36192</v>
      </c>
      <c r="J70" s="496">
        <v>36220</v>
      </c>
      <c r="K70" s="496">
        <v>36251</v>
      </c>
      <c r="L70" s="496">
        <v>36281</v>
      </c>
      <c r="M70" s="497">
        <v>36312</v>
      </c>
      <c r="N70" s="1182"/>
      <c r="O70" s="1177"/>
    </row>
    <row r="71" spans="1:15" hidden="1" x14ac:dyDescent="0.25">
      <c r="A71" s="489" t="s">
        <v>288</v>
      </c>
      <c r="B71" s="503">
        <v>670</v>
      </c>
      <c r="C71" s="503">
        <v>626</v>
      </c>
      <c r="D71" s="503">
        <v>674</v>
      </c>
      <c r="E71" s="503">
        <v>634</v>
      </c>
      <c r="F71" s="503">
        <v>627</v>
      </c>
      <c r="G71" s="503">
        <v>625</v>
      </c>
      <c r="H71" s="503">
        <v>647</v>
      </c>
      <c r="I71" s="503">
        <v>657</v>
      </c>
      <c r="J71" s="503">
        <v>644</v>
      </c>
      <c r="K71" s="503">
        <v>658</v>
      </c>
      <c r="L71" s="503">
        <v>660</v>
      </c>
      <c r="M71" s="504">
        <v>617</v>
      </c>
      <c r="N71" s="505">
        <f>SUM(B71:M71)/12</f>
        <v>644.91666666666663</v>
      </c>
      <c r="O71" s="499">
        <f>N71*365</f>
        <v>235394.58333333331</v>
      </c>
    </row>
    <row r="72" spans="1:15" ht="12.75" hidden="1" customHeight="1" thickBot="1" x14ac:dyDescent="0.3"/>
    <row r="73" spans="1:15" ht="31.5" hidden="1" customHeight="1" thickBot="1" x14ac:dyDescent="0.3">
      <c r="A73" s="1176" t="s">
        <v>248</v>
      </c>
      <c r="B73" s="1185" t="s">
        <v>583</v>
      </c>
      <c r="C73" s="1186"/>
      <c r="D73" s="1186"/>
      <c r="E73" s="1186"/>
      <c r="F73" s="1186"/>
      <c r="G73" s="1186"/>
      <c r="H73" s="1186"/>
      <c r="I73" s="1186"/>
      <c r="J73" s="1186"/>
      <c r="K73" s="1186"/>
      <c r="L73" s="1186"/>
      <c r="M73" s="1187"/>
      <c r="N73" s="1181" t="s">
        <v>156</v>
      </c>
      <c r="O73" s="1176" t="s">
        <v>296</v>
      </c>
    </row>
    <row r="74" spans="1:15" ht="15.75" hidden="1" thickBot="1" x14ac:dyDescent="0.3">
      <c r="A74" s="1184"/>
      <c r="B74" s="495">
        <v>35612</v>
      </c>
      <c r="C74" s="496">
        <v>35643</v>
      </c>
      <c r="D74" s="496">
        <v>35674</v>
      </c>
      <c r="E74" s="496">
        <v>35704</v>
      </c>
      <c r="F74" s="496">
        <v>35735</v>
      </c>
      <c r="G74" s="496">
        <v>35765</v>
      </c>
      <c r="H74" s="496">
        <v>35796</v>
      </c>
      <c r="I74" s="496">
        <v>35827</v>
      </c>
      <c r="J74" s="496">
        <v>35855</v>
      </c>
      <c r="K74" s="496">
        <v>35886</v>
      </c>
      <c r="L74" s="496">
        <v>35916</v>
      </c>
      <c r="M74" s="497">
        <v>35947</v>
      </c>
      <c r="N74" s="1182"/>
      <c r="O74" s="1177"/>
    </row>
    <row r="75" spans="1:15" hidden="1" x14ac:dyDescent="0.25">
      <c r="A75" s="489" t="s">
        <v>288</v>
      </c>
      <c r="B75" s="185">
        <v>543</v>
      </c>
      <c r="C75" s="185">
        <v>548</v>
      </c>
      <c r="D75" s="185">
        <v>574</v>
      </c>
      <c r="E75" s="185">
        <v>616</v>
      </c>
      <c r="F75" s="185">
        <v>623</v>
      </c>
      <c r="G75" s="185">
        <v>606</v>
      </c>
      <c r="H75" s="185">
        <v>621</v>
      </c>
      <c r="I75" s="185">
        <v>633</v>
      </c>
      <c r="J75" s="185">
        <v>640</v>
      </c>
      <c r="K75" s="185">
        <v>666</v>
      </c>
      <c r="L75" s="185">
        <v>671</v>
      </c>
      <c r="M75" s="185">
        <v>664</v>
      </c>
      <c r="N75" s="505">
        <f>SUM(B75:M75)/12</f>
        <v>617.08333333333337</v>
      </c>
      <c r="O75" s="499">
        <v>225205</v>
      </c>
    </row>
  </sheetData>
  <mergeCells count="65">
    <mergeCell ref="O1:O2"/>
    <mergeCell ref="B5:M5"/>
    <mergeCell ref="N5:N6"/>
    <mergeCell ref="O5:O6"/>
    <mergeCell ref="B41:M41"/>
    <mergeCell ref="B9:M9"/>
    <mergeCell ref="N9:N10"/>
    <mergeCell ref="O33:O34"/>
    <mergeCell ref="O29:O30"/>
    <mergeCell ref="B45:M45"/>
    <mergeCell ref="B1:M1"/>
    <mergeCell ref="N1:N2"/>
    <mergeCell ref="O9:O10"/>
    <mergeCell ref="N29:N30"/>
    <mergeCell ref="B13:M13"/>
    <mergeCell ref="N13:N14"/>
    <mergeCell ref="O13:O14"/>
    <mergeCell ref="N17:N18"/>
    <mergeCell ref="B21:M21"/>
    <mergeCell ref="O17:O18"/>
    <mergeCell ref="B17:M17"/>
    <mergeCell ref="B25:M25"/>
    <mergeCell ref="N25:N26"/>
    <mergeCell ref="B29:M29"/>
    <mergeCell ref="N33:N34"/>
    <mergeCell ref="A73:A74"/>
    <mergeCell ref="B73:M73"/>
    <mergeCell ref="N73:N74"/>
    <mergeCell ref="B61:M61"/>
    <mergeCell ref="N61:N62"/>
    <mergeCell ref="N69:N70"/>
    <mergeCell ref="A61:A62"/>
    <mergeCell ref="A69:A70"/>
    <mergeCell ref="A65:A66"/>
    <mergeCell ref="B65:M65"/>
    <mergeCell ref="A57:A58"/>
    <mergeCell ref="B57:M57"/>
    <mergeCell ref="N57:N58"/>
    <mergeCell ref="N21:N22"/>
    <mergeCell ref="A53:A54"/>
    <mergeCell ref="A45:A46"/>
    <mergeCell ref="A49:A50"/>
    <mergeCell ref="B49:M49"/>
    <mergeCell ref="B33:M33"/>
    <mergeCell ref="B37:M37"/>
    <mergeCell ref="N41:N42"/>
    <mergeCell ref="N53:N54"/>
    <mergeCell ref="N49:N50"/>
    <mergeCell ref="N37:N38"/>
    <mergeCell ref="N45:N46"/>
    <mergeCell ref="B53:M53"/>
    <mergeCell ref="O45:O46"/>
    <mergeCell ref="O69:O70"/>
    <mergeCell ref="O21:O22"/>
    <mergeCell ref="O25:O26"/>
    <mergeCell ref="O53:O54"/>
    <mergeCell ref="O37:O38"/>
    <mergeCell ref="O57:O58"/>
    <mergeCell ref="O49:O50"/>
    <mergeCell ref="O41:O42"/>
    <mergeCell ref="O73:O74"/>
    <mergeCell ref="B69:M69"/>
    <mergeCell ref="O61:O62"/>
    <mergeCell ref="N65:N66"/>
    <mergeCell ref="O65:O66"/>
  </mergeCells>
  <phoneticPr fontId="19" type="noConversion"/>
  <printOptions horizontalCentered="1"/>
  <pageMargins left="0" right="0" top="1.25" bottom="0.75" header="0.3" footer="0.3"/>
  <pageSetup scale="89" fitToHeight="0"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AX42"/>
  <sheetViews>
    <sheetView showGridLines="0" zoomScaleNormal="100" workbookViewId="0">
      <pane xSplit="23" ySplit="1" topLeftCell="X2" activePane="bottomRight" state="frozen"/>
      <selection activeCell="B17" sqref="B17:M17"/>
      <selection pane="topRight" activeCell="B17" sqref="B17:M17"/>
      <selection pane="bottomLeft" activeCell="B17" sqref="B17:M17"/>
      <selection pane="bottomRight" activeCell="AU19" sqref="AU19"/>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customWidth="1"/>
    <col min="40" max="40" width="9.7109375" bestFit="1" customWidth="1"/>
    <col min="41" max="41" width="10.28515625" customWidth="1"/>
    <col min="42" max="42" width="16.7109375" customWidth="1"/>
    <col min="43" max="43" width="9.7109375" bestFit="1" customWidth="1"/>
    <col min="44" max="44" width="10.28515625" customWidth="1"/>
    <col min="45" max="45" width="16.7109375" customWidth="1"/>
    <col min="46" max="46" width="9.7109375" bestFit="1" customWidth="1"/>
    <col min="47" max="47" width="10.28515625" customWidth="1"/>
    <col min="48" max="48" width="16.7109375" customWidth="1"/>
    <col min="49" max="49" width="10.7109375" customWidth="1"/>
    <col min="50" max="50" width="10.28515625" customWidth="1"/>
  </cols>
  <sheetData>
    <row r="1" spans="1:50" ht="14.25" thickTop="1" thickBot="1" x14ac:dyDescent="0.25">
      <c r="A1" s="141" t="s">
        <v>56</v>
      </c>
      <c r="B1" s="151" t="s">
        <v>372</v>
      </c>
      <c r="C1" s="2" t="s">
        <v>108</v>
      </c>
      <c r="D1" s="2" t="s">
        <v>27</v>
      </c>
      <c r="E1" s="31"/>
      <c r="F1" s="151" t="s">
        <v>373</v>
      </c>
      <c r="G1" s="2" t="s">
        <v>108</v>
      </c>
      <c r="H1" s="2" t="s">
        <v>27</v>
      </c>
      <c r="I1" s="151" t="s">
        <v>374</v>
      </c>
      <c r="J1" s="2" t="s">
        <v>108</v>
      </c>
      <c r="K1" s="2" t="s">
        <v>27</v>
      </c>
      <c r="L1" s="151" t="s">
        <v>375</v>
      </c>
      <c r="M1" s="2" t="s">
        <v>108</v>
      </c>
      <c r="N1" s="2" t="s">
        <v>27</v>
      </c>
      <c r="O1" s="151" t="s">
        <v>376</v>
      </c>
      <c r="P1" s="2" t="s">
        <v>108</v>
      </c>
      <c r="Q1" s="2" t="s">
        <v>27</v>
      </c>
      <c r="R1" s="151" t="s">
        <v>377</v>
      </c>
      <c r="S1" s="2" t="s">
        <v>108</v>
      </c>
      <c r="T1" s="2" t="s">
        <v>27</v>
      </c>
      <c r="U1" s="151" t="s">
        <v>378</v>
      </c>
      <c r="V1" s="2" t="s">
        <v>108</v>
      </c>
      <c r="W1" s="141" t="s">
        <v>27</v>
      </c>
      <c r="X1" s="152" t="s">
        <v>379</v>
      </c>
      <c r="Y1" s="145" t="s">
        <v>108</v>
      </c>
      <c r="Z1" s="559" t="s">
        <v>27</v>
      </c>
      <c r="AA1" s="151" t="s">
        <v>380</v>
      </c>
      <c r="AB1" s="2" t="s">
        <v>108</v>
      </c>
      <c r="AC1" s="2" t="s">
        <v>27</v>
      </c>
      <c r="AD1" s="153" t="s">
        <v>381</v>
      </c>
      <c r="AE1" s="2" t="s">
        <v>108</v>
      </c>
      <c r="AF1" s="2" t="s">
        <v>27</v>
      </c>
      <c r="AG1" s="153" t="s">
        <v>382</v>
      </c>
      <c r="AH1" s="2" t="s">
        <v>108</v>
      </c>
      <c r="AI1" s="2" t="s">
        <v>27</v>
      </c>
      <c r="AJ1" s="562" t="s">
        <v>502</v>
      </c>
      <c r="AK1" s="2" t="s">
        <v>108</v>
      </c>
      <c r="AL1" s="2" t="s">
        <v>27</v>
      </c>
      <c r="AM1" s="562" t="s">
        <v>565</v>
      </c>
      <c r="AN1" s="743" t="s">
        <v>108</v>
      </c>
      <c r="AO1" s="743" t="s">
        <v>27</v>
      </c>
      <c r="AP1" s="562" t="s">
        <v>609</v>
      </c>
      <c r="AQ1" s="2" t="s">
        <v>108</v>
      </c>
      <c r="AR1" s="2" t="s">
        <v>27</v>
      </c>
      <c r="AS1" s="153" t="s">
        <v>663</v>
      </c>
      <c r="AT1" s="2" t="s">
        <v>108</v>
      </c>
      <c r="AU1" s="2" t="s">
        <v>27</v>
      </c>
      <c r="AV1" s="1086" t="s">
        <v>978</v>
      </c>
      <c r="AW1" s="2" t="s">
        <v>108</v>
      </c>
      <c r="AX1" s="2" t="s">
        <v>27</v>
      </c>
    </row>
    <row r="2" spans="1:50" ht="14.25" thickTop="1" thickBot="1" x14ac:dyDescent="0.25">
      <c r="A2" s="1" t="s">
        <v>249</v>
      </c>
      <c r="B2" s="28">
        <v>4207448.53</v>
      </c>
      <c r="C2" s="29">
        <v>26754.5</v>
      </c>
      <c r="D2" s="30">
        <v>193.50880347742341</v>
      </c>
      <c r="E2" s="17"/>
      <c r="F2" s="28">
        <v>10007491.050000001</v>
      </c>
      <c r="G2" s="29">
        <v>144625.56208333332</v>
      </c>
      <c r="H2" s="30">
        <v>106.85322352658358</v>
      </c>
      <c r="I2" s="28">
        <v>10007491.050000001</v>
      </c>
      <c r="J2" s="29">
        <v>144540</v>
      </c>
      <c r="K2" s="30">
        <v>105.90031510045782</v>
      </c>
      <c r="L2" s="28">
        <v>19164084.239999998</v>
      </c>
      <c r="M2" s="29">
        <v>297558</v>
      </c>
      <c r="N2" s="30">
        <v>99.915961578315503</v>
      </c>
      <c r="O2" s="28">
        <v>19934908.759999998</v>
      </c>
      <c r="P2" s="29">
        <v>305007.3833333333</v>
      </c>
      <c r="Q2" s="30">
        <v>95.644881509254517</v>
      </c>
      <c r="R2" s="28">
        <v>22246649.32</v>
      </c>
      <c r="S2" s="29">
        <v>318750.84999999998</v>
      </c>
      <c r="T2" s="30">
        <v>111.08690690417147</v>
      </c>
      <c r="U2" s="28">
        <v>24224260.27</v>
      </c>
      <c r="V2" s="29">
        <v>353157</v>
      </c>
      <c r="W2" s="144">
        <v>109.64</v>
      </c>
      <c r="X2" s="146">
        <v>24473571.319999997</v>
      </c>
      <c r="Y2" s="29">
        <v>356416</v>
      </c>
      <c r="Z2" s="144">
        <v>109.02</v>
      </c>
      <c r="AA2" s="28">
        <v>24826079.379999999</v>
      </c>
      <c r="AB2" s="29">
        <v>311948</v>
      </c>
      <c r="AC2" s="30">
        <v>79.584031248797871</v>
      </c>
      <c r="AD2" s="157">
        <v>25829994.579999998</v>
      </c>
      <c r="AE2" s="29">
        <f>'Qtrly''s-Cntsht Book'!X197+'Qtrly''s-Cntsht Book'!X199</f>
        <v>330692.43333333335</v>
      </c>
      <c r="AF2" s="30">
        <f>AD2/AE2</f>
        <v>78.108816460168967</v>
      </c>
      <c r="AG2" s="157">
        <v>26198323.199999999</v>
      </c>
      <c r="AH2" s="29">
        <f>'Qtrly''s-Cntsht Book'!X167+'Qtrly''s-Cntsht Book'!X169</f>
        <v>333964.35416666663</v>
      </c>
      <c r="AI2" s="30">
        <f>AG2/AH2</f>
        <v>78.446465537832793</v>
      </c>
      <c r="AJ2" s="157">
        <v>28150656.219999999</v>
      </c>
      <c r="AK2" s="29">
        <f>'Qtrly''s-Cntsht Book'!X138+'Qtrly''s-Cntsht Book'!X140</f>
        <v>331376.40000000002</v>
      </c>
      <c r="AL2" s="601">
        <f>AJ2/AK2</f>
        <v>84.950697213199234</v>
      </c>
      <c r="AM2" s="157">
        <f>'[1]BILLING RATE CALC'!C26</f>
        <v>29092188.98</v>
      </c>
      <c r="AN2" s="29">
        <f>'[1]Qtrly''s-Cntsht Book'!X5</f>
        <v>324755.70833333331</v>
      </c>
      <c r="AO2" s="601">
        <f>AM2/AN2</f>
        <v>89.581763256150111</v>
      </c>
      <c r="AP2" s="389">
        <v>29509516.810000002</v>
      </c>
      <c r="AQ2" s="470">
        <v>322976.94166666665</v>
      </c>
      <c r="AR2" s="601">
        <f>AP2/AQ2</f>
        <v>91.367255686183796</v>
      </c>
      <c r="AS2" s="389">
        <v>29681654.870000001</v>
      </c>
      <c r="AT2" s="470">
        <v>309788</v>
      </c>
      <c r="AU2" s="601">
        <f>AS2/AT2</f>
        <v>95.81279736464937</v>
      </c>
      <c r="AV2" s="157">
        <f>'BILLING RATE CALC'!C26</f>
        <v>30526127.900000002</v>
      </c>
      <c r="AW2" s="470">
        <f>'BILLING RATE CALC'!D26</f>
        <v>301420.04166666669</v>
      </c>
      <c r="AX2" s="601">
        <f>AV2/AW2</f>
        <v>101.27438020116169</v>
      </c>
    </row>
    <row r="3" spans="1:50" ht="13.5" thickTop="1" x14ac:dyDescent="0.2">
      <c r="A3" s="1" t="s">
        <v>72</v>
      </c>
      <c r="B3" s="20">
        <v>3827124.93</v>
      </c>
      <c r="C3" s="21">
        <v>36429.524583333339</v>
      </c>
      <c r="D3" s="22">
        <v>141.30304577116476</v>
      </c>
      <c r="E3" s="1"/>
      <c r="F3" s="20">
        <v>3827124.93</v>
      </c>
      <c r="G3" s="21">
        <v>38165.586250000008</v>
      </c>
      <c r="H3" s="22">
        <v>137.93421153467364</v>
      </c>
      <c r="I3" s="20">
        <v>4077113.6330000004</v>
      </c>
      <c r="J3" s="21">
        <v>38325</v>
      </c>
      <c r="K3" s="22">
        <v>143.04610031186741</v>
      </c>
      <c r="L3" s="20">
        <v>4022696.32</v>
      </c>
      <c r="M3" s="21">
        <v>39162</v>
      </c>
      <c r="N3" s="22">
        <v>138.23080686379916</v>
      </c>
      <c r="O3" s="20">
        <v>4453361.75</v>
      </c>
      <c r="P3" s="21">
        <v>40348.316666666666</v>
      </c>
      <c r="Q3" s="22">
        <v>140.6590326138257</v>
      </c>
      <c r="R3" s="20">
        <v>4921141.88</v>
      </c>
      <c r="S3" s="21">
        <v>42362.63</v>
      </c>
      <c r="T3" s="22">
        <v>157.46073628350271</v>
      </c>
      <c r="U3" s="20">
        <v>5054874.07</v>
      </c>
      <c r="V3" s="21">
        <v>38831</v>
      </c>
      <c r="W3" s="140">
        <v>171.22</v>
      </c>
      <c r="X3" s="146">
        <v>5023661.03</v>
      </c>
      <c r="Y3" s="21">
        <v>42158</v>
      </c>
      <c r="Z3" s="140">
        <v>159.51</v>
      </c>
      <c r="AA3" s="20">
        <v>5044648.83</v>
      </c>
      <c r="AB3" s="21">
        <v>49993</v>
      </c>
      <c r="AC3" s="30">
        <v>100.90710359450323</v>
      </c>
      <c r="AD3" s="158">
        <v>5649294.0899999999</v>
      </c>
      <c r="AE3" s="21">
        <f>'Qtrly''s-Cntsht Book'!X198</f>
        <v>42563.258333333331</v>
      </c>
      <c r="AF3" s="30">
        <f>AD3/AE3</f>
        <v>132.7270117752185</v>
      </c>
      <c r="AG3" s="158">
        <v>5244350.93</v>
      </c>
      <c r="AH3" s="21">
        <f>'Qtrly''s-Cntsht Book'!X168</f>
        <v>41384.308333333334</v>
      </c>
      <c r="AI3" s="30">
        <f>AG3/AH3</f>
        <v>126.72317458489196</v>
      </c>
      <c r="AJ3" s="158">
        <v>6006266.8099999996</v>
      </c>
      <c r="AK3" s="21">
        <f>'Qtrly''s-Cntsht Book'!X139</f>
        <v>44895.39</v>
      </c>
      <c r="AL3" s="30">
        <f>AJ3/AK3</f>
        <v>133.78359804870834</v>
      </c>
      <c r="AM3" s="158">
        <f>'[1]BILLING RATE CALC'!$C$27</f>
        <v>6227254.8200000003</v>
      </c>
      <c r="AN3" s="29">
        <f>'[1]Qtrly''s-Cntsht Book'!X6</f>
        <v>39533.45416666667</v>
      </c>
      <c r="AO3" s="601">
        <f>AM3/AN3</f>
        <v>157.5186118001958</v>
      </c>
      <c r="AP3" s="389">
        <v>6689614.8499999996</v>
      </c>
      <c r="AQ3" s="602">
        <v>44782.458333333328</v>
      </c>
      <c r="AR3" s="601">
        <f>AP3/AQ3</f>
        <v>149.38025063757294</v>
      </c>
      <c r="AS3" s="389">
        <v>6383028.1900000004</v>
      </c>
      <c r="AT3" s="602">
        <v>40920</v>
      </c>
      <c r="AU3" s="30">
        <f>AS3/AT3</f>
        <v>155.98798118279572</v>
      </c>
      <c r="AV3" s="157">
        <f>'BILLING RATE CALC'!C27</f>
        <v>6451550.9900000002</v>
      </c>
      <c r="AW3" s="470">
        <f>'BILLING RATE CALC'!D27</f>
        <v>40615.375</v>
      </c>
      <c r="AX3" s="601">
        <f>AV3/AW3</f>
        <v>158.84504304096663</v>
      </c>
    </row>
    <row r="4" spans="1:50" x14ac:dyDescent="0.2">
      <c r="A4" s="1" t="s">
        <v>111</v>
      </c>
      <c r="B4" s="20">
        <v>9521144.6300000008</v>
      </c>
      <c r="C4" s="21">
        <v>149163.33333333334</v>
      </c>
      <c r="D4" s="22">
        <v>100.0777920657041</v>
      </c>
      <c r="E4" s="1"/>
      <c r="F4" s="20">
        <v>9472493.1300000008</v>
      </c>
      <c r="G4" s="21">
        <v>139848.53333333335</v>
      </c>
      <c r="H4" s="22">
        <v>105.39130417228095</v>
      </c>
      <c r="I4" s="20">
        <v>9472493.1300000008</v>
      </c>
      <c r="J4" s="21">
        <v>139795</v>
      </c>
      <c r="K4" s="22">
        <v>104.42302112962572</v>
      </c>
      <c r="L4" t="s">
        <v>313</v>
      </c>
      <c r="M4" s="21" t="s">
        <v>314</v>
      </c>
      <c r="N4" s="22" t="s">
        <v>262</v>
      </c>
      <c r="O4" s="20" t="s">
        <v>313</v>
      </c>
      <c r="P4" s="21" t="s">
        <v>262</v>
      </c>
      <c r="Q4" s="22" t="s">
        <v>263</v>
      </c>
      <c r="R4" s="20" t="s">
        <v>313</v>
      </c>
      <c r="S4" s="21" t="s">
        <v>262</v>
      </c>
      <c r="T4" s="22" t="s">
        <v>262</v>
      </c>
      <c r="U4" s="20" t="s">
        <v>313</v>
      </c>
      <c r="V4" s="21" t="s">
        <v>262</v>
      </c>
      <c r="W4" s="140" t="s">
        <v>262</v>
      </c>
      <c r="X4" s="147" t="s">
        <v>313</v>
      </c>
      <c r="Y4" s="21" t="s">
        <v>262</v>
      </c>
      <c r="Z4" s="140" t="s">
        <v>262</v>
      </c>
      <c r="AA4" s="20" t="s">
        <v>313</v>
      </c>
      <c r="AB4" s="21" t="s">
        <v>262</v>
      </c>
      <c r="AC4" s="22" t="s">
        <v>262</v>
      </c>
      <c r="AD4" s="655" t="s">
        <v>504</v>
      </c>
      <c r="AE4" s="21" t="s">
        <v>262</v>
      </c>
      <c r="AF4" s="22" t="s">
        <v>262</v>
      </c>
      <c r="AG4" s="158" t="s">
        <v>313</v>
      </c>
      <c r="AH4" s="566" t="s">
        <v>504</v>
      </c>
      <c r="AI4" s="566" t="s">
        <v>504</v>
      </c>
      <c r="AJ4" s="566" t="s">
        <v>504</v>
      </c>
      <c r="AK4" s="566" t="s">
        <v>505</v>
      </c>
      <c r="AL4" s="22"/>
      <c r="AM4" s="566" t="s">
        <v>504</v>
      </c>
      <c r="AN4" s="566" t="s">
        <v>566</v>
      </c>
      <c r="AO4" s="22"/>
      <c r="AP4" s="566" t="s">
        <v>504</v>
      </c>
      <c r="AQ4" s="566" t="s">
        <v>566</v>
      </c>
      <c r="AR4" s="22"/>
      <c r="AS4" s="566" t="s">
        <v>504</v>
      </c>
      <c r="AT4" s="566" t="s">
        <v>566</v>
      </c>
      <c r="AU4" s="22"/>
      <c r="AV4" s="566" t="s">
        <v>504</v>
      </c>
      <c r="AW4" s="566" t="s">
        <v>566</v>
      </c>
      <c r="AX4" s="22"/>
    </row>
    <row r="5" spans="1:50" x14ac:dyDescent="0.2">
      <c r="A5" s="1" t="s">
        <v>25</v>
      </c>
      <c r="B5" s="20">
        <v>6843374.9000000004</v>
      </c>
      <c r="C5" s="21">
        <v>76108.583333333343</v>
      </c>
      <c r="D5" s="22">
        <v>126.16340429202303</v>
      </c>
      <c r="E5" s="1"/>
      <c r="F5" s="20">
        <v>7166991.0900000008</v>
      </c>
      <c r="G5" s="21">
        <v>76595.645416666666</v>
      </c>
      <c r="H5" s="22">
        <v>131.22652888085605</v>
      </c>
      <c r="I5" s="20">
        <v>7295965.2699999996</v>
      </c>
      <c r="J5" s="21">
        <v>78110</v>
      </c>
      <c r="K5" s="22">
        <v>130.06942554724256</v>
      </c>
      <c r="L5" s="20">
        <v>7181710.9500000002</v>
      </c>
      <c r="M5" s="21">
        <v>77958</v>
      </c>
      <c r="N5" s="22">
        <v>127.63424977806429</v>
      </c>
      <c r="O5" s="20">
        <v>8221892.419999999</v>
      </c>
      <c r="P5" s="21">
        <v>81829.350000000006</v>
      </c>
      <c r="Q5" s="22">
        <v>130.76218836079624</v>
      </c>
      <c r="R5" s="20">
        <v>8758697.8399999999</v>
      </c>
      <c r="S5" s="21">
        <v>103600.07916666666</v>
      </c>
      <c r="T5" s="22">
        <v>125.83703422768252</v>
      </c>
      <c r="U5" s="20">
        <v>10231800.85</v>
      </c>
      <c r="V5" s="21">
        <v>101283</v>
      </c>
      <c r="W5" s="140">
        <v>142.06</v>
      </c>
      <c r="X5" s="147">
        <v>10195355.860000001</v>
      </c>
      <c r="Y5" s="21">
        <v>109736</v>
      </c>
      <c r="Z5" s="140">
        <v>133.26</v>
      </c>
      <c r="AA5" s="20">
        <v>9743300.9699999988</v>
      </c>
      <c r="AB5" s="21">
        <v>94790</v>
      </c>
      <c r="AC5" s="30">
        <v>102.78827903787318</v>
      </c>
      <c r="AD5" s="158">
        <v>10284011.460000001</v>
      </c>
      <c r="AE5" s="21">
        <f>'Qtrly''s-Cntsht Book'!X200</f>
        <v>107202.93333333332</v>
      </c>
      <c r="AF5" s="30">
        <f>AD5/AE5</f>
        <v>95.930317764936802</v>
      </c>
      <c r="AG5" s="158">
        <v>10008008.4</v>
      </c>
      <c r="AH5" s="21">
        <f>'Qtrly''s-Cntsht Book'!X170</f>
        <v>101125.68333333333</v>
      </c>
      <c r="AI5" s="30">
        <f t="shared" ref="AI5:AI12" si="0">AG5/AH5</f>
        <v>98.966039784486014</v>
      </c>
      <c r="AJ5" s="158">
        <v>11263994.27</v>
      </c>
      <c r="AK5" s="21">
        <f>'Qtrly''s-Cntsht Book'!X141</f>
        <v>101981.62999999999</v>
      </c>
      <c r="AL5" s="30">
        <f t="shared" ref="AL5:AL12" si="1">AJ5/AK5</f>
        <v>110.45120841861421</v>
      </c>
      <c r="AM5" s="158">
        <f>'[1]BILLING RATE CALC'!$C$28</f>
        <v>11724155.279999997</v>
      </c>
      <c r="AN5" s="21">
        <f>'[1]Qtrly''s-Cntsht Book'!X7</f>
        <v>103875.65416666666</v>
      </c>
      <c r="AO5" s="30">
        <f>AM5/AN5</f>
        <v>112.86721007011707</v>
      </c>
      <c r="AP5" s="389">
        <v>11577121.589999998</v>
      </c>
      <c r="AQ5" s="474">
        <v>100018.51666666668</v>
      </c>
      <c r="AR5" s="30">
        <f>AP5/AQ5</f>
        <v>115.74978289853325</v>
      </c>
      <c r="AS5" s="389">
        <v>11514594.23</v>
      </c>
      <c r="AT5" s="474">
        <v>98447</v>
      </c>
      <c r="AU5" s="30">
        <f>AS5/AT5</f>
        <v>116.96236787306876</v>
      </c>
      <c r="AV5" s="158">
        <f>'BILLING RATE CALC'!C28</f>
        <v>11556642.350000001</v>
      </c>
      <c r="AW5" s="602">
        <f>'BILLING RATE CALC'!D28</f>
        <v>98918.041666666686</v>
      </c>
      <c r="AX5" s="30">
        <f>AV5/AW5</f>
        <v>116.83048062095176</v>
      </c>
    </row>
    <row r="6" spans="1:50" x14ac:dyDescent="0.2">
      <c r="A6" s="564" t="s">
        <v>484</v>
      </c>
      <c r="B6" s="20"/>
      <c r="C6" s="21"/>
      <c r="D6" s="22"/>
      <c r="E6" s="1"/>
      <c r="F6" s="20"/>
      <c r="G6" s="21"/>
      <c r="H6" s="22"/>
      <c r="I6" s="20"/>
      <c r="J6" s="21"/>
      <c r="K6" s="22"/>
      <c r="L6" s="20"/>
      <c r="M6" s="21"/>
      <c r="N6" s="22"/>
      <c r="O6" s="20"/>
      <c r="P6" s="21"/>
      <c r="Q6" s="22"/>
      <c r="R6" s="20"/>
      <c r="S6" s="21"/>
      <c r="T6" s="22"/>
      <c r="U6" s="565" t="s">
        <v>503</v>
      </c>
      <c r="V6" s="21"/>
      <c r="W6" s="140"/>
      <c r="X6" s="147" t="s">
        <v>313</v>
      </c>
      <c r="Y6" s="147" t="s">
        <v>313</v>
      </c>
      <c r="Z6" s="147" t="s">
        <v>313</v>
      </c>
      <c r="AA6" s="147" t="s">
        <v>313</v>
      </c>
      <c r="AB6" s="147" t="s">
        <v>313</v>
      </c>
      <c r="AC6" s="147" t="s">
        <v>313</v>
      </c>
      <c r="AD6" s="147" t="s">
        <v>313</v>
      </c>
      <c r="AE6" s="147" t="s">
        <v>313</v>
      </c>
      <c r="AF6" s="147" t="s">
        <v>313</v>
      </c>
      <c r="AG6" s="147" t="s">
        <v>313</v>
      </c>
      <c r="AH6" s="566" t="s">
        <v>504</v>
      </c>
      <c r="AI6" s="30"/>
      <c r="AJ6" s="158">
        <v>0</v>
      </c>
      <c r="AK6" s="21">
        <v>0</v>
      </c>
      <c r="AL6" s="30">
        <v>0</v>
      </c>
      <c r="AM6" s="158">
        <f>'[1]BILLING RATE CALC'!C29</f>
        <v>25814892.539999999</v>
      </c>
      <c r="AN6" s="21">
        <f>'[1]Qtrly''s-Cntsht Book'!X8</f>
        <v>157039.42500000002</v>
      </c>
      <c r="AO6" s="30">
        <f t="shared" ref="AO6:AO12" si="2">AM6/AN6</f>
        <v>164.38478770538032</v>
      </c>
      <c r="AP6" s="389">
        <v>46469734.969999999</v>
      </c>
      <c r="AQ6" s="474">
        <v>453733.32500000001</v>
      </c>
      <c r="AR6" s="30">
        <f t="shared" ref="AR6:AR12" si="3">AP6/AQ6</f>
        <v>102.41640278460922</v>
      </c>
      <c r="AS6" s="389">
        <v>50543417.939999998</v>
      </c>
      <c r="AT6" s="474">
        <v>513138</v>
      </c>
      <c r="AU6" s="30">
        <f t="shared" ref="AU6:AU11" si="4">AS6/AT6</f>
        <v>98.498684447458572</v>
      </c>
      <c r="AV6" s="158">
        <f>'BILLING RATE CALC'!C29</f>
        <v>44848433.690000005</v>
      </c>
      <c r="AW6" s="602">
        <f>'BILLING RATE CALC'!D29</f>
        <v>459224.74999999994</v>
      </c>
      <c r="AX6" s="30">
        <f t="shared" ref="AX6:AX11" si="5">AV6/AW6</f>
        <v>97.661185922579321</v>
      </c>
    </row>
    <row r="7" spans="1:50" x14ac:dyDescent="0.2">
      <c r="A7" s="1" t="s">
        <v>112</v>
      </c>
      <c r="B7" s="20">
        <v>7142287.0600000005</v>
      </c>
      <c r="C7" s="21">
        <v>105991.13333333335</v>
      </c>
      <c r="D7" s="22">
        <v>103.63316641167151</v>
      </c>
      <c r="E7" s="1"/>
      <c r="F7" s="20">
        <v>7299380.0100000007</v>
      </c>
      <c r="G7" s="21">
        <v>103376.09083333332</v>
      </c>
      <c r="H7" s="22">
        <v>108.26730152323337</v>
      </c>
      <c r="I7" s="20">
        <v>7299380.0100000007</v>
      </c>
      <c r="J7" s="21">
        <v>103295</v>
      </c>
      <c r="K7" s="22">
        <v>107.32851204571601</v>
      </c>
      <c r="L7" s="20">
        <v>7398555.71</v>
      </c>
      <c r="M7" s="21">
        <v>107970</v>
      </c>
      <c r="N7" s="22">
        <v>104.03560783135765</v>
      </c>
      <c r="O7" s="20">
        <v>7697246.9099999992</v>
      </c>
      <c r="P7" s="21">
        <v>113687.97958333335</v>
      </c>
      <c r="Q7" s="22">
        <v>97.991126912776693</v>
      </c>
      <c r="R7" s="20">
        <v>8564813.7899999991</v>
      </c>
      <c r="S7" s="21">
        <v>122196.67708333333</v>
      </c>
      <c r="T7" s="22">
        <v>111.38408187049444</v>
      </c>
      <c r="U7" s="20">
        <v>9796565.5199999996</v>
      </c>
      <c r="V7" s="21">
        <v>121011</v>
      </c>
      <c r="W7" s="140">
        <v>122</v>
      </c>
      <c r="X7" s="147">
        <v>9668374.5</v>
      </c>
      <c r="Y7" s="21">
        <v>140284</v>
      </c>
      <c r="Z7" s="140">
        <v>109.27</v>
      </c>
      <c r="AA7" s="20">
        <v>9905372.1500000004</v>
      </c>
      <c r="AB7" s="21">
        <v>129251</v>
      </c>
      <c r="AC7" s="30">
        <v>76.63671577009076</v>
      </c>
      <c r="AD7" s="158">
        <v>10581088.6</v>
      </c>
      <c r="AE7" s="21">
        <f>'Qtrly''s-Cntsht Book'!X201</f>
        <v>139120.66249999998</v>
      </c>
      <c r="AF7" s="30">
        <f>AD7/AE7</f>
        <v>76.0569164195865</v>
      </c>
      <c r="AG7" s="158">
        <v>10367304.35</v>
      </c>
      <c r="AH7" s="21">
        <f>'Qtrly''s-Cntsht Book'!X171</f>
        <v>146938.35416666669</v>
      </c>
      <c r="AI7" s="30">
        <f t="shared" si="0"/>
        <v>70.555468031449124</v>
      </c>
      <c r="AJ7" s="158">
        <v>11545267.449999999</v>
      </c>
      <c r="AK7" s="21">
        <f>'Qtrly''s-Cntsht Book'!X142</f>
        <v>151887.25499999995</v>
      </c>
      <c r="AL7" s="30">
        <f t="shared" si="1"/>
        <v>76.012088374366911</v>
      </c>
      <c r="AM7" s="158">
        <f>'[1]BILLING RATE CALC'!$C$30</f>
        <v>12364904.52</v>
      </c>
      <c r="AN7" s="21">
        <f>'[1]Qtrly''s-Cntsht Book'!X9</f>
        <v>151855.20833333334</v>
      </c>
      <c r="AO7" s="30">
        <f t="shared" si="2"/>
        <v>81.42562020565093</v>
      </c>
      <c r="AP7" s="389">
        <v>12740801.75</v>
      </c>
      <c r="AQ7" s="474">
        <v>153873.96250000002</v>
      </c>
      <c r="AR7" s="30">
        <f t="shared" si="3"/>
        <v>82.800244713266537</v>
      </c>
      <c r="AS7" s="389">
        <v>12664955.34</v>
      </c>
      <c r="AT7" s="474">
        <v>154684</v>
      </c>
      <c r="AU7" s="30">
        <f t="shared" si="4"/>
        <v>81.876311318559132</v>
      </c>
      <c r="AV7" s="158">
        <f>'BILLING RATE CALC'!C30</f>
        <v>12729365.569999998</v>
      </c>
      <c r="AW7" s="602">
        <f>'BILLING RATE CALC'!D30</f>
        <v>135904.70833333334</v>
      </c>
      <c r="AX7" s="30">
        <f t="shared" si="5"/>
        <v>93.663904114187829</v>
      </c>
    </row>
    <row r="8" spans="1:50" x14ac:dyDescent="0.2">
      <c r="A8" s="1" t="s">
        <v>16</v>
      </c>
      <c r="B8" s="20">
        <v>2759922.38</v>
      </c>
      <c r="C8" s="21">
        <v>20514.825000000001</v>
      </c>
      <c r="D8" s="22">
        <v>170.78053276375562</v>
      </c>
      <c r="E8" s="1"/>
      <c r="F8" s="20">
        <v>2953749.72</v>
      </c>
      <c r="G8" s="21">
        <v>20327.367083333338</v>
      </c>
      <c r="H8" s="22">
        <v>182.96637383175121</v>
      </c>
      <c r="I8" s="20">
        <v>2953749.72</v>
      </c>
      <c r="J8" s="21">
        <v>20440</v>
      </c>
      <c r="K8" s="22">
        <v>181.17143941047573</v>
      </c>
      <c r="L8" s="20">
        <v>2733184.2</v>
      </c>
      <c r="M8" s="21">
        <v>21594</v>
      </c>
      <c r="N8" s="22">
        <v>162.08289216959975</v>
      </c>
      <c r="O8" s="20">
        <v>2914942.68</v>
      </c>
      <c r="P8" s="21">
        <v>23087.071249999997</v>
      </c>
      <c r="Q8" s="22">
        <v>156.54476712961858</v>
      </c>
      <c r="R8" s="20">
        <v>3148961.34</v>
      </c>
      <c r="S8" s="21">
        <v>23551.89875</v>
      </c>
      <c r="T8" s="22">
        <v>174.99676072487296</v>
      </c>
      <c r="U8" s="20">
        <v>3501265.65</v>
      </c>
      <c r="V8" s="21">
        <v>21658</v>
      </c>
      <c r="W8" s="140">
        <v>202.7</v>
      </c>
      <c r="X8" s="147">
        <v>3732359.16</v>
      </c>
      <c r="Y8" s="21">
        <v>21250</v>
      </c>
      <c r="Z8" s="140">
        <v>215.99</v>
      </c>
      <c r="AA8" s="20">
        <v>3618116.89</v>
      </c>
      <c r="AB8" s="21">
        <v>17189</v>
      </c>
      <c r="AC8" s="30">
        <v>210.49024899645124</v>
      </c>
      <c r="AD8" s="158">
        <v>3935511.29</v>
      </c>
      <c r="AE8" s="21">
        <f>'Qtrly''s-Cntsht Book'!X202</f>
        <v>22008.04</v>
      </c>
      <c r="AF8" s="30">
        <f t="shared" ref="AF8:AF16" si="6">AD8/AE8</f>
        <v>178.82152567879737</v>
      </c>
      <c r="AG8" s="158">
        <v>4110405.23</v>
      </c>
      <c r="AH8" s="21">
        <f>'Qtrly''s-Cntsht Book'!X172</f>
        <v>23030.283333333336</v>
      </c>
      <c r="AI8" s="30">
        <f t="shared" si="0"/>
        <v>178.47827447483999</v>
      </c>
      <c r="AJ8" s="158">
        <v>4466229.38</v>
      </c>
      <c r="AK8" s="21">
        <f>'Qtrly''s-Cntsht Book'!X143</f>
        <v>23195.555000000004</v>
      </c>
      <c r="AL8" s="30">
        <f t="shared" si="1"/>
        <v>192.5467780357055</v>
      </c>
      <c r="AM8" s="158">
        <f>'[1]BILLING RATE CALC'!$C$31</f>
        <v>4633129.21</v>
      </c>
      <c r="AN8" s="21">
        <f>'[1]Qtrly''s-Cntsht Book'!X10</f>
        <v>24554.462499999998</v>
      </c>
      <c r="AO8" s="30">
        <f t="shared" si="2"/>
        <v>188.68786926205371</v>
      </c>
      <c r="AP8" s="389">
        <v>4477204.46</v>
      </c>
      <c r="AQ8" s="474">
        <v>24480.245833333338</v>
      </c>
      <c r="AR8" s="30">
        <f t="shared" si="3"/>
        <v>182.89050242721211</v>
      </c>
      <c r="AS8" s="389">
        <v>4520349.4400000004</v>
      </c>
      <c r="AT8" s="474">
        <v>22995</v>
      </c>
      <c r="AU8" s="30">
        <f t="shared" si="4"/>
        <v>196.57966688410525</v>
      </c>
      <c r="AV8" s="158">
        <f>'BILLING RATE CALC'!C31</f>
        <v>4646328.21</v>
      </c>
      <c r="AW8" s="602">
        <f>'BILLING RATE CALC'!D31</f>
        <v>19545.749999999996</v>
      </c>
      <c r="AX8" s="30">
        <f t="shared" si="5"/>
        <v>237.71552434672503</v>
      </c>
    </row>
    <row r="9" spans="1:50" x14ac:dyDescent="0.2">
      <c r="A9" s="1" t="s">
        <v>113</v>
      </c>
      <c r="B9" s="20">
        <v>5827761.3599999994</v>
      </c>
      <c r="C9" s="21">
        <v>61079.708333333336</v>
      </c>
      <c r="D9" s="22">
        <v>131.65985981235076</v>
      </c>
      <c r="E9" s="1"/>
      <c r="F9" s="20">
        <v>6041167.71</v>
      </c>
      <c r="G9" s="21">
        <v>60596.174583333333</v>
      </c>
      <c r="H9" s="22">
        <v>137.35288676576835</v>
      </c>
      <c r="I9" s="20">
        <v>6041167.71</v>
      </c>
      <c r="J9" s="21">
        <v>60590</v>
      </c>
      <c r="K9" s="22">
        <v>136.36882530630956</v>
      </c>
      <c r="L9" s="20">
        <v>5955706.8499999996</v>
      </c>
      <c r="M9" s="21">
        <v>61854</v>
      </c>
      <c r="N9" s="22">
        <v>131.79795501852831</v>
      </c>
      <c r="O9" s="20">
        <v>6103915.25</v>
      </c>
      <c r="P9" s="21">
        <v>65060.945833333324</v>
      </c>
      <c r="Q9" s="22">
        <v>124.10452876467015</v>
      </c>
      <c r="R9" s="20">
        <v>6622277.96</v>
      </c>
      <c r="S9" s="21">
        <v>72068.945833333331</v>
      </c>
      <c r="T9" s="22">
        <v>133.18177587264827</v>
      </c>
      <c r="U9" s="20">
        <v>7491800.2199999997</v>
      </c>
      <c r="V9" s="21">
        <v>70195</v>
      </c>
      <c r="W9" s="140">
        <v>147.77000000000001</v>
      </c>
      <c r="X9" s="147">
        <v>7881180.6600000001</v>
      </c>
      <c r="Y9" s="21">
        <v>75821</v>
      </c>
      <c r="Z9" s="140">
        <v>144.29</v>
      </c>
      <c r="AA9" s="20">
        <v>7690593.1700000009</v>
      </c>
      <c r="AB9" s="21">
        <v>73065</v>
      </c>
      <c r="AC9" s="30">
        <v>105.2568694997605</v>
      </c>
      <c r="AD9" s="158">
        <v>8262094.5700000003</v>
      </c>
      <c r="AE9" s="21">
        <f>'Qtrly''s-Cntsht Book'!X203</f>
        <v>77820.737500000003</v>
      </c>
      <c r="AF9" s="30">
        <f t="shared" si="6"/>
        <v>106.16828926865414</v>
      </c>
      <c r="AG9" s="158">
        <v>8336468.46</v>
      </c>
      <c r="AH9" s="21">
        <f>'Qtrly''s-Cntsht Book'!X173</f>
        <v>83881.5625</v>
      </c>
      <c r="AI9" s="30">
        <f t="shared" si="0"/>
        <v>99.383800343490265</v>
      </c>
      <c r="AJ9" s="158">
        <v>9182902.6799999997</v>
      </c>
      <c r="AK9" s="21">
        <f>'Qtrly''s-Cntsht Book'!X144</f>
        <v>85682.125000000015</v>
      </c>
      <c r="AL9" s="30">
        <f t="shared" si="1"/>
        <v>107.17407720688531</v>
      </c>
      <c r="AM9" s="158">
        <f>'[1]BILLING RATE CALC'!$C$32</f>
        <v>10184171.329999998</v>
      </c>
      <c r="AN9" s="21">
        <f>'[1]Qtrly''s-Cntsht Book'!X11</f>
        <v>87583.879166666666</v>
      </c>
      <c r="AO9" s="30">
        <f t="shared" si="2"/>
        <v>116.2790621618866</v>
      </c>
      <c r="AP9" s="389">
        <v>10195510.209999999</v>
      </c>
      <c r="AQ9" s="474">
        <v>87468.904166666674</v>
      </c>
      <c r="AR9" s="30">
        <f t="shared" si="3"/>
        <v>116.56154043696574</v>
      </c>
      <c r="AS9" s="389">
        <v>10029719.15</v>
      </c>
      <c r="AT9" s="474">
        <v>86462</v>
      </c>
      <c r="AU9" s="30">
        <f t="shared" si="4"/>
        <v>116.00147058823529</v>
      </c>
      <c r="AV9" s="158">
        <f>'BILLING RATE CALC'!C32</f>
        <v>9970901.6500000004</v>
      </c>
      <c r="AW9" s="602">
        <f>'BILLING RATE CALC'!D32</f>
        <v>81647.458333333343</v>
      </c>
      <c r="AX9" s="30">
        <f t="shared" si="5"/>
        <v>122.12139671626846</v>
      </c>
    </row>
    <row r="10" spans="1:50" x14ac:dyDescent="0.2">
      <c r="A10" s="1" t="s">
        <v>18</v>
      </c>
      <c r="B10" s="20">
        <v>2699075.64</v>
      </c>
      <c r="C10" s="21">
        <v>30399.32916666667</v>
      </c>
      <c r="D10" s="22">
        <v>125.03480529704403</v>
      </c>
      <c r="E10" s="1"/>
      <c r="F10" s="20">
        <v>2708207.76</v>
      </c>
      <c r="G10" s="21">
        <v>29603.233750000003</v>
      </c>
      <c r="H10" s="22">
        <v>129.14086826467116</v>
      </c>
      <c r="I10" s="20">
        <v>2708207.76</v>
      </c>
      <c r="J10" s="21">
        <v>29565</v>
      </c>
      <c r="K10" s="22">
        <v>128.26495444997707</v>
      </c>
      <c r="L10" s="20">
        <v>2764083.17</v>
      </c>
      <c r="M10" s="21">
        <v>31842</v>
      </c>
      <c r="N10" s="22">
        <v>122.31763257215944</v>
      </c>
      <c r="O10" s="20">
        <v>3048248.56</v>
      </c>
      <c r="P10" s="21">
        <v>34806.460833333331</v>
      </c>
      <c r="Q10" s="22">
        <v>117.86319730306413</v>
      </c>
      <c r="R10" s="20">
        <v>3317571.4</v>
      </c>
      <c r="S10" s="21">
        <v>36446.101666666669</v>
      </c>
      <c r="T10" s="22">
        <v>132.32046672808139</v>
      </c>
      <c r="U10" s="20">
        <v>3707178.25</v>
      </c>
      <c r="V10" s="21">
        <v>38410</v>
      </c>
      <c r="W10" s="140">
        <v>137.56</v>
      </c>
      <c r="X10" s="147">
        <v>3925122.09</v>
      </c>
      <c r="Y10" s="21">
        <v>41410</v>
      </c>
      <c r="Z10" s="140">
        <v>135.13999999999999</v>
      </c>
      <c r="AA10" s="20">
        <v>4091395.22</v>
      </c>
      <c r="AB10" s="21">
        <v>37712</v>
      </c>
      <c r="AC10" s="30">
        <v>108.49053935086975</v>
      </c>
      <c r="AD10" s="158">
        <v>4241143.1100000003</v>
      </c>
      <c r="AE10" s="21">
        <f>'Qtrly''s-Cntsht Book'!X204</f>
        <v>38900.118333333325</v>
      </c>
      <c r="AF10" s="30">
        <f t="shared" si="6"/>
        <v>109.02648350984026</v>
      </c>
      <c r="AG10" s="158">
        <v>4240361.3600000003</v>
      </c>
      <c r="AH10" s="21">
        <f>'Qtrly''s-Cntsht Book'!X174</f>
        <v>37470.59583333334</v>
      </c>
      <c r="AI10" s="30">
        <f t="shared" si="0"/>
        <v>113.1650368961529</v>
      </c>
      <c r="AJ10" s="158">
        <v>4486136.8899999997</v>
      </c>
      <c r="AK10" s="21">
        <f>'Qtrly''s-Cntsht Book'!X145</f>
        <v>35165.584999999999</v>
      </c>
      <c r="AL10" s="30">
        <f t="shared" si="1"/>
        <v>127.57179754012338</v>
      </c>
      <c r="AM10" s="158">
        <f>'[1]BILLING RATE CALC'!$C$33</f>
        <v>4563023.07</v>
      </c>
      <c r="AN10" s="21">
        <f>'[1]Qtrly''s-Cntsht Book'!X12</f>
        <v>36967.504166666658</v>
      </c>
      <c r="AO10" s="30">
        <f t="shared" si="2"/>
        <v>123.4333551280004</v>
      </c>
      <c r="AP10" s="389">
        <v>4846980.1399999997</v>
      </c>
      <c r="AQ10" s="474">
        <v>38009.275000000001</v>
      </c>
      <c r="AR10" s="30">
        <f t="shared" si="3"/>
        <v>127.52098375988491</v>
      </c>
      <c r="AS10" s="389">
        <v>4898489.6399999997</v>
      </c>
      <c r="AT10" s="474">
        <v>39000</v>
      </c>
      <c r="AU10" s="30">
        <f t="shared" si="4"/>
        <v>125.60229846153845</v>
      </c>
      <c r="AV10" s="158">
        <f>'BILLING RATE CALC'!C33</f>
        <v>5095669.38</v>
      </c>
      <c r="AW10" s="602">
        <f>'BILLING RATE CALC'!D33</f>
        <v>36630.791666666657</v>
      </c>
      <c r="AX10" s="30">
        <f t="shared" si="5"/>
        <v>139.10890669166085</v>
      </c>
    </row>
    <row r="11" spans="1:50" x14ac:dyDescent="0.2">
      <c r="A11" s="1" t="s">
        <v>19</v>
      </c>
      <c r="B11" s="20">
        <v>8207261.5800000001</v>
      </c>
      <c r="C11" s="21">
        <v>143569.70833333334</v>
      </c>
      <c r="D11" s="22">
        <v>93.413154117471635</v>
      </c>
      <c r="E11" s="1"/>
      <c r="F11" s="20">
        <v>8311351.2000000002</v>
      </c>
      <c r="G11" s="21">
        <v>140173.07916666666</v>
      </c>
      <c r="H11" s="22">
        <v>96.950848221157017</v>
      </c>
      <c r="I11" s="20">
        <v>8311351.2000000002</v>
      </c>
      <c r="J11" s="21">
        <v>140160</v>
      </c>
      <c r="K11" s="22">
        <v>95.962160056268303</v>
      </c>
      <c r="L11" s="20">
        <v>8446993.709999999</v>
      </c>
      <c r="M11" s="21">
        <v>140544</v>
      </c>
      <c r="N11" s="22">
        <v>95.613557527309055</v>
      </c>
      <c r="O11" s="20">
        <v>8922253.379999999</v>
      </c>
      <c r="P11" s="21">
        <v>143667.65</v>
      </c>
      <c r="Q11" s="22">
        <v>92.389533864531998</v>
      </c>
      <c r="R11" s="20">
        <v>9956649.9399999995</v>
      </c>
      <c r="S11" s="21">
        <v>148299.5</v>
      </c>
      <c r="T11" s="22">
        <v>108.43247981016688</v>
      </c>
      <c r="U11" s="20">
        <v>10900064.17</v>
      </c>
      <c r="V11" s="21">
        <v>143253</v>
      </c>
      <c r="W11" s="140">
        <v>117.13</v>
      </c>
      <c r="X11" s="147">
        <v>11838881.150000002</v>
      </c>
      <c r="Y11" s="21">
        <v>152147</v>
      </c>
      <c r="Z11" s="140">
        <v>118.16</v>
      </c>
      <c r="AA11" s="20">
        <v>12051609.629999999</v>
      </c>
      <c r="AB11" s="21">
        <v>161728</v>
      </c>
      <c r="AC11" s="30">
        <v>74.51776828996833</v>
      </c>
      <c r="AD11" s="158">
        <v>12507800.460000001</v>
      </c>
      <c r="AE11" s="21">
        <f>'Qtrly''s-Cntsht Book'!X205</f>
        <v>182553.53333333335</v>
      </c>
      <c r="AF11" s="30">
        <f t="shared" si="6"/>
        <v>68.515794964983783</v>
      </c>
      <c r="AG11" s="158">
        <v>12108368.67</v>
      </c>
      <c r="AH11" s="21">
        <f>'Qtrly''s-Cntsht Book'!X175</f>
        <v>183526.5625</v>
      </c>
      <c r="AI11" s="30">
        <f t="shared" si="0"/>
        <v>65.976109970457273</v>
      </c>
      <c r="AJ11" s="158">
        <v>13367392.85</v>
      </c>
      <c r="AK11" s="21">
        <f>'Qtrly''s-Cntsht Book'!X146</f>
        <v>183184.52499999999</v>
      </c>
      <c r="AL11" s="30">
        <f t="shared" si="1"/>
        <v>72.972282183770716</v>
      </c>
      <c r="AM11" s="158">
        <f>'[1]BILLING RATE CALC'!$C$34</f>
        <v>13842070.17</v>
      </c>
      <c r="AN11" s="21">
        <f>'[1]Qtrly''s-Cntsht Book'!X13</f>
        <v>180001.87916666671</v>
      </c>
      <c r="AO11" s="30">
        <f t="shared" si="2"/>
        <v>76.89958701588553</v>
      </c>
      <c r="AP11" s="389">
        <v>13418699.330000002</v>
      </c>
      <c r="AQ11" s="474">
        <v>183310.90833333333</v>
      </c>
      <c r="AR11" s="30">
        <f t="shared" si="3"/>
        <v>73.201859354705633</v>
      </c>
      <c r="AS11" s="389">
        <v>13350499.869999999</v>
      </c>
      <c r="AT11" s="474">
        <v>183534</v>
      </c>
      <c r="AU11" s="30">
        <f t="shared" si="4"/>
        <v>72.741289733782295</v>
      </c>
      <c r="AV11" s="158">
        <f>'BILLING RATE CALC'!C34</f>
        <v>13075634.860000001</v>
      </c>
      <c r="AW11" s="602">
        <f>'BILLING RATE CALC'!D34</f>
        <v>180115.33333333334</v>
      </c>
      <c r="AX11" s="30">
        <f t="shared" si="5"/>
        <v>72.595900737675493</v>
      </c>
    </row>
    <row r="12" spans="1:50" x14ac:dyDescent="0.2">
      <c r="A12" s="1" t="s">
        <v>359</v>
      </c>
      <c r="B12" s="20"/>
      <c r="C12" s="21"/>
      <c r="D12" s="22"/>
      <c r="E12" s="1"/>
      <c r="F12" s="20"/>
      <c r="G12" s="21"/>
      <c r="H12" s="22"/>
      <c r="I12" s="23">
        <v>2330932.15</v>
      </c>
      <c r="J12" s="21">
        <v>34310</v>
      </c>
      <c r="K12" s="22">
        <v>104.60053480124061</v>
      </c>
      <c r="L12" s="20">
        <v>2389598.2999999998</v>
      </c>
      <c r="M12" s="21">
        <v>35136</v>
      </c>
      <c r="N12" s="22">
        <v>103.52139770547392</v>
      </c>
      <c r="O12" s="20">
        <v>2644884.66</v>
      </c>
      <c r="P12" s="21">
        <v>35896.989583333328</v>
      </c>
      <c r="Q12" s="22">
        <v>103.96595297988468</v>
      </c>
      <c r="R12" s="20">
        <v>3089261.72</v>
      </c>
      <c r="S12" s="21">
        <v>35735.5075</v>
      </c>
      <c r="T12" s="22">
        <v>127.7416433057989</v>
      </c>
      <c r="U12" s="20">
        <v>3626206.66</v>
      </c>
      <c r="V12" s="21">
        <v>39250</v>
      </c>
      <c r="W12" s="140">
        <v>133.43</v>
      </c>
      <c r="X12" s="147">
        <v>3797182.17</v>
      </c>
      <c r="Y12" s="21">
        <v>44263</v>
      </c>
      <c r="Z12" s="140">
        <v>126.14</v>
      </c>
      <c r="AA12" s="20">
        <v>3906004.53</v>
      </c>
      <c r="AB12" s="21">
        <v>42940</v>
      </c>
      <c r="AC12" s="30">
        <v>90.964241499767112</v>
      </c>
      <c r="AD12" s="158">
        <v>3769359.7</v>
      </c>
      <c r="AE12" s="21">
        <f>'Qtrly''s-Cntsht Book'!X206</f>
        <v>42361.595833333333</v>
      </c>
      <c r="AF12" s="30">
        <f t="shared" si="6"/>
        <v>88.980587861470056</v>
      </c>
      <c r="AG12" s="158">
        <v>3584193.87</v>
      </c>
      <c r="AH12" s="21">
        <f>'Qtrly''s-Cntsht Book'!X176</f>
        <v>43762.587499999994</v>
      </c>
      <c r="AI12" s="30">
        <f t="shared" si="0"/>
        <v>81.90086726476126</v>
      </c>
      <c r="AJ12" s="158">
        <v>3810246.96</v>
      </c>
      <c r="AK12" s="21">
        <f>'Qtrly''s-Cntsht Book'!X147</f>
        <v>40484.480000000003</v>
      </c>
      <c r="AL12" s="30">
        <f t="shared" si="1"/>
        <v>94.116238123843999</v>
      </c>
      <c r="AM12" s="158">
        <f>'[1]BILLING RATE CALC'!$C$35</f>
        <v>2808343.89</v>
      </c>
      <c r="AN12" s="21">
        <f>'[1]Qtrly''s-Cntsht Book'!X14</f>
        <v>24092.129166666666</v>
      </c>
      <c r="AO12" s="30">
        <f t="shared" si="2"/>
        <v>116.56686175689123</v>
      </c>
      <c r="AP12" s="389">
        <v>3051516.9800000004</v>
      </c>
      <c r="AQ12" s="474">
        <v>32252.008333333339</v>
      </c>
      <c r="AR12" s="30">
        <f t="shared" si="3"/>
        <v>94.614789518275472</v>
      </c>
      <c r="AS12" s="389">
        <v>0</v>
      </c>
      <c r="AT12" s="474">
        <v>0</v>
      </c>
      <c r="AU12" s="17">
        <v>0</v>
      </c>
      <c r="AV12" s="158">
        <f>'BILLING RATE CALC'!C35</f>
        <v>206733.59</v>
      </c>
      <c r="AW12" s="602">
        <f>'BILLING RATE CALC'!D35</f>
        <v>1460</v>
      </c>
      <c r="AX12" s="30">
        <v>0</v>
      </c>
    </row>
    <row r="13" spans="1:50" x14ac:dyDescent="0.2">
      <c r="A13" s="1" t="s">
        <v>260</v>
      </c>
      <c r="B13" s="20">
        <v>3419265.19</v>
      </c>
      <c r="C13" s="21">
        <v>31338.595833333333</v>
      </c>
      <c r="D13" s="22">
        <v>145.35462314972062</v>
      </c>
      <c r="E13" s="1"/>
      <c r="F13" s="20" t="s">
        <v>261</v>
      </c>
      <c r="G13" s="21" t="s">
        <v>262</v>
      </c>
      <c r="H13" s="22" t="s">
        <v>263</v>
      </c>
      <c r="I13" s="20" t="s">
        <v>261</v>
      </c>
      <c r="J13" s="21" t="s">
        <v>262</v>
      </c>
      <c r="K13" s="22" t="s">
        <v>263</v>
      </c>
      <c r="L13" s="20" t="s">
        <v>261</v>
      </c>
      <c r="M13" s="21" t="s">
        <v>262</v>
      </c>
      <c r="N13" s="22" t="s">
        <v>263</v>
      </c>
      <c r="O13" s="20" t="s">
        <v>261</v>
      </c>
      <c r="P13" s="21" t="s">
        <v>262</v>
      </c>
      <c r="Q13" s="22" t="s">
        <v>263</v>
      </c>
      <c r="R13" s="20" t="s">
        <v>261</v>
      </c>
      <c r="S13" s="21" t="s">
        <v>262</v>
      </c>
      <c r="T13" s="140" t="s">
        <v>263</v>
      </c>
      <c r="U13" s="20" t="s">
        <v>261</v>
      </c>
      <c r="V13" s="21" t="s">
        <v>262</v>
      </c>
      <c r="W13" s="140" t="s">
        <v>263</v>
      </c>
      <c r="X13" s="147" t="s">
        <v>313</v>
      </c>
      <c r="Y13" s="21" t="s">
        <v>262</v>
      </c>
      <c r="Z13" s="140" t="s">
        <v>263</v>
      </c>
      <c r="AA13" s="20" t="s">
        <v>313</v>
      </c>
      <c r="AB13" s="21" t="s">
        <v>262</v>
      </c>
      <c r="AC13" s="22" t="s">
        <v>262</v>
      </c>
      <c r="AD13" s="158" t="s">
        <v>313</v>
      </c>
      <c r="AE13" s="21" t="s">
        <v>262</v>
      </c>
      <c r="AF13" s="22" t="s">
        <v>262</v>
      </c>
      <c r="AG13" s="158" t="s">
        <v>313</v>
      </c>
      <c r="AH13" s="566" t="s">
        <v>504</v>
      </c>
      <c r="AI13" s="22" t="s">
        <v>262</v>
      </c>
      <c r="AJ13" s="158" t="s">
        <v>313</v>
      </c>
      <c r="AK13" s="21" t="s">
        <v>262</v>
      </c>
      <c r="AL13" s="22" t="s">
        <v>262</v>
      </c>
      <c r="AM13" s="158" t="s">
        <v>313</v>
      </c>
      <c r="AN13" s="21" t="s">
        <v>262</v>
      </c>
      <c r="AO13" s="22" t="s">
        <v>262</v>
      </c>
      <c r="AP13" s="158" t="s">
        <v>313</v>
      </c>
      <c r="AQ13" s="21" t="s">
        <v>262</v>
      </c>
      <c r="AR13" s="22" t="s">
        <v>262</v>
      </c>
      <c r="AS13" s="158" t="s">
        <v>313</v>
      </c>
      <c r="AT13" s="21" t="s">
        <v>262</v>
      </c>
      <c r="AU13" s="22" t="s">
        <v>262</v>
      </c>
      <c r="AV13" s="158" t="s">
        <v>313</v>
      </c>
      <c r="AW13" s="21" t="s">
        <v>262</v>
      </c>
      <c r="AX13" s="22" t="s">
        <v>262</v>
      </c>
    </row>
    <row r="14" spans="1:50" x14ac:dyDescent="0.2">
      <c r="A14" s="1" t="s">
        <v>114</v>
      </c>
      <c r="B14" s="20">
        <v>13586189.510000002</v>
      </c>
      <c r="C14" s="21">
        <v>188029.75</v>
      </c>
      <c r="D14" s="22">
        <v>108.50299456736604</v>
      </c>
      <c r="E14" s="1"/>
      <c r="F14" s="20">
        <v>13814498.580000002</v>
      </c>
      <c r="G14" s="21">
        <v>174111.4483333333</v>
      </c>
      <c r="H14" s="22">
        <v>117.00020757470205</v>
      </c>
      <c r="I14" s="20">
        <v>13814498.580000002</v>
      </c>
      <c r="J14" s="21">
        <v>174105</v>
      </c>
      <c r="K14" s="22">
        <v>116.0089250041446</v>
      </c>
      <c r="L14" s="20">
        <v>14201185</v>
      </c>
      <c r="M14" s="21">
        <v>177144</v>
      </c>
      <c r="N14" s="22">
        <v>115.67889050323544</v>
      </c>
      <c r="O14" s="20">
        <v>15053552.92</v>
      </c>
      <c r="P14" s="21">
        <v>173736.04583333334</v>
      </c>
      <c r="Q14" s="22">
        <v>116.93221929879984</v>
      </c>
      <c r="R14" s="20">
        <v>16269860.390000001</v>
      </c>
      <c r="S14" s="21">
        <v>177677.43750000003</v>
      </c>
      <c r="T14" s="22">
        <v>132.8633312787793</v>
      </c>
      <c r="U14" s="20">
        <v>18421022.010000002</v>
      </c>
      <c r="V14" s="21">
        <v>172897</v>
      </c>
      <c r="W14" s="140">
        <v>147.59</v>
      </c>
      <c r="X14" s="147">
        <v>19526927.620000001</v>
      </c>
      <c r="Y14" s="21">
        <v>196419</v>
      </c>
      <c r="Z14" s="140">
        <v>139.76</v>
      </c>
      <c r="AA14" s="561">
        <v>19044803.41</v>
      </c>
      <c r="AB14" s="21">
        <v>195304</v>
      </c>
      <c r="AC14" s="30">
        <v>97.513637252693243</v>
      </c>
      <c r="AD14" s="159">
        <v>20860192.940000001</v>
      </c>
      <c r="AE14" s="21">
        <f>'Qtrly''s-Cntsht Book'!X207</f>
        <v>200418.15416666665</v>
      </c>
      <c r="AF14" s="30">
        <f t="shared" si="6"/>
        <v>104.08335026702611</v>
      </c>
      <c r="AG14" s="159">
        <v>21259252.710000001</v>
      </c>
      <c r="AH14" s="21">
        <f>'Qtrly''s-Cntsht Book'!X177</f>
        <v>200520.05</v>
      </c>
      <c r="AI14" s="30">
        <f>AG14/AH14</f>
        <v>106.02058352768215</v>
      </c>
      <c r="AJ14" s="159">
        <v>23701557.920000002</v>
      </c>
      <c r="AK14" s="21">
        <f>'Qtrly''s-Cntsht Book'!X148</f>
        <v>198029.48499999999</v>
      </c>
      <c r="AL14" s="30">
        <f>AJ14/AK14</f>
        <v>119.68701489073712</v>
      </c>
      <c r="AM14" s="159">
        <f>'[1]BILLING RATE CALC'!$C$36</f>
        <v>22076295.109999999</v>
      </c>
      <c r="AN14" s="21">
        <f>'[1]Qtrly''s-Cntsht Book'!X15</f>
        <v>126533.94166666668</v>
      </c>
      <c r="AO14" s="30">
        <f>AM14/AN14</f>
        <v>174.46935438205543</v>
      </c>
      <c r="AP14" s="389">
        <v>23895860.159999996</v>
      </c>
      <c r="AQ14" s="475">
        <v>168351.07916666666</v>
      </c>
      <c r="AR14" s="30">
        <f>AP14/AQ14</f>
        <v>141.94064141604477</v>
      </c>
      <c r="AS14" s="389">
        <v>21565441.68</v>
      </c>
      <c r="AT14" s="475">
        <v>192632</v>
      </c>
      <c r="AU14" s="30">
        <f>AS14/AT14</f>
        <v>111.95150172349349</v>
      </c>
      <c r="AV14" s="159">
        <f>'BILLING RATE CALC'!C36</f>
        <v>22390188.989999998</v>
      </c>
      <c r="AW14" s="602">
        <f>'BILLING RATE CALC'!D36</f>
        <v>187704.29166666666</v>
      </c>
      <c r="AX14" s="30">
        <f>AV14/AW14</f>
        <v>119.28437432726076</v>
      </c>
    </row>
    <row r="15" spans="1:50" x14ac:dyDescent="0.2">
      <c r="A15" s="1" t="s">
        <v>26</v>
      </c>
      <c r="B15" s="20">
        <v>8134816.5899999999</v>
      </c>
      <c r="C15" s="21">
        <v>130177.85833333335</v>
      </c>
      <c r="D15" s="22">
        <v>98.737480216869031</v>
      </c>
      <c r="E15" s="1"/>
      <c r="F15" s="20">
        <v>8641325.7200000007</v>
      </c>
      <c r="G15" s="21">
        <v>128241.29</v>
      </c>
      <c r="H15" s="22">
        <v>105.04069161625803</v>
      </c>
      <c r="I15" s="20">
        <v>8641325.7200000007</v>
      </c>
      <c r="J15" s="21">
        <v>128115</v>
      </c>
      <c r="K15" s="22">
        <v>104.11289387939597</v>
      </c>
      <c r="L15" s="20">
        <v>8271519.7600000007</v>
      </c>
      <c r="M15" s="21">
        <v>129930</v>
      </c>
      <c r="N15" s="22">
        <v>99.172782141644674</v>
      </c>
      <c r="O15" s="20">
        <v>8861688.3399999999</v>
      </c>
      <c r="P15" s="21">
        <v>129263.53333333334</v>
      </c>
      <c r="Q15" s="22">
        <v>98.841314525244101</v>
      </c>
      <c r="R15" s="20">
        <v>9695306.5999999996</v>
      </c>
      <c r="S15" s="21">
        <v>134469.34583333333</v>
      </c>
      <c r="T15" s="22">
        <v>113.39417989837223</v>
      </c>
      <c r="U15" s="20">
        <v>10448269.25</v>
      </c>
      <c r="V15" s="21">
        <v>133648</v>
      </c>
      <c r="W15" s="140">
        <v>119.22</v>
      </c>
      <c r="X15" s="147">
        <v>10982562.340000002</v>
      </c>
      <c r="Y15" s="21">
        <v>136916</v>
      </c>
      <c r="Z15" s="140">
        <v>120.56</v>
      </c>
      <c r="AA15" s="561">
        <v>12067388.890000001</v>
      </c>
      <c r="AB15" s="21">
        <v>132834</v>
      </c>
      <c r="AC15" s="30">
        <v>90.845633572729881</v>
      </c>
      <c r="AD15" s="159">
        <v>12779068.41</v>
      </c>
      <c r="AE15" s="21">
        <f>'Qtrly''s-Cntsht Book'!X208</f>
        <v>139381.94166666668</v>
      </c>
      <c r="AF15" s="30">
        <f t="shared" si="6"/>
        <v>91.683816835908857</v>
      </c>
      <c r="AG15" s="159">
        <v>12467851.560000001</v>
      </c>
      <c r="AH15" s="21">
        <f>'Qtrly''s-Cntsht Book'!X178</f>
        <v>146609.85416666669</v>
      </c>
      <c r="AI15" s="30">
        <f>AG15/AH15</f>
        <v>85.041020133793296</v>
      </c>
      <c r="AJ15" s="159">
        <v>14244441.1</v>
      </c>
      <c r="AK15" s="21">
        <f>'Qtrly''s-Cntsht Book'!X149</f>
        <v>157539.82</v>
      </c>
      <c r="AL15" s="30">
        <f>AJ15/AK15</f>
        <v>90.418035897209975</v>
      </c>
      <c r="AM15" s="159">
        <f>'[1]BILLING RATE CALC'!$C$37</f>
        <v>15170339.200000001</v>
      </c>
      <c r="AN15" s="21">
        <f>'[1]Qtrly''s-Cntsht Book'!X16</f>
        <v>159604.76666666666</v>
      </c>
      <c r="AO15" s="30">
        <f>AM15/AN15</f>
        <v>95.049411849228406</v>
      </c>
      <c r="AP15" s="389">
        <v>15292805.16</v>
      </c>
      <c r="AQ15" s="475">
        <v>158056.86249999999</v>
      </c>
      <c r="AR15" s="30">
        <f>AP15/AQ15</f>
        <v>96.755084961907315</v>
      </c>
      <c r="AS15" s="389">
        <v>15360566.380000001</v>
      </c>
      <c r="AT15" s="475">
        <v>157342</v>
      </c>
      <c r="AU15" s="30">
        <f>AS15/AT15</f>
        <v>97.625340849868451</v>
      </c>
      <c r="AV15" s="159">
        <f>'BILLING RATE CALC'!C37</f>
        <v>15004487</v>
      </c>
      <c r="AW15" s="602">
        <f>'BILLING RATE CALC'!D37</f>
        <v>146872.95833333334</v>
      </c>
      <c r="AX15" s="30">
        <f>AV15/AW15</f>
        <v>102.15962945300515</v>
      </c>
    </row>
    <row r="16" spans="1:50" x14ac:dyDescent="0.2">
      <c r="A16" s="14" t="s">
        <v>92</v>
      </c>
      <c r="B16" s="20">
        <v>3868924.76</v>
      </c>
      <c r="C16" s="21">
        <v>35373.062499999993</v>
      </c>
      <c r="D16" s="22">
        <v>145.62235144875612</v>
      </c>
      <c r="E16" s="1"/>
      <c r="F16" s="20">
        <v>4147309.37</v>
      </c>
      <c r="G16" s="21">
        <v>39512.345000000001</v>
      </c>
      <c r="H16" s="22">
        <v>142.61972714018285</v>
      </c>
      <c r="I16" s="20">
        <v>4147309.37</v>
      </c>
      <c r="J16" s="21">
        <v>39420</v>
      </c>
      <c r="K16" s="22">
        <v>141.87139001567976</v>
      </c>
      <c r="L16" s="20">
        <v>4309167.79</v>
      </c>
      <c r="M16" s="21">
        <v>43920</v>
      </c>
      <c r="N16" s="22">
        <v>133.62544859345206</v>
      </c>
      <c r="O16" s="20">
        <v>4247216.13</v>
      </c>
      <c r="P16" s="21">
        <v>41160.776250000003</v>
      </c>
      <c r="Q16" s="22">
        <v>133.47211370645763</v>
      </c>
      <c r="R16" s="20">
        <v>4428785.87</v>
      </c>
      <c r="S16" s="21">
        <v>42733.59166666666</v>
      </c>
      <c r="T16" s="22">
        <v>144.93079174407586</v>
      </c>
      <c r="U16" s="20">
        <v>4844664.5</v>
      </c>
      <c r="V16" s="21">
        <v>40962</v>
      </c>
      <c r="W16" s="140">
        <v>159.31</v>
      </c>
      <c r="X16" s="147">
        <v>5212389.76</v>
      </c>
      <c r="Y16" s="21">
        <v>39962</v>
      </c>
      <c r="Z16" s="140">
        <v>170.78</v>
      </c>
      <c r="AA16" s="561">
        <v>5636452.7800000003</v>
      </c>
      <c r="AB16" s="21">
        <v>43264</v>
      </c>
      <c r="AC16" s="30">
        <v>130.28043592825443</v>
      </c>
      <c r="AD16" s="159">
        <v>5676041.6699999999</v>
      </c>
      <c r="AE16" s="21">
        <f>'Qtrly''s-Cntsht Book'!X209</f>
        <v>46919.837499999994</v>
      </c>
      <c r="AF16" s="30">
        <f t="shared" si="6"/>
        <v>120.97317408654709</v>
      </c>
      <c r="AG16" s="159">
        <v>5845331.9500000002</v>
      </c>
      <c r="AH16" s="21">
        <f>'Qtrly''s-Cntsht Book'!X179</f>
        <v>57401.420833333337</v>
      </c>
      <c r="AI16" s="30">
        <f>AG16/AH16</f>
        <v>101.83253071334398</v>
      </c>
      <c r="AJ16" s="159">
        <v>7724430.5899999999</v>
      </c>
      <c r="AK16" s="21">
        <f>'Qtrly''s-Cntsht Book'!X150</f>
        <v>56705.904999999999</v>
      </c>
      <c r="AL16" s="30">
        <f>AJ16/AK16</f>
        <v>136.21915724649841</v>
      </c>
      <c r="AM16" s="159">
        <f>'[1]BILLING RATE CALC'!$C$38</f>
        <v>8102930.7299999995</v>
      </c>
      <c r="AN16" s="21">
        <f>'[1]Qtrly''s-Cntsht Book'!X17</f>
        <v>67399.683333333334</v>
      </c>
      <c r="AO16" s="30">
        <f>AM16/AN16</f>
        <v>120.22208902564081</v>
      </c>
      <c r="AP16" s="389">
        <v>8442685.8599999994</v>
      </c>
      <c r="AQ16" s="477">
        <v>71491.029166666674</v>
      </c>
      <c r="AR16" s="30">
        <f>AP16/AQ16</f>
        <v>118.09433936553926</v>
      </c>
      <c r="AS16" s="389">
        <v>8305514.0300000003</v>
      </c>
      <c r="AT16" s="477">
        <v>70503</v>
      </c>
      <c r="AU16" s="30">
        <f>AS16/AT16</f>
        <v>117.80369672212531</v>
      </c>
      <c r="AV16" s="159">
        <f>'BILLING RATE CALC'!C38</f>
        <v>8415108.7100000009</v>
      </c>
      <c r="AW16" s="602">
        <f>'BILLING RATE CALC'!D38</f>
        <v>67050.5</v>
      </c>
      <c r="AX16" s="30">
        <f>AV16/AW16</f>
        <v>125.50404113317576</v>
      </c>
    </row>
    <row r="17" spans="1:50" ht="13.5" thickBot="1" x14ac:dyDescent="0.25">
      <c r="A17" s="15" t="s">
        <v>144</v>
      </c>
      <c r="B17" s="23">
        <v>165372.82999999999</v>
      </c>
      <c r="C17" s="24">
        <v>5900.8333333333339</v>
      </c>
      <c r="D17" s="25">
        <v>64.272797981864642</v>
      </c>
      <c r="E17" s="14"/>
      <c r="F17" s="23">
        <v>128974.18</v>
      </c>
      <c r="G17" s="24">
        <v>1520.8333333333335</v>
      </c>
      <c r="H17" s="25">
        <v>122.46229755228065</v>
      </c>
      <c r="I17" s="20" t="s">
        <v>261</v>
      </c>
      <c r="J17" s="21" t="s">
        <v>262</v>
      </c>
      <c r="K17" s="22" t="s">
        <v>263</v>
      </c>
      <c r="L17" t="s">
        <v>313</v>
      </c>
      <c r="M17" s="21" t="s">
        <v>314</v>
      </c>
      <c r="N17" s="22" t="s">
        <v>262</v>
      </c>
      <c r="O17" s="20" t="s">
        <v>313</v>
      </c>
      <c r="P17" s="21" t="s">
        <v>262</v>
      </c>
      <c r="Q17" s="22" t="s">
        <v>263</v>
      </c>
      <c r="R17" s="20" t="s">
        <v>313</v>
      </c>
      <c r="S17" s="21" t="s">
        <v>262</v>
      </c>
      <c r="T17" s="22" t="s">
        <v>262</v>
      </c>
      <c r="U17" s="20" t="s">
        <v>313</v>
      </c>
      <c r="V17" s="21" t="s">
        <v>262</v>
      </c>
      <c r="W17" s="140" t="s">
        <v>262</v>
      </c>
      <c r="X17" s="147" t="s">
        <v>313</v>
      </c>
      <c r="Y17" s="21" t="s">
        <v>262</v>
      </c>
      <c r="Z17" s="140" t="s">
        <v>262</v>
      </c>
      <c r="AA17" s="20" t="s">
        <v>313</v>
      </c>
      <c r="AB17" s="21" t="s">
        <v>262</v>
      </c>
      <c r="AC17" s="22" t="s">
        <v>262</v>
      </c>
      <c r="AD17" s="158" t="s">
        <v>313</v>
      </c>
      <c r="AE17" s="21" t="s">
        <v>262</v>
      </c>
      <c r="AF17" s="22" t="s">
        <v>262</v>
      </c>
      <c r="AG17" s="158" t="s">
        <v>313</v>
      </c>
      <c r="AH17" s="566" t="s">
        <v>504</v>
      </c>
      <c r="AI17" s="22" t="s">
        <v>262</v>
      </c>
      <c r="AJ17" s="158" t="s">
        <v>313</v>
      </c>
      <c r="AK17" s="21" t="s">
        <v>262</v>
      </c>
      <c r="AL17" s="22" t="s">
        <v>262</v>
      </c>
      <c r="AM17" s="158" t="s">
        <v>313</v>
      </c>
      <c r="AN17" s="21" t="s">
        <v>262</v>
      </c>
      <c r="AO17" s="22" t="s">
        <v>262</v>
      </c>
      <c r="AP17" s="158" t="s">
        <v>313</v>
      </c>
      <c r="AQ17" s="21" t="s">
        <v>262</v>
      </c>
      <c r="AR17" s="22" t="s">
        <v>262</v>
      </c>
      <c r="AS17" s="158" t="s">
        <v>313</v>
      </c>
      <c r="AT17" s="21" t="s">
        <v>262</v>
      </c>
      <c r="AU17" s="22" t="s">
        <v>262</v>
      </c>
      <c r="AV17" s="158" t="s">
        <v>313</v>
      </c>
      <c r="AW17" s="21" t="s">
        <v>262</v>
      </c>
      <c r="AX17" s="22" t="s">
        <v>262</v>
      </c>
    </row>
    <row r="18" spans="1:50" ht="14.25" thickTop="1" thickBot="1" x14ac:dyDescent="0.25">
      <c r="A18" s="16" t="s">
        <v>61</v>
      </c>
      <c r="B18" s="26">
        <v>80209969.890000015</v>
      </c>
      <c r="C18" s="27">
        <v>1040830.7454166668</v>
      </c>
      <c r="D18" s="150">
        <v>113.31</v>
      </c>
      <c r="E18" s="16"/>
      <c r="F18" s="26">
        <v>84520064.450000018</v>
      </c>
      <c r="G18" s="27">
        <v>1096697.1891666665</v>
      </c>
      <c r="H18" s="150">
        <v>114.96</v>
      </c>
      <c r="I18" s="26">
        <v>87100985.303000003</v>
      </c>
      <c r="J18" s="27">
        <v>1130770</v>
      </c>
      <c r="K18" s="150">
        <v>113.69</v>
      </c>
      <c r="L18" s="26">
        <v>86838486.000000015</v>
      </c>
      <c r="M18" s="27">
        <v>1164612</v>
      </c>
      <c r="N18" s="150">
        <v>110.08</v>
      </c>
      <c r="O18" s="26">
        <v>92104111.75999999</v>
      </c>
      <c r="P18" s="27">
        <v>1187552.5025000002</v>
      </c>
      <c r="Q18" s="150">
        <v>107.42</v>
      </c>
      <c r="R18" s="26">
        <v>101019978.05</v>
      </c>
      <c r="S18" s="27">
        <v>1257892.5649999997</v>
      </c>
      <c r="T18" s="150">
        <v>121.6</v>
      </c>
      <c r="U18" s="26">
        <v>112247971.41999999</v>
      </c>
      <c r="V18" s="27">
        <v>1274555</v>
      </c>
      <c r="W18" s="150">
        <v>129.11000000000001</v>
      </c>
      <c r="X18" s="148">
        <v>116257567.66000003</v>
      </c>
      <c r="Y18" s="149">
        <v>1356782</v>
      </c>
      <c r="Z18" s="560">
        <v>126.04</v>
      </c>
      <c r="AA18" s="26">
        <v>117625765.84999999</v>
      </c>
      <c r="AB18" s="27">
        <v>1290018</v>
      </c>
      <c r="AC18" s="150">
        <v>134.21</v>
      </c>
      <c r="AD18" s="160">
        <f>SUM(AD2:AD17)</f>
        <v>124375600.88</v>
      </c>
      <c r="AE18" s="27">
        <f>SUM(AE2:AE17)</f>
        <v>1369943.2458333331</v>
      </c>
      <c r="AF18" s="150">
        <v>136.44</v>
      </c>
      <c r="AG18" s="160">
        <f>SUM(AG2:AG17)</f>
        <v>123770220.69000001</v>
      </c>
      <c r="AH18" s="27">
        <f>SUM(AH2:AH17)</f>
        <v>1399615.6166666667</v>
      </c>
      <c r="AI18" s="150">
        <v>134.9</v>
      </c>
      <c r="AJ18" s="160">
        <f>SUM(AJ2:AJ17)</f>
        <v>137949523.11999997</v>
      </c>
      <c r="AK18" s="27">
        <f>SUM(AK2:AK17)</f>
        <v>1410128.1550000003</v>
      </c>
      <c r="AL18" s="150">
        <v>147.21</v>
      </c>
      <c r="AM18" s="160">
        <f>SUM(AM2:AM17)</f>
        <v>166603698.84999999</v>
      </c>
      <c r="AN18" s="27">
        <f>SUM(AN2:AN17)</f>
        <v>1483797.6958333333</v>
      </c>
      <c r="AO18" s="150">
        <f>'[1]BILLING RATE CALC'!J39</f>
        <v>158.66602431428541</v>
      </c>
      <c r="AP18" s="160">
        <f>SUM(AP2:AP17)</f>
        <v>190608052.26999998</v>
      </c>
      <c r="AQ18" s="27">
        <f>SUM(AQ2:AQ17)</f>
        <v>1838805.5166666661</v>
      </c>
      <c r="AR18" s="150">
        <v>142.66</v>
      </c>
      <c r="AS18" s="160">
        <f>SUM(AS2:AS17)</f>
        <v>188818230.76000002</v>
      </c>
      <c r="AT18" s="27">
        <f>SUM(AT2:AT17)</f>
        <v>1869445</v>
      </c>
      <c r="AU18" s="150">
        <v>141.16999999999999</v>
      </c>
      <c r="AV18" s="160">
        <f>SUM(AV2:AV17)</f>
        <v>184917172.89000002</v>
      </c>
      <c r="AW18" s="27">
        <f>SUM(AW2:AW17)</f>
        <v>1757109.9999999998</v>
      </c>
      <c r="AX18" s="744">
        <f>'BILLING RATE CALC'!J39</f>
        <v>149.6192908391761</v>
      </c>
    </row>
    <row r="19" spans="1:50" ht="13.5" thickTop="1" x14ac:dyDescent="0.2">
      <c r="AE19" s="161">
        <v>1369943</v>
      </c>
      <c r="AH19" s="506">
        <v>1399616</v>
      </c>
      <c r="AJ19" s="563">
        <v>137949523.12</v>
      </c>
      <c r="AK19" s="161">
        <v>1410128</v>
      </c>
      <c r="AM19" s="563">
        <f>'[1]BILLING RATE CALC'!C39</f>
        <v>166603698.84999999</v>
      </c>
      <c r="AN19" s="161">
        <f>'[1]BILLING RATE CALC'!D39</f>
        <v>1483797.6958333333</v>
      </c>
      <c r="AP19" s="563">
        <v>190608052.27000001</v>
      </c>
      <c r="AQ19" s="161">
        <v>1838806</v>
      </c>
      <c r="AS19" s="563">
        <v>188818230.75999999</v>
      </c>
      <c r="AT19" s="161">
        <v>1869445</v>
      </c>
      <c r="AV19" s="563">
        <v>184917172.88999999</v>
      </c>
      <c r="AW19" s="161">
        <v>1757110</v>
      </c>
    </row>
    <row r="20" spans="1:50" x14ac:dyDescent="0.2">
      <c r="X20" s="142"/>
      <c r="Z20" s="143"/>
      <c r="AJ20" s="563"/>
      <c r="AK20" s="116"/>
      <c r="AM20" s="563"/>
      <c r="AP20" s="563"/>
      <c r="AS20" s="563"/>
      <c r="AV20" s="563"/>
    </row>
    <row r="21" spans="1:50" x14ac:dyDescent="0.2">
      <c r="A21" t="s">
        <v>363</v>
      </c>
      <c r="AJ21" s="563"/>
    </row>
    <row r="25" spans="1:50" x14ac:dyDescent="0.2">
      <c r="A25" s="162" t="s">
        <v>979</v>
      </c>
    </row>
    <row r="42" spans="29:32" x14ac:dyDescent="0.2">
      <c r="AC42" t="s">
        <v>360</v>
      </c>
      <c r="AF42" t="s">
        <v>360</v>
      </c>
    </row>
  </sheetData>
  <phoneticPr fontId="19" type="noConversion"/>
  <pageMargins left="0" right="0" top="1.5" bottom="1" header="0.33" footer="0.5"/>
  <pageSetup scale="79" fitToHeight="0" orientation="landscape" r:id="rId1"/>
  <headerFooter alignWithMargins="0">
    <oddHeader>&amp;C&amp;"Arial,Bold"&amp;12DEPARTMENT OF CORRECTIONS
 COST OF CARE Year 2017
(Based on Fiscal Year 2016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election activeCell="B17" sqref="B17:M17"/>
    </sheetView>
  </sheetViews>
  <sheetFormatPr defaultRowHeight="12.75" x14ac:dyDescent="0.2"/>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23</vt:i4>
      </vt:variant>
    </vt:vector>
  </HeadingPairs>
  <TitlesOfParts>
    <vt:vector size="45"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2014-2017 COMPARISON</vt:lpstr>
      <vt:lpstr>Sheet1</vt:lpstr>
      <vt:lpstr>'Avg Daily Community Jails'!Print_Area</vt:lpstr>
      <vt:lpstr>'BILLING RATE CALC'!Print_Area</vt:lpstr>
      <vt:lpstr>'COC 2014-2017 COMPARISON'!Print_Area</vt:lpstr>
      <vt:lpstr>'COST ALLOCATION'!Print_Area</vt:lpstr>
      <vt:lpstr>CostReim!Print_Area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2025-12-31T19:20:11Z</cp:lastPrinted>
  <dcterms:created xsi:type="dcterms:W3CDTF">1998-10-01T18:59:57Z</dcterms:created>
  <dcterms:modified xsi:type="dcterms:W3CDTF">2025-12-31T19:20:52Z</dcterms:modified>
</cp:coreProperties>
</file>